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xr:revisionPtr revIDLastSave="0" documentId="8_{F94A6917-E8A8-441B-BA45-23D2D42660C0}" xr6:coauthVersionLast="36" xr6:coauthVersionMax="36" xr10:uidLastSave="{00000000-0000-0000-0000-000000000000}"/>
  <bookViews>
    <workbookView xWindow="3255" yWindow="225" windowWidth="21600" windowHeight="11385" tabRatio="824" xr2:uid="{00000000-000D-0000-FFFF-FFFF00000000}"/>
  </bookViews>
  <sheets>
    <sheet name="COVER" sheetId="24" r:id="rId1"/>
    <sheet name="TOC" sheetId="168" r:id="rId2"/>
    <sheet name="Aud Quest 2" sheetId="28" r:id="rId3"/>
    <sheet name="Sheet1"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Wipfli SEFA" sheetId="183" r:id="rId29"/>
    <sheet name="SEFA NOTES" sheetId="173" r:id="rId30"/>
    <sheet name="SF&amp;QC Sec-1" sheetId="174" r:id="rId31"/>
    <sheet name="SF&amp;QC Sec-2" sheetId="175" r:id="rId32"/>
    <sheet name="SF&amp;QC Sec-3" sheetId="176" r:id="rId33"/>
    <sheet name="SSPAF" sheetId="177" r:id="rId34"/>
  </sheets>
  <definedNames>
    <definedName name="OLE_LINK1" localSheetId="2">'Aud Quest 2'!$D$118</definedName>
    <definedName name="_xlnm.Print_Area" localSheetId="29">'SEFA NOTES'!$A$1:$F$52</definedName>
    <definedName name="_xlnm.Print_Area" localSheetId="27">'SEFA Reconcile'!$A$1:$E$49</definedName>
    <definedName name="_xlnm.Print_Area" localSheetId="30">'SF&amp;QC Sec-1'!$A$1:$J$62</definedName>
    <definedName name="_xlnm.Print_Area" localSheetId="32">'SF&amp;QC Sec-3'!$A$1:$K$52</definedName>
    <definedName name="_xlnm.Print_Area" localSheetId="17">'Shared Outsourced Services 31'!$A$1:$F$42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1" i="183" l="1"/>
  <c r="J43" i="183" s="1"/>
  <c r="J19" i="183"/>
  <c r="J27" i="183"/>
  <c r="J33" i="183" s="1"/>
  <c r="I33" i="183"/>
  <c r="J31" i="183"/>
  <c r="I41" i="183" l="1"/>
  <c r="G41" i="183"/>
  <c r="I31" i="183"/>
  <c r="G31" i="183"/>
  <c r="G33" i="183" s="1"/>
  <c r="I27" i="183"/>
  <c r="G27" i="183"/>
  <c r="I19" i="183"/>
  <c r="G19" i="183"/>
  <c r="G43" i="183" l="1"/>
  <c r="I43" i="183"/>
  <c r="E19" i="183"/>
  <c r="D12" i="11" l="1"/>
  <c r="E41" i="183" l="1"/>
  <c r="F41" i="183"/>
  <c r="H41" i="183"/>
  <c r="L41" i="183"/>
  <c r="D41" i="183"/>
  <c r="E31" i="183"/>
  <c r="F31" i="183"/>
  <c r="H31" i="183"/>
  <c r="L31" i="183"/>
  <c r="D31" i="183"/>
  <c r="E27" i="183"/>
  <c r="F27" i="183"/>
  <c r="H27" i="183"/>
  <c r="L27" i="183"/>
  <c r="D27" i="183"/>
  <c r="D33" i="183" s="1"/>
  <c r="D19" i="183"/>
  <c r="F19" i="183"/>
  <c r="H19" i="183"/>
  <c r="L19" i="183"/>
  <c r="K25" i="183"/>
  <c r="K26" i="183"/>
  <c r="K29" i="183"/>
  <c r="K30" i="183"/>
  <c r="K39" i="183"/>
  <c r="K40" i="183"/>
  <c r="K38" i="183"/>
  <c r="K24" i="183"/>
  <c r="K10" i="183"/>
  <c r="K11" i="183"/>
  <c r="K12" i="183"/>
  <c r="K13" i="183"/>
  <c r="K14" i="183"/>
  <c r="K15" i="183"/>
  <c r="K16" i="183"/>
  <c r="K17" i="183"/>
  <c r="K18" i="183"/>
  <c r="K9" i="183"/>
  <c r="F33" i="183" l="1"/>
  <c r="E33" i="183"/>
  <c r="L33" i="183"/>
  <c r="H33" i="183"/>
  <c r="H43" i="183" s="1"/>
  <c r="D44" i="174" s="1"/>
  <c r="K41" i="183"/>
  <c r="L43" i="183"/>
  <c r="D43" i="183"/>
  <c r="F43" i="183"/>
  <c r="K31" i="183"/>
  <c r="E43" i="183"/>
  <c r="K27" i="183"/>
  <c r="K19" i="183"/>
  <c r="D182" i="34"/>
  <c r="K33" i="183" l="1"/>
  <c r="K43" i="183" s="1"/>
  <c r="J24" i="2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5" i="181" l="1"/>
  <c r="D80" i="36" l="1"/>
  <c r="B7797" i="106"/>
  <c r="E35" i="181"/>
  <c r="E17" i="181"/>
  <c r="E16" i="181"/>
  <c r="F16" i="181" s="1"/>
  <c r="G16" i="181" s="1"/>
  <c r="F17" i="181" l="1"/>
  <c r="G17" i="181" s="1"/>
  <c r="G35" i="181" s="1"/>
  <c r="G40" i="108" l="1"/>
  <c r="B7799" i="106"/>
  <c r="F35" i="181"/>
  <c r="B7798" i="106" s="1"/>
  <c r="E40" i="108"/>
  <c r="D17" i="171" l="1"/>
  <c r="D14" i="171" l="1"/>
  <c r="D12" i="171"/>
  <c r="A10" i="169"/>
  <c r="A16" i="169"/>
  <c r="A15" i="169"/>
  <c r="A14" i="169"/>
  <c r="K18" i="169"/>
  <c r="G18" i="169"/>
  <c r="G15" i="169"/>
  <c r="I13" i="169"/>
  <c r="G11" i="169"/>
  <c r="G10" i="169"/>
  <c r="G9" i="169"/>
  <c r="G7" i="169"/>
  <c r="E7" i="169"/>
  <c r="B2" i="177" s="1"/>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c r="D4951" i="106" s="1"/>
  <c r="C184" i="5"/>
  <c r="B5232" i="106"/>
  <c r="D5232" i="106" s="1"/>
  <c r="D184" i="5"/>
  <c r="B5425" i="106" s="1"/>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D22" i="37"/>
  <c r="J22" i="37"/>
  <c r="D24" i="37"/>
  <c r="B4270" i="106" s="1"/>
  <c r="D4270" i="106" s="1"/>
  <c r="L5" i="11"/>
  <c r="B2056" i="106" s="1"/>
  <c r="D2056" i="106" s="1"/>
  <c r="D4" i="7"/>
  <c r="B1760" i="106" s="1"/>
  <c r="D1760" i="106" s="1"/>
  <c r="D5" i="7"/>
  <c r="B1761" i="106" s="1"/>
  <c r="D1761" i="106" s="1"/>
  <c r="D13" i="7"/>
  <c r="B3726" i="106" s="1"/>
  <c r="D3726" i="106" s="1"/>
  <c r="D9" i="7"/>
  <c r="B1767" i="106" s="1"/>
  <c r="D1767" i="106" s="1"/>
  <c r="B5847" i="106"/>
  <c r="D5847" i="106" s="1"/>
  <c r="B5599" i="106"/>
  <c r="D5599" i="106" s="1"/>
  <c r="K274" i="5"/>
  <c r="H109" i="5"/>
  <c r="B6025" i="106" s="1"/>
  <c r="D6025" i="106" s="1"/>
  <c r="D7" i="7"/>
  <c r="B1763" i="106" s="1"/>
  <c r="D1763" i="106" s="1"/>
  <c r="B1746" i="106"/>
  <c r="D1746" i="106" s="1"/>
  <c r="D17" i="7"/>
  <c r="B4104" i="106" s="1"/>
  <c r="D4104" i="106" s="1"/>
  <c r="D12" i="7"/>
  <c r="B1769" i="106" s="1"/>
  <c r="D1769" i="106" s="1"/>
  <c r="D11" i="7"/>
  <c r="B1768" i="106" s="1"/>
  <c r="D1768" i="106" s="1"/>
  <c r="D15" i="7"/>
  <c r="B1772" i="106" s="1"/>
  <c r="D1772" i="106" s="1"/>
  <c r="I274" i="5" l="1"/>
  <c r="F127" i="34"/>
  <c r="J77" i="4"/>
  <c r="B6262" i="106" s="1"/>
  <c r="D6262" i="106" s="1"/>
  <c r="G172" i="5"/>
  <c r="G173" i="5" s="1"/>
  <c r="B5778" i="106" s="1"/>
  <c r="D5778" i="106" s="1"/>
  <c r="F77" i="4"/>
  <c r="B3255" i="106" s="1"/>
  <c r="D3255" i="106" s="1"/>
  <c r="J352" i="29"/>
  <c r="J129" i="29"/>
  <c r="B7038" i="106" s="1"/>
  <c r="D7038" i="106" s="1"/>
  <c r="H173" i="5"/>
  <c r="E109" i="5"/>
  <c r="E4" i="4" s="1"/>
  <c r="B2630" i="106" s="1"/>
  <c r="D2630" i="106" s="1"/>
  <c r="K173" i="5"/>
  <c r="K6" i="4" s="1"/>
  <c r="B3570" i="106" s="1"/>
  <c r="D3570" i="106" s="1"/>
  <c r="H365" i="29"/>
  <c r="B7242" i="106" s="1"/>
  <c r="D7242" i="106" s="1"/>
  <c r="C342" i="29"/>
  <c r="B7216" i="106" s="1"/>
  <c r="D7216" i="106" s="1"/>
  <c r="B5733" i="106"/>
  <c r="D5733" i="106" s="1"/>
  <c r="G109" i="5"/>
  <c r="B6024" i="106" s="1"/>
  <c r="D6024" i="106" s="1"/>
  <c r="B6848" i="106"/>
  <c r="D6848" i="106" s="1"/>
  <c r="F34" i="34"/>
  <c r="F106" i="34"/>
  <c r="F130" i="34"/>
  <c r="B5752" i="106"/>
  <c r="D5752" i="106" s="1"/>
  <c r="F136" i="34"/>
  <c r="B3170" i="106"/>
  <c r="D3170" i="106" s="1"/>
  <c r="H76" i="4"/>
  <c r="B3298" i="106" s="1"/>
  <c r="D3298" i="106" s="1"/>
  <c r="B2734" i="106"/>
  <c r="D2734" i="106" s="1"/>
  <c r="L22" i="37"/>
  <c r="F172" i="5"/>
  <c r="B5644" i="106" s="1"/>
  <c r="D5644" i="106" s="1"/>
  <c r="E29" i="108"/>
  <c r="K76" i="4"/>
  <c r="B3586" i="106" s="1"/>
  <c r="D3586" i="106" s="1"/>
  <c r="I24" i="12"/>
  <c r="F19" i="7"/>
  <c r="B1807" i="106" s="1"/>
  <c r="D1807" i="106" s="1"/>
  <c r="B6995" i="106"/>
  <c r="D6995" i="106" s="1"/>
  <c r="E174" i="29"/>
  <c r="B1309" i="106" s="1"/>
  <c r="D1309" i="106" s="1"/>
  <c r="L342" i="29"/>
  <c r="K184" i="29"/>
  <c r="F13" i="4" s="1"/>
  <c r="B2596" i="106" s="1"/>
  <c r="D2596" i="106" s="1"/>
  <c r="H4" i="4"/>
  <c r="B2655" i="106" s="1"/>
  <c r="D2655" i="106" s="1"/>
  <c r="G4" i="4"/>
  <c r="B2603" i="106" s="1"/>
  <c r="D2603" i="106" s="1"/>
  <c r="D109" i="5"/>
  <c r="B5356" i="106" s="1"/>
  <c r="D5356" i="106" s="1"/>
  <c r="C172" i="5"/>
  <c r="B5214" i="106" s="1"/>
  <c r="D5214" i="106" s="1"/>
  <c r="C109" i="5"/>
  <c r="B5121" i="106" s="1"/>
  <c r="D5121" i="106" s="1"/>
  <c r="D11" i="37"/>
  <c r="D31" i="36"/>
  <c r="H29" i="118"/>
  <c r="K28" i="118" s="1"/>
  <c r="O27" i="118" s="1"/>
  <c r="O29" i="118" s="1"/>
  <c r="B5770" i="106"/>
  <c r="D5770" i="106" s="1"/>
  <c r="I173" i="5"/>
  <c r="B4216" i="106" s="1"/>
  <c r="D4216" i="106" s="1"/>
  <c r="L367" i="29"/>
  <c r="I342" i="29"/>
  <c r="B7222" i="106" s="1"/>
  <c r="D7222" i="106" s="1"/>
  <c r="B3649" i="106"/>
  <c r="D3649" i="106" s="1"/>
  <c r="G367" i="29"/>
  <c r="F111" i="34"/>
  <c r="F131" i="34"/>
  <c r="G5" i="4"/>
  <c r="B3409" i="106" s="1"/>
  <c r="D3409" i="106" s="1"/>
  <c r="B7041" i="106"/>
  <c r="D7041" i="106" s="1"/>
  <c r="J41" i="3"/>
  <c r="B6216" i="106" s="1"/>
  <c r="D6216" i="106" s="1"/>
  <c r="K350" i="29"/>
  <c r="F21" i="8"/>
  <c r="B3647" i="106"/>
  <c r="D3647" i="106" s="1"/>
  <c r="C352" i="29"/>
  <c r="K41" i="3"/>
  <c r="L15" i="11"/>
  <c r="B3459" i="106" s="1"/>
  <c r="D3459" i="106" s="1"/>
  <c r="L13" i="11"/>
  <c r="B2060" i="106" s="1"/>
  <c r="D2060"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J7" i="4"/>
  <c r="D274" i="5"/>
  <c r="D19" i="7"/>
  <c r="B1775" i="106" s="1"/>
  <c r="D1775" i="106" s="1"/>
  <c r="B7270" i="106"/>
  <c r="B5906" i="106" l="1"/>
  <c r="D5906" i="106" s="1"/>
  <c r="H6" i="4"/>
  <c r="D7255" i="106"/>
  <c r="J367" i="29"/>
  <c r="B7245" i="106" s="1"/>
  <c r="D7245" i="106" s="1"/>
  <c r="B7235" i="106"/>
  <c r="D7235" i="106" s="1"/>
  <c r="J151" i="29"/>
  <c r="B7052" i="106" s="1"/>
  <c r="D7052" i="106" s="1"/>
  <c r="D7252" i="106"/>
  <c r="H275" i="5"/>
  <c r="B5915" i="106" s="1"/>
  <c r="D5915" i="106" s="1"/>
  <c r="L16" i="11"/>
  <c r="B2061" i="106" s="1"/>
  <c r="D2061" i="106" s="1"/>
  <c r="B2031" i="106"/>
  <c r="D2031" i="106" s="1"/>
  <c r="B1996" i="106"/>
  <c r="D1996" i="106" s="1"/>
  <c r="I26" i="12"/>
  <c r="B7741" i="106" s="1"/>
  <c r="D7741" i="106" s="1"/>
  <c r="D7250" i="106"/>
  <c r="L114" i="29"/>
  <c r="B1381" i="106"/>
  <c r="D1381" i="106" s="1"/>
  <c r="C114" i="29"/>
  <c r="B757" i="106" s="1"/>
  <c r="D757" i="106" s="1"/>
  <c r="F6" i="4"/>
  <c r="B2593" i="106" s="1"/>
  <c r="D2593" i="106" s="1"/>
  <c r="D4" i="4"/>
  <c r="B2564" i="106" s="1"/>
  <c r="D2564" i="106" s="1"/>
  <c r="C173" i="5"/>
  <c r="B5223" i="106" s="1"/>
  <c r="D5223" i="106" s="1"/>
  <c r="C4" i="4"/>
  <c r="B2551" i="106" s="1"/>
  <c r="D2551" i="106" s="1"/>
  <c r="D44" i="36"/>
  <c r="H367" i="29"/>
  <c r="B3660" i="106" s="1"/>
  <c r="D3660" i="106" s="1"/>
  <c r="B1879" i="106"/>
  <c r="D1879" i="106" s="1"/>
  <c r="H22" i="37"/>
  <c r="B3568" i="106"/>
  <c r="D3568" i="106" s="1"/>
  <c r="D52" i="36"/>
  <c r="B3670" i="106"/>
  <c r="D3670" i="106" s="1"/>
  <c r="K352" i="29"/>
  <c r="K342" i="29"/>
  <c r="F13" i="34" s="1"/>
  <c r="B1365" i="106"/>
  <c r="D1365" i="106" s="1"/>
  <c r="F65" i="34"/>
  <c r="B3621" i="106"/>
  <c r="D3621" i="106" s="1"/>
  <c r="C367" i="29"/>
  <c r="B3622" i="106" s="1"/>
  <c r="D3622" i="106" s="1"/>
  <c r="K367" i="29"/>
  <c r="F73" i="34"/>
  <c r="G15" i="4"/>
  <c r="B6032" i="106" s="1"/>
  <c r="D603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720" i="106"/>
  <c r="D5720" i="106" s="1"/>
  <c r="B6222" i="106"/>
  <c r="D6222" i="106" s="1"/>
  <c r="J8" i="4"/>
  <c r="D7" i="4"/>
  <c r="B5507" i="106"/>
  <c r="D5507" i="106" s="1"/>
  <c r="B7298" i="106"/>
  <c r="B7299" i="106"/>
  <c r="B1145" i="106" l="1"/>
  <c r="D1145" i="106" s="1"/>
  <c r="B2656" i="106"/>
  <c r="D2656" i="106" s="1"/>
  <c r="H8" i="4"/>
  <c r="B7224" i="106"/>
  <c r="D7224" i="106" s="1"/>
  <c r="J17" i="4"/>
  <c r="J19" i="4" s="1"/>
  <c r="B6229" i="106" s="1"/>
  <c r="D6229" i="106" s="1"/>
  <c r="G41" i="108"/>
  <c r="G44" i="108" s="1"/>
  <c r="G45" i="108" s="1"/>
  <c r="C6" i="4"/>
  <c r="B2553" i="106" s="1"/>
  <c r="D2553" i="106" s="1"/>
  <c r="F8" i="4"/>
  <c r="D8" i="146" s="1"/>
  <c r="E41" i="108"/>
  <c r="E44" i="108" s="1"/>
  <c r="E45" i="108"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B2595" i="106"/>
  <c r="D2595"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<sst xmlns="http://schemas.openxmlformats.org/spreadsheetml/2006/main" count="5184" uniqueCount="2159">
  <si>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</si>
  <si>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</si>
  <si>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</si>
  <si>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</si>
  <si>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</si>
  <si>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</si>
  <si>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</si>
  <si>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</si>
  <si>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</si>
  <si>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</si>
  <si>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</si>
  <si>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</si>
  <si>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</si>
  <si>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</si>
  <si>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</si>
  <si>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</si>
  <si>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</si>
  <si>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</si>
  <si>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</si>
  <si>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</si>
  <si>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</si>
  <si>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</si>
  <si>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</si>
  <si>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</si>
  <si>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</si>
  <si>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</si>
  <si>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</si>
  <si>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</si>
  <si>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</si>
  <si>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</si>
  <si>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</si>
  <si>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</si>
  <si>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</si>
  <si>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</si>
  <si>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</si>
  <si>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</si>
  <si>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</si>
  <si>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</si>
  <si>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</si>
  <si>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</si>
  <si>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</si>
  <si>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</si>
  <si>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</si>
  <si>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</si>
  <si>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</si>
  <si>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</si>
  <si>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</si>
  <si>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</si>
  <si>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</si>
  <si>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</si>
  <si>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</si>
  <si>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</si>
  <si>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</si>
  <si>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</si>
  <si>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</si>
  <si>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</si>
  <si>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</si>
  <si>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</si>
  <si>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</si>
  <si>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</si>
  <si>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</si>
  <si>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</si>
  <si>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</si>
  <si>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</si>
  <si>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</si>
  <si>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</si>
  <si>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</si>
  <si>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</si>
  <si>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</si>
  <si>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</si>
  <si>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</si>
  <si>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</si>
  <si>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</si>
  <si>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</si>
  <si>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</si>
  <si>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</si>
  <si>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</si>
  <si>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</si>
  <si>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</si>
  <si>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</si>
  <si>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</si>
  <si>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</si>
  <si>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</si>
  <si>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</si>
  <si>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</si>
  <si>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</si>
  <si>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</si>
  <si>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</si>
  <si>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</si>
  <si>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</si>
  <si>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</si>
  <si>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</si>
  <si>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</si>
  <si>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</si>
  <si>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</si>
  <si>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</si>
  <si>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</si>
  <si>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</si>
  <si>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</si>
  <si>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</si>
  <si>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</si>
  <si>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</si>
  <si>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</si>
  <si>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</si>
  <si>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</si>
  <si>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</si>
  <si>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</si>
  <si>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</si>
  <si>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</si>
  <si>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</si>
  <si>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</si>
  <si>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</si>
  <si>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</si>
  <si>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</si>
  <si>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</si>
  <si>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</si>
  <si>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</si>
  <si>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</si>
  <si>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</si>
  <si>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</si>
  <si>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</si>
  <si>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</si>
  <si>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</si>
  <si>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</si>
  <si>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</si>
  <si>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</si>
  <si>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</si>
  <si>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</si>
  <si>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</si>
  <si>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</si>
  <si>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</si>
  <si>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</si>
  <si>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</si>
  <si>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</si>
  <si>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</si>
  <si>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</si>
  <si>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</si>
  <si>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</si>
  <si>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</si>
  <si>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</si>
  <si>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</si>
  <si>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</si>
  <si>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</si>
  <si>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</si>
  <si>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</si>
  <si>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</si>
  <si>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</si>
  <si>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</si>
  <si>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</si>
  <si>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</si>
  <si>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</si>
  <si>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</si>
  <si>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</si>
  <si>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</si>
  <si>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</si>
  <si>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</si>
  <si>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</si>
  <si>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</si>
  <si>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</si>
  <si>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</si>
  <si>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</si>
  <si>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</si>
  <si>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</si>
  <si>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</si>
  <si>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</si>
  <si>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</si>
  <si>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</si>
  <si>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</si>
  <si>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</si>
  <si>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</si>
  <si>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</si>
  <si>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</si>
  <si>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</si>
  <si>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</si>
  <si>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</si>
  <si>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</si>
  <si>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</si>
  <si>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</si>
  <si>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</si>
  <si>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</si>
  <si>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</si>
  <si>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</si>
  <si>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</si>
  <si>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</si>
  <si>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</si>
  <si>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</si>
  <si>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</si>
  <si>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</si>
  <si>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</si>
  <si>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</si>
  <si>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</si>
  <si>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</si>
  <si>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</si>
  <si>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</si>
  <si>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</si>
  <si>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</si>
  <si>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</si>
  <si>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</si>
  <si>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</si>
  <si>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</si>
  <si>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</si>
  <si>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</si>
  <si>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</si>
  <si>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</si>
  <si>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</si>
  <si>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</si>
  <si>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</si>
  <si>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</si>
  <si>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</si>
  <si>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</si>
  <si>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</si>
  <si>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</si>
  <si>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</si>
  <si>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</si>
  <si>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</si>
  <si>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</si>
  <si>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</si>
  <si>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</si>
  <si>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</si>
  <si>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</si>
  <si>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</si>
  <si>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</si>
  <si>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</si>
  <si>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</si>
  <si>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</si>
  <si>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</si>
  <si>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</si>
  <si>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</si>
  <si>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</si>
  <si>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</si>
  <si>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</si>
  <si>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</si>
  <si>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</si>
  <si>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</si>
  <si>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</si>
  <si>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</si>
  <si>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</si>
  <si>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</si>
  <si>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</si>
  <si>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</si>
  <si>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</si>
  <si>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</si>
  <si>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</si>
  <si>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</si>
  <si>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</si>
  <si>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</si>
  <si>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</si>
  <si>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</si>
  <si>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</si>
  <si>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</si>
  <si>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</si>
  <si>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</si>
  <si>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</si>
  <si>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</si>
  <si>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</si>
  <si>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</si>
  <si>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</si>
  <si>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</si>
  <si>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</si>
  <si>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</si>
  <si>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</si>
  <si>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</si>
  <si>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</si>
  <si>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</si>
  <si>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</si>
  <si>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</si>
  <si>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</si>
  <si>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</si>
  <si>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</si>
  <si>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</si>
  <si>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</si>
  <si>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</si>
  <si>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</si>
  <si>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</si>
  <si>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</si>
  <si>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</si>
  <si>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</si>
  <si>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</si>
  <si>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</si>
  <si>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</si>
  <si>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</si>
  <si>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</si>
  <si>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</si>
  <si>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</si>
  <si>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</si>
  <si>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</si>
  <si>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</si>
  <si>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</si>
  <si>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</si>
  <si>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</si>
  <si>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</si>
  <si>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</si>
  <si>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</si>
  <si>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</si>
  <si>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</si>
  <si>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</si>
  <si>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</si>
  <si>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</si>
  <si>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</si>
  <si>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</si>
  <si>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</si>
  <si>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</si>
  <si>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</si>
  <si>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</si>
  <si>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</si>
  <si>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</si>
  <si>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</si>
  <si>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</si>
  <si>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</si>
  <si>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</si>
  <si>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</si>
  <si>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</si>
  <si>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</si>
  <si>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</si>
  <si>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</si>
  <si>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</si>
  <si>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</si>
  <si>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</si>
  <si>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</si>
  <si>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</si>
  <si>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</si>
  <si>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</si>
  <si>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</si>
  <si>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</si>
  <si>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</si>
  <si>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</si>
  <si>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</si>
  <si>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</si>
  <si>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</si>
  <si>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</si>
  <si>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</si>
  <si>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</si>
  <si>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</si>
  <si>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</si>
  <si>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</si>
  <si>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</si>
  <si>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</si>
  <si>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</si>
  <si>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</si>
  <si>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</si>
  <si>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</si>
  <si>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</si>
  <si>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</si>
  <si>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</si>
  <si>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</si>
  <si>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</si>
  <si>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</si>
  <si>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</si>
  <si>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</si>
  <si>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</si>
  <si>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</si>
  <si>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</si>
  <si>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</si>
  <si>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</si>
  <si>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</si>
  <si>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</si>
  <si>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</si>
  <si>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</si>
  <si>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</si>
  <si>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</si>
  <si>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</si>
  <si>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</si>
  <si>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</si>
  <si>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</si>
  <si>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</si>
  <si>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</si>
  <si>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</si>
  <si>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</si>
  <si>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</si>
  <si>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</si>
  <si>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</si>
  <si>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</si>
  <si>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</si>
  <si>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</si>
  <si>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</si>
  <si>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</si>
  <si>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</si>
  <si>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</si>
  <si>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</si>
  <si>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</si>
  <si>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</si>
  <si>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</si>
  <si>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</si>
  <si>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</si>
  <si>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</si>
  <si>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</si>
  <si>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</si>
  <si>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</si>
  <si>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</si>
  <si>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</si>
  <si>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</si>
  <si>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</si>
  <si>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</si>
  <si>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</si>
  <si>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</si>
  <si>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</si>
  <si>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</si>
  <si>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</si>
  <si>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</si>
  <si>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</si>
  <si>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</si>
  <si>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</si>
  <si>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</si>
  <si>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</si>
  <si>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</si>
  <si>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</si>
  <si>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</si>
  <si>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</si>
  <si>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</si>
  <si>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</si>
  <si>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</si>
  <si>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</si>
  <si>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</si>
  <si>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</si>
  <si>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</si>
  <si>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</si>
  <si>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</si>
  <si>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</si>
  <si>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</si>
  <si>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</si>
  <si>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</si>
  <si>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</si>
  <si>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</si>
  <si>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</si>
  <si>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</si>
  <si>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</si>
  <si>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</si>
  <si>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</si>
  <si>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</si>
  <si>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</si>
  <si>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</si>
  <si>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</si>
  <si>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</si>
  <si>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</si>
  <si>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</si>
  <si>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</si>
  <si>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</si>
  <si>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</si>
  <si>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</si>
  <si>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</si>
  <si>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</si>
  <si>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</si>
  <si>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</si>
  <si>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</si>
  <si>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</si>
  <si>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</si>
  <si>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</si>
  <si>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</si>
  <si>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</si>
  <si>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</si>
  <si>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</si>
  <si>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</si>
  <si>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</si>
  <si>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</si>
  <si>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</si>
  <si>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</si>
  <si>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</si>
  <si>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</si>
  <si>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</si>
  <si>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</si>
  <si>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</si>
  <si>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</si>
  <si>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</si>
  <si>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</si>
  <si>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</si>
  <si>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</si>
  <si>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</si>
  <si>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</si>
  <si>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</si>
  <si>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</si>
  <si>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</si>
  <si>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</si>
  <si>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</si>
  <si>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</si>
  <si>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</si>
  <si>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</si>
  <si>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</si>
  <si>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</si>
  <si>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</si>
  <si>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</si>
  <si>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</si>
  <si>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</si>
  <si>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</si>
  <si>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</si>
  <si>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</si>
  <si>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</si>
  <si>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</si>
  <si>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</si>
  <si>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</si>
  <si>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</si>
  <si>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</si>
  <si>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</si>
  <si>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</si>
  <si>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</si>
  <si>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</si>
  <si>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</si>
  <si>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</si>
  <si>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</si>
  <si>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</si>
  <si>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</si>
  <si>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</si>
  <si>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</si>
  <si>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</si>
  <si>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</si>
  <si>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</si>
  <si>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</si>
  <si>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</si>
  <si>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</si>
  <si>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</si>
  <si>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</si>
  <si>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</si>
  <si>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</si>
  <si>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</si>
  <si>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</si>
  <si>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</si>
  <si>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</si>
  <si>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</si>
  <si>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</si>
  <si>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</si>
  <si>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</si>
  <si>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</si>
  <si>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</si>
  <si>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</si>
  <si>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</si>
  <si>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</si>
  <si>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</si>
  <si>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</si>
  <si>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</si>
  <si>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</si>
  <si>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</si>
  <si>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</si>
  <si>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</si>
  <si>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</si>
  <si>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</si>
  <si>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</si>
  <si>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</si>
  <si>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</si>
  <si>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</si>
  <si>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</si>
  <si>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</si>
  <si>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</si>
  <si>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</si>
  <si>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</si>
  <si>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</si>
  <si>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</si>
  <si>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</si>
  <si>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</si>
  <si>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</si>
  <si>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</si>
  <si>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</si>
  <si>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</si>
  <si>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</si>
  <si>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</si>
  <si>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</si>
  <si>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</si>
  <si>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</si>
  <si>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</si>
  <si>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</si>
  <si>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</si>
  <si>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</si>
  <si>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</si>
  <si>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</si>
  <si>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</si>
  <si>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</si>
  <si>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</si>
  <si>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</si>
  <si>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</si>
  <si>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</si>
  <si>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</si>
  <si>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</si>
  <si>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</si>
  <si>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</si>
  <si>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</si>
  <si>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</si>
  <si>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</si>
  <si>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</si>
  <si>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</si>
  <si>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</si>
  <si>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</si>
  <si>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</si>
  <si>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</si>
  <si>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</si>
  <si>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</si>
  <si>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</si>
  <si>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</si>
  <si>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</si>
  <si>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</si>
  <si>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</si>
  <si>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</si>
  <si>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</si>
  <si>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</si>
  <si>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</si>
  <si>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</si>
  <si>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</si>
  <si>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</si>
  <si>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</si>
  <si>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</si>
  <si>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</si>
  <si>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</si>
  <si>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</si>
  <si>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</si>
  <si>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</si>
  <si>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</si>
  <si>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</si>
  <si>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</si>
  <si>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</si>
  <si>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</si>
  <si>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</si>
  <si>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</si>
  <si>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</si>
  <si>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</si>
  <si>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</si>
  <si>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</si>
  <si>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</si>
  <si>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</si>
  <si>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</si>
  <si>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</si>
  <si>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</si>
  <si>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</si>
  <si>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</si>
  <si>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</si>
  <si>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</si>
  <si>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</si>
  <si>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</si>
  <si>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</si>
  <si>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</si>
  <si>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</si>
  <si>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</si>
  <si>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</si>
  <si>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</si>
  <si>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</si>
  <si>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</si>
  <si>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</si>
  <si>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</si>
  <si>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</si>
  <si>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</si>
  <si>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</si>
  <si>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</si>
  <si>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</si>
  <si>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</si>
  <si>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</si>
  <si>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</si>
  <si>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</si>
  <si>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</si>
  <si>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</si>
  <si>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</si>
  <si>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</si>
  <si>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</si>
  <si>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</si>
  <si>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</si>
  <si>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</si>
  <si>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</si>
  <si>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</si>
  <si>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</si>
  <si>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</si>
  <si>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</si>
  <si>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</si>
  <si>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</si>
  <si>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</si>
  <si>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</si>
  <si>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</si>
  <si>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</si>
  <si>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</si>
  <si>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</si>
  <si>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</si>
  <si>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</si>
  <si>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</si>
  <si>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</si>
  <si>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</si>
  <si>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</si>
  <si>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</si>
  <si>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</si>
  <si>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</si>
  <si>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</si>
  <si>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</si>
  <si>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</si>
  <si>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</si>
  <si>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</si>
  <si>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</si>
  <si>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</si>
  <si>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</si>
  <si>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</si>
  <si>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</si>
  <si>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</si>
  <si>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</si>
  <si>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</si>
  <si>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</si>
  <si>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</si>
  <si>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</si>
  <si>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</si>
  <si>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</si>
  <si>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</si>
  <si>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</si>
  <si>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</si>
  <si>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</si>
  <si>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</si>
  <si>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</si>
  <si>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</si>
  <si>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</si>
  <si>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</si>
  <si>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</si>
  <si>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</si>
  <si>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</si>
  <si>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</si>
  <si>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</si>
  <si>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</si>
  <si>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</si>
  <si>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</si>
  <si>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</si>
  <si>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</si>
  <si>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</si>
  <si>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</si>
  <si>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</si>
  <si>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</si>
  <si>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</si>
  <si>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</si>
  <si>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</si>
  <si>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</si>
  <si>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</si>
  <si>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</si>
  <si>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</si>
  <si>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</si>
  <si>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</si>
  <si>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</si>
  <si>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</si>
  <si>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</si>
  <si>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</si>
  <si>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</si>
  <si>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</si>
  <si>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</si>
  <si>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</si>
  <si>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</si>
  <si>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</si>
  <si>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</si>
  <si>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</si>
  <si>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</si>
  <si>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</si>
  <si>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</si>
  <si>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</si>
  <si>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</si>
  <si>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</si>
  <si>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</si>
  <si>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</si>
  <si>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</si>
  <si>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</si>
  <si>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</si>
  <si>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</si>
  <si>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</si>
  <si>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</si>
  <si>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</si>
  <si>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</si>
  <si>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</si>
  <si>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</si>
  <si>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</si>
  <si>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</si>
  <si>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</si>
  <si>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</si>
  <si>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</si>
  <si>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</si>
  <si>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</si>
  <si>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</si>
  <si>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</si>
  <si>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</si>
  <si>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</si>
  <si>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</si>
  <si>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</si>
  <si>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</si>
  <si>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</si>
  <si>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</si>
  <si>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</si>
  <si>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</si>
  <si>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</si>
  <si>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</si>
  <si>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</si>
  <si>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</si>
  <si>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</si>
  <si>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</si>
  <si>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</si>
  <si>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</si>
  <si>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</si>
  <si>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</si>
  <si>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</si>
  <si>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</si>
  <si>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</si>
  <si>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</si>
  <si>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</si>
  <si>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</si>
  <si>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</si>
  <si>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</si>
  <si>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</si>
  <si>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</si>
  <si>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</si>
  <si>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</si>
  <si>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</si>
  <si>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</si>
  <si>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</si>
  <si>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</si>
  <si>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</si>
  <si>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</si>
  <si>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</si>
  <si>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</si>
  <si>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</si>
  <si>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</si>
  <si>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</si>
  <si>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</si>
  <si>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</si>
  <si>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</si>
  <si>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</si>
  <si>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</si>
  <si>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</si>
  <si>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</si>
  <si>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</si>
  <si>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</si>
  <si>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</si>
  <si>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</si>
  <si>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</si>
  <si>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</si>
  <si>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</si>
  <si>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</si>
  <si>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</si>
  <si>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</si>
  <si>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</si>
  <si>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</si>
  <si>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</si>
  <si>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</si>
  <si>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</si>
  <si>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</si>
  <si>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</si>
  <si>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</si>
  <si>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</si>
  <si>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</si>
  <si>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</si>
  <si>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</si>
  <si>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</si>
  <si>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</si>
  <si>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</si>
  <si>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</si>
  <si>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</si>
  <si>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</si>
  <si>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</si>
  <si>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</si>
  <si>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</si>
  <si>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</si>
  <si>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</si>
  <si>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</si>
  <si>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</si>
  <si>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</si>
  <si>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</si>
  <si>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</si>
  <si>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</si>
  <si>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</si>
  <si>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</si>
  <si>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</si>
  <si>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</si>
  <si>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</si>
  <si>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</si>
  <si>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</si>
  <si>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</si>
  <si>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</si>
  <si>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</si>
  <si>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</si>
  <si>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</si>
  <si>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</si>
  <si>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</si>
  <si>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</si>
  <si>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</si>
  <si>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</si>
  <si>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</si>
  <si>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</si>
  <si>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</si>
  <si>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</si>
  <si>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</si>
  <si>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</si>
  <si>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</si>
  <si>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</si>
  <si>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</si>
  <si>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</si>
  <si>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</si>
  <si>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</si>
  <si>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</si>
  <si>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</si>
  <si>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</si>
  <si>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</si>
  <si>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</si>
  <si>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</si>
  <si>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</si>
  <si>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</si>
  <si>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</si>
  <si>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</si>
  <si>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</si>
  <si>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</si>
  <si>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</si>
  <si>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</si>
  <si>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</si>
  <si>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</si>
  <si>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</si>
  <si>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</si>
  <si>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</si>
  <si>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</si>
  <si>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</si>
  <si>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</si>
  <si>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</si>
  <si>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</si>
  <si>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</si>
  <si>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</si>
  <si>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</si>
  <si>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</si>
  <si>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</si>
  <si>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</si>
  <si>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</si>
  <si>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</si>
  <si>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</si>
  <si>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</si>
  <si>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</si>
  <si>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</si>
  <si>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</si>
  <si>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</si>
  <si>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</si>
  <si>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</si>
  <si>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</si>
  <si>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</si>
  <si>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</si>
  <si>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</si>
  <si>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</si>
  <si>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</si>
  <si>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</si>
  <si>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</si>
  <si>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</si>
  <si>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</si>
  <si>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</si>
  <si>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</si>
  <si>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</si>
  <si>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</si>
  <si>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</si>
  <si>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</si>
  <si>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</si>
  <si>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</si>
  <si>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</si>
  <si>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</si>
  <si>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</si>
  <si>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</si>
  <si>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</si>
  <si>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</si>
  <si>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</si>
  <si>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</si>
  <si>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</si>
  <si>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</si>
  <si>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</si>
  <si>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</si>
  <si>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</si>
  <si>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</si>
  <si>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</si>
  <si>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</si>
  <si>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</si>
  <si>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</si>
  <si>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</si>
  <si>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</si>
  <si>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</si>
  <si>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</si>
  <si>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</si>
  <si>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</si>
  <si>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</si>
  <si>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</si>
  <si>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</si>
  <si>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</si>
  <si>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</si>
  <si>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</si>
  <si>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</si>
  <si>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</si>
  <si>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</si>
  <si>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</si>
  <si>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</si>
  <si>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</si>
  <si>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</si>
  <si>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</si>
  <si>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</si>
  <si>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</si>
  <si>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</si>
  <si>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</si>
  <si>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</si>
  <si>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</si>
  <si>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</si>
  <si>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</si>
  <si>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</si>
  <si>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</si>
  <si>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</si>
  <si>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</si>
  <si>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</si>
  <si>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</si>
  <si>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</si>
  <si>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</si>
  <si>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</si>
  <si>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</si>
  <si>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</si>
  <si>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</si>
  <si>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</si>
  <si>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</si>
  <si>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</si>
  <si>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</si>
  <si>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</si>
  <si>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</si>
  <si>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</si>
  <si>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</si>
  <si>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</si>
  <si>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</si>
  <si>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</si>
  <si>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</si>
  <si>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</si>
  <si>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</si>
  <si>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</si>
  <si>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</si>
  <si>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</si>
  <si>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</si>
  <si>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</si>
  <si>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</si>
  <si>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</si>
  <si>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</si>
  <si>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</si>
  <si>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</si>
  <si>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</si>
  <si>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</si>
  <si>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</si>
  <si>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</si>
  <si>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</si>
  <si>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</si>
  <si>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</si>
  <si>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</si>
  <si>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</si>
  <si>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</si>
  <si>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</si>
  <si>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</si>
  <si>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</si>
  <si>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</si>
  <si>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</si>
  <si>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</si>
  <si>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</si>
  <si>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</si>
  <si>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</si>
  <si>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</si>
  <si>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</si>
  <si>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</si>
  <si>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</si>
  <si>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</si>
  <si>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</si>
  <si>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</si>
  <si>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</si>
  <si>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</si>
  <si>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</si>
  <si>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</si>
  <si>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</si>
  <si>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</si>
  <si>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</si>
  <si>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</si>
  <si>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</si>
  <si>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</si>
  <si>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</si>
  <si>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</si>
  <si>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</si>
  <si>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</si>
  <si>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</si>
  <si>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</si>
  <si>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</si>
  <si>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</si>
  <si>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</si>
  <si>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</si>
  <si>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</si>
  <si>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</si>
  <si>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</si>
  <si>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</si>
  <si>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</si>
  <si>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</si>
  <si>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</si>
  <si>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</si>
  <si>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</si>
  <si>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</si>
  <si>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</si>
  <si>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</si>
  <si>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</si>
  <si>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</si>
  <si>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</si>
  <si>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</si>
  <si>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</si>
  <si>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</si>
  <si>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</si>
  <si>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</si>
  <si>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</si>
  <si>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</si>
  <si>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</si>
  <si>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</si>
  <si>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</si>
  <si>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</si>
  <si>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</si>
  <si>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</si>
  <si>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</si>
  <si>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</si>
  <si>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</si>
  <si>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</si>
  <si>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</si>
  <si>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</si>
  <si>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</si>
  <si>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</si>
  <si>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</si>
  <si>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</si>
  <si>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</si>
  <si>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</si>
  <si>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</si>
  <si>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</si>
  <si>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</si>
  <si>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</si>
  <si>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</si>
  <si>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</si>
  <si>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</si>
  <si>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</si>
  <si>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</si>
  <si>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</si>
  <si>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</si>
  <si>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</si>
  <si>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</si>
  <si>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</si>
  <si>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</si>
  <si>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</si>
  <si>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</si>
  <si>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</si>
  <si>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</si>
  <si>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</si>
  <si>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</si>
  <si>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</si>
  <si>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</si>
  <si>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</si>
  <si>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</si>
  <si>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</si>
  <si>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</si>
  <si>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</si>
  <si>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</si>
  <si>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</si>
  <si>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</si>
  <si>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</si>
  <si>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</si>
  <si>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</si>
  <si>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</si>
  <si>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</si>
  <si>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</si>
  <si>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</si>
  <si>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</si>
  <si>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</si>
  <si>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</si>
  <si>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</si>
  <si>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</si>
  <si>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</si>
  <si>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</si>
  <si>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</si>
  <si>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</si>
  <si>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</si>
  <si>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</si>
  <si>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</si>
  <si>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</si>
  <si>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</si>
  <si>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</si>
  <si>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</si>
  <si>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</si>
  <si>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</si>
  <si>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</si>
  <si>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</si>
  <si>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</si>
  <si>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</si>
  <si>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</si>
  <si>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</si>
  <si>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</si>
  <si>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</si>
  <si>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</si>
  <si>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</si>
  <si>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</si>
  <si>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</si>
  <si>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</si>
  <si>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</si>
  <si>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</si>
  <si>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</si>
  <si>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</si>
  <si>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</si>
  <si>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</si>
  <si>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</si>
  <si>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</si>
  <si>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</si>
  <si>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</si>
  <si>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</si>
  <si>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</si>
  <si>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</si>
  <si>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</si>
  <si>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</si>
  <si>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</si>
  <si>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</si>
  <si>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</si>
  <si>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</si>
  <si>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</si>
  <si>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</si>
  <si>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</si>
  <si>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</si>
  <si>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</si>
  <si>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</si>
  <si>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</si>
  <si>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</si>
  <si>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</si>
  <si>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</si>
  <si>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</si>
  <si>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</si>
  <si>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</si>
  <si>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</si>
  <si>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</si>
  <si>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</si>
  <si>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</si>
  <si>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</si>
  <si>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</si>
  <si>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</si>
  <si>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</si>
  <si>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</si>
  <si>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</si>
  <si>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</si>
  <si>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</si>
  <si>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</si>
  <si>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</si>
  <si>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</si>
  <si>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</si>
  <si>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</si>
  <si>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</si>
  <si>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</si>
  <si>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</si>
  <si>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</si>
  <si>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</si>
  <si>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</si>
  <si>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</si>
  <si>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</si>
  <si>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</si>
  <si>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</si>
  <si>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</si>
  <si>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</si>
  <si>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</si>
  <si>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</si>
  <si>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</si>
  <si>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</si>
  <si>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</si>
  <si>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</si>
  <si>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</si>
  <si>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</si>
  <si>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</si>
  <si>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</si>
  <si>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</si>
  <si>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</si>
  <si>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</si>
  <si>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</si>
  <si>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</si>
  <si>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</si>
  <si>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</si>
  <si>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</si>
  <si>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</si>
  <si>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</si>
  <si>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</si>
  <si>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</si>
  <si>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</si>
  <si>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</si>
  <si>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</si>
  <si>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</si>
  <si>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</si>
  <si>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</si>
  <si>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</si>
  <si>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</si>
  <si>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</si>
  <si>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</si>
  <si>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</si>
  <si>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</si>
  <si>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</si>
  <si>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</si>
  <si>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</si>
  <si>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</si>
  <si>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</si>
  <si>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</si>
  <si>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</si>
  <si>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</si>
  <si>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</si>
  <si>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</si>
  <si>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</si>
  <si>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</si>
  <si>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</si>
  <si>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</si>
  <si>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</si>
  <si>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</si>
  <si>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</si>
  <si>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</si>
  <si>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</si>
  <si>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</si>
  <si>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</si>
  <si>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</si>
  <si>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</si>
  <si>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</si>
  <si>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</si>
  <si>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</si>
  <si>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</si>
  <si>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</si>
  <si>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</si>
  <si>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</si>
  <si>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</si>
  <si>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</si>
  <si>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</si>
  <si>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</si>
  <si>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</si>
  <si>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</si>
  <si>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</si>
  <si>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</si>
  <si>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</si>
  <si>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</si>
  <si>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</si>
  <si>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</si>
  <si>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</si>
  <si>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</si>
  <si>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</si>
  <si>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</si>
  <si>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</si>
  <si>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</si>
  <si>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</si>
  <si>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</si>
  <si>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</si>
  <si>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</si>
  <si>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</si>
  <si>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</si>
  <si>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</si>
  <si>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</si>
  <si>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</si>
  <si>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</si>
  <si>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</si>
  <si>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</si>
  <si>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</si>
  <si>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</si>
  <si>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</si>
  <si>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</si>
  <si>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</si>
  <si>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</si>
  <si>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</si>
  <si>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</si>
  <si>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</si>
  <si>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</si>
  <si>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</si>
  <si>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</si>
  <si>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</si>
  <si>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</si>
  <si>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</si>
  <si>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</si>
  <si>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</si>
  <si>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</si>
  <si>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</si>
  <si>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</si>
  <si>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</si>
  <si>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</si>
  <si>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</si>
  <si>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</si>
  <si>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</si>
  <si>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</si>
  <si>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</si>
  <si>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</si>
  <si>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</si>
  <si>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</si>
  <si>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</si>
  <si>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</si>
  <si>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</si>
  <si>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</si>
  <si>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</si>
  <si>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</si>
  <si>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</si>
  <si>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</si>
  <si>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</si>
  <si>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</si>
  <si>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</si>
  <si>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</si>
  <si>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</si>
  <si>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</si>
  <si>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</si>
  <si>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</si>
  <si>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</si>
  <si>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</si>
  <si>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</si>
  <si>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</si>
  <si>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</si>
  <si>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</si>
  <si>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</si>
  <si>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</si>
  <si>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</si>
  <si>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</si>
  <si>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</si>
  <si>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</si>
  <si>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</si>
  <si>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</si>
  <si>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</si>
  <si>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</si>
  <si>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</si>
  <si>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</si>
  <si>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</si>
  <si>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</si>
  <si>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</si>
  <si>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</si>
  <si>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</si>
  <si>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</si>
  <si>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</si>
  <si>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</si>
  <si>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</si>
  <si>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</si>
  <si>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</si>
  <si>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</si>
  <si>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</si>
  <si>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</si>
  <si>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</si>
  <si>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</si>
  <si>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</si>
  <si>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</si>
  <si>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</si>
  <si>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</si>
  <si>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</si>
  <si>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</si>
  <si>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</si>
  <si>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</si>
  <si>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</si>
  <si>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</si>
  <si>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</si>
  <si>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</si>
  <si>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</si>
  <si>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</si>
  <si>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</si>
  <si>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</si>
  <si>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</si>
  <si>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</si>
  <si>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</si>
  <si>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</si>
  <si>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</si>
  <si>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</si>
  <si>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</si>
  <si>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</si>
  <si>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</si>
  <si>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</si>
  <si>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</si>
  <si>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</si>
  <si>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</si>
  <si>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</si>
  <si>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</si>
  <si>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</si>
  <si>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</si>
  <si>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</si>
  <si>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</si>
  <si>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</si>
  <si>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</si>
  <si>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</si>
  <si>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</si>
  <si>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</si>
  <si>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</si>
  <si>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</si>
  <si>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</si>
  <si>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</si>
  <si>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</si>
  <si>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</si>
  <si>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</si>
  <si>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</si>
  <si>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</si>
  <si>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</si>
  <si>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</si>
  <si>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</si>
  <si>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</si>
  <si>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</si>
  <si>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</si>
  <si>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</si>
  <si>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</si>
  <si>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</si>
  <si>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</si>
  <si>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</si>
  <si>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</si>
  <si>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</si>
  <si>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</si>
  <si>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</si>
  <si>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</si>
  <si>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</si>
  <si>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</si>
  <si>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</si>
  <si>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</si>
  <si>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</si>
  <si>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</si>
  <si>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</si>
  <si>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</si>
  <si>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</si>
  <si>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</si>
  <si>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</si>
  <si>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</si>
  <si>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</si>
  <si>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</si>
  <si>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</si>
  <si>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</si>
  <si>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</si>
  <si>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</si>
  <si>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</si>
  <si>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</si>
  <si>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</si>
  <si>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</si>
  <si>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</si>
  <si>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</si>
  <si>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</si>
  <si>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</si>
  <si>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</si>
  <si>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</si>
  <si>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</si>
  <si>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</si>
  <si>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</si>
  <si>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</si>
  <si>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</si>
  <si>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</si>
  <si>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</si>
  <si>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</si>
  <si>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</si>
  <si>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</si>
  <si>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</si>
  <si>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</si>
  <si>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</si>
  <si>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</si>
  <si>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</si>
  <si>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</si>
  <si>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</si>
  <si>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</si>
  <si>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</si>
  <si>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</si>
  <si>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</si>
  <si>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</si>
  <si>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</si>
  <si>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</si>
  <si>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</si>
  <si>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</si>
  <si>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</si>
  <si>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</si>
  <si>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</si>
  <si>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</si>
  <si>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</si>
  <si>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</si>
  <si>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</si>
  <si>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</si>
  <si>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</si>
  <si>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</si>
  <si>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</si>
  <si>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</si>
  <si>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</si>
  <si>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</si>
  <si>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</si>
  <si>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</si>
  <si>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</si>
  <si>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</si>
  <si>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</si>
  <si>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</si>
  <si>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</si>
  <si>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</si>
  <si>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</si>
  <si>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</si>
  <si>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</si>
  <si>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</si>
  <si>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</si>
  <si>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</si>
  <si>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</si>
  <si>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</si>
  <si>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</si>
  <si>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</si>
  <si>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</si>
  <si>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</si>
  <si>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</si>
  <si>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</si>
  <si>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</si>
  <si>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</si>
  <si>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</si>
  <si>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</si>
  <si>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</si>
  <si>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</si>
  <si>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</si>
  <si>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</si>
  <si>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</si>
  <si>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</si>
  <si>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</si>
  <si>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</si>
  <si>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</si>
  <si>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</si>
  <si>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</si>
  <si>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</si>
  <si>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</si>
  <si>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</si>
  <si>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</si>
  <si>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</si>
  <si>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</si>
  <si>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</si>
  <si>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</si>
  <si>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</si>
  <si>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</si>
  <si>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</si>
  <si>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</si>
  <si>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</si>
  <si>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</si>
  <si>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</si>
  <si>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</si>
  <si>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</si>
  <si>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</si>
  <si>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</si>
  <si>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</si>
  <si>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</si>
  <si>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</si>
  <si>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</si>
  <si>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</si>
  <si>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</si>
  <si>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</si>
  <si>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</si>
  <si>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</si>
  <si>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</si>
  <si>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</si>
  <si>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</si>
  <si>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</si>
  <si>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</si>
  <si>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</si>
  <si>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</si>
  <si>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</si>
  <si>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</si>
  <si>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</si>
  <si>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</si>
  <si>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</si>
  <si>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</si>
  <si>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</si>
  <si>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</si>
  <si>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</si>
  <si>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</si>
  <si>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</si>
  <si>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</si>
  <si>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</si>
  <si>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</si>
  <si>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</si>
  <si>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</si>
  <si>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</si>
  <si>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</si>
  <si>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</si>
  <si>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</si>
  <si>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</si>
  <si>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</si>
  <si>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</si>
  <si>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</si>
  <si>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</si>
  <si>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</si>
  <si>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</si>
  <si>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</si>
  <si>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</si>
  <si>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</si>
  <si>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</si>
  <si>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</si>
  <si>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</si>
  <si>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</si>
  <si>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</si>
  <si>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</si>
  <si>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</si>
  <si>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</si>
  <si>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</si>
  <si>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</si>
  <si>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</si>
  <si>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</si>
  <si>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</si>
  <si>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</si>
  <si>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</si>
  <si>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</si>
  <si>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</si>
  <si>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</si>
  <si>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</si>
  <si>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</si>
  <si>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</si>
  <si>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</si>
  <si>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</si>
  <si>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</si>
  <si>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</si>
  <si>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</si>
  <si>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</si>
  <si>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</si>
  <si>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</si>
  <si>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</si>
  <si>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</si>
  <si>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</si>
  <si>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</si>
  <si>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</si>
  <si>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</si>
  <si>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</si>
  <si>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</si>
  <si>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</si>
  <si>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</si>
  <si>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</si>
  <si>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</si>
  <si>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</si>
  <si>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</si>
  <si>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</si>
  <si>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</si>
  <si>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</si>
  <si>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</si>
  <si>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</si>
  <si>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</si>
  <si>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</si>
  <si>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</si>
  <si>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</si>
  <si>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</si>
  <si>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</si>
  <si>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</si>
  <si>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</si>
  <si>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</si>
  <si>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</si>
  <si>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</si>
  <si>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</si>
  <si>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</si>
  <si>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</si>
  <si>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</si>
  <si>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</si>
  <si>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</si>
  <si>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</si>
  <si>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</si>
  <si>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</si>
  <si>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</si>
  <si>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</si>
  <si>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</si>
  <si>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</si>
  <si>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</si>
  <si>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</si>
  <si>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</si>
  <si>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</si>
  <si>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</si>
  <si>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</si>
  <si>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</si>
  <si>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</si>
  <si>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</si>
  <si>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</si>
  <si>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</si>
  <si>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</si>
  <si>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</si>
  <si>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</si>
  <si>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</si>
  <si>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</si>
  <si>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</si>
  <si>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</si>
  <si>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</si>
  <si>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</si>
  <si>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</si>
  <si>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</si>
  <si>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</si>
  <si>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</si>
  <si>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</si>
  <si>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</si>
  <si>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</si>
  <si>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</si>
  <si>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</si>
  <si>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</si>
  <si>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</si>
  <si>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</si>
  <si>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</si>
  <si>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</si>
  <si>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</si>
  <si>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</si>
  <si>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</si>
  <si>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</si>
  <si>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</si>
  <si>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</si>
  <si>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</si>
  <si>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</si>
  <si>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</si>
  <si>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</si>
  <si>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</si>
  <si>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</si>
  <si>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</si>
  <si>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</si>
  <si>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</si>
  <si>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</si>
  <si>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</si>
  <si>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</si>
  <si>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</si>
  <si>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</si>
  <si>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</si>
  <si>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</si>
  <si>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</si>
  <si>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</si>
  <si>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</si>
  <si>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</si>
  <si>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</si>
  <si>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</si>
  <si>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</si>
  <si>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</si>
  <si>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</si>
  <si>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</si>
  <si>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</si>
  <si>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</si>
  <si>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</si>
  <si>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</si>
  <si>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</si>
  <si>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</si>
  <si>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</si>
  <si>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</si>
  <si>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</si>
  <si>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</si>
  <si>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</si>
  <si>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</si>
  <si>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</si>
  <si>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</si>
  <si>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</si>
  <si>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</si>
  <si>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</si>
  <si>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</si>
  <si>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</si>
  <si>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</si>
  <si>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</si>
  <si>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</si>
  <si>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</si>
  <si>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</si>
  <si>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</si>
  <si>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</si>
  <si>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</si>
  <si>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</si>
  <si>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</si>
  <si>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</si>
  <si>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</si>
  <si>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</si>
  <si>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</si>
  <si>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</si>
  <si>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</si>
  <si>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</si>
  <si>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</si>
  <si>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</si>
  <si>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</si>
  <si>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</si>
  <si>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</si>
  <si>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</si>
  <si>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</si>
  <si>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</si>
  <si>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</si>
  <si>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</si>
  <si>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</si>
  <si>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</si>
  <si>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</si>
  <si>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</si>
  <si>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</si>
  <si>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</si>
  <si>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</si>
  <si>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</si>
  <si>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</si>
  <si>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</si>
  <si>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</si>
  <si>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</si>
  <si>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</si>
  <si>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</si>
  <si>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</si>
  <si>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</si>
  <si>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</si>
  <si>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</si>
  <si>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</si>
  <si>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</si>
  <si>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</si>
  <si>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</si>
  <si>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</si>
  <si>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</si>
  <si>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</si>
  <si>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</si>
  <si>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</si>
  <si>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</si>
  <si>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</si>
  <si>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</si>
  <si>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</si>
  <si>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</si>
  <si>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</si>
  <si>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</si>
  <si>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</si>
  <si>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</si>
  <si>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</si>
  <si>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</si>
  <si>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</si>
  <si>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</si>
  <si>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</si>
  <si>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</si>
  <si>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</si>
  <si>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</si>
  <si>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</si>
  <si>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</si>
  <si>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</si>
  <si>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</si>
  <si>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</si>
  <si>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</si>
  <si>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</si>
  <si>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</si>
  <si>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</si>
  <si>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</si>
  <si>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</si>
  <si>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</si>
  <si>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</si>
  <si>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</si>
  <si>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</si>
  <si>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</si>
  <si>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</si>
  <si>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</si>
  <si>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</si>
  <si>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</si>
  <si>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</si>
  <si>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</si>
  <si>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</si>
  <si>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</si>
  <si>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</si>
  <si>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</si>
  <si>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</si>
  <si>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</si>
  <si>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</si>
  <si>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</si>
  <si>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</si>
  <si>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</si>
  <si>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</si>
  <si>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</si>
  <si>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</si>
  <si>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</si>
  <si>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</si>
  <si>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</si>
  <si>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</si>
  <si>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</si>
  <si>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</si>
  <si>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</si>
  <si>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</si>
  <si>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</si>
  <si>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</si>
  <si>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</si>
  <si>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</si>
  <si>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</si>
  <si>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</si>
  <si>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</si>
  <si>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</si>
  <si>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</si>
  <si>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</si>
  <si>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</si>
  <si>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</si>
  <si>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</si>
  <si>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</si>
  <si>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</si>
  <si>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</si>
  <si>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</si>
  <si>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</si>
  <si>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</si>
  <si>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</si>
  <si>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</si>
  <si>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</si>
  <si>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</si>
  <si>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</si>
  <si>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</si>
  <si>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</si>
  <si>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</si>
  <si>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</si>
  <si>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</si>
  <si>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</si>
  <si>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</si>
  <si>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</si>
  <si>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</si>
  <si>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</si>
  <si>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</si>
  <si>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</si>
  <si>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</si>
  <si>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</si>
  <si>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</si>
  <si>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</si>
  <si>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</si>
  <si>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</si>
  <si>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</si>
  <si>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</si>
  <si>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</si>
  <si>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</si>
  <si>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</si>
  <si>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</si>
  <si>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</si>
  <si>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</si>
  <si>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</si>
  <si>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</si>
  <si>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</si>
  <si>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</si>
  <si>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</si>
  <si>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</si>
  <si>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</si>
  <si>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</si>
  <si>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</si>
  <si>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</si>
  <si>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</si>
  <si>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</si>
  <si>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</si>
  <si>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</si>
  <si>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</si>
  <si>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</si>
  <si>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</si>
  <si>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</si>
  <si>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</si>
  <si>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</si>
  <si>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</si>
  <si>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</si>
  <si>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</si>
  <si>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</si>
  <si>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</si>
  <si>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</si>
  <si>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</si>
  <si>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</si>
  <si>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</si>
  <si>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</si>
  <si>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</si>
  <si>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</si>
  <si>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</si>
  <si>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</si>
  <si>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</si>
  <si>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</si>
  <si>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</si>
  <si>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</si>
  <si>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</si>
  <si>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</si>
  <si>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</si>
  <si>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</si>
  <si>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</si>
  <si>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</si>
  <si>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</si>
  <si>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</si>
  <si>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</si>
  <si>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</si>
  <si>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</si>
  <si>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</si>
  <si>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</si>
  <si>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</si>
  <si>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</si>
  <si>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</si>
  <si>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</si>
  <si>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</si>
  <si>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</si>
  <si>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</si>
  <si>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</si>
  <si>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</si>
  <si>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</si>
  <si>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</si>
  <si>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</si>
  <si>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</si>
  <si>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</si>
  <si>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</si>
  <si>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</si>
  <si>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</si>
  <si>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</si>
  <si>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</si>
  <si>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</si>
  <si>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</si>
  <si>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55-098-0130-02</t>
  </si>
  <si>
    <t>Wipfli LLP</t>
  </si>
  <si>
    <t>Whiteside</t>
  </si>
  <si>
    <t>Matthew J. Schueler</t>
  </si>
  <si>
    <t>Rock Falls Elementary School District No. 13</t>
  </si>
  <si>
    <t>602 4th Avenue</t>
  </si>
  <si>
    <t xml:space="preserve">Rock Falls </t>
  </si>
  <si>
    <t>danarickx@dist13.org</t>
  </si>
  <si>
    <t>403 East 3rd Street</t>
  </si>
  <si>
    <t xml:space="preserve">Sterling </t>
  </si>
  <si>
    <t>IL</t>
  </si>
  <si>
    <t>815-626-1277</t>
  </si>
  <si>
    <t>815-625-9118</t>
  </si>
  <si>
    <t>066-004023</t>
  </si>
  <si>
    <t>mschueler@wipfli.com</t>
  </si>
  <si>
    <t>Dan Arickx</t>
  </si>
  <si>
    <t>815-626-2604</t>
  </si>
  <si>
    <t>815-626-2627</t>
  </si>
  <si>
    <t>23. Qualified for the District not maintaining historical cost and adverse for not adopting GASB 34.</t>
  </si>
  <si>
    <t>NA</t>
  </si>
  <si>
    <t>N/A</t>
  </si>
  <si>
    <t>None</t>
  </si>
  <si>
    <t>Qualified and Adverse</t>
  </si>
  <si>
    <t>Unmodified</t>
  </si>
  <si>
    <t>10.553, 10.555</t>
  </si>
  <si>
    <t>Child Nutrition Cluster</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</si>
  <si>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</si>
  <si>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</si>
  <si>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</si>
  <si>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</si>
  <si>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</si>
  <si>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</si>
  <si>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 by the external auditors.  The District believes this process to be the most economical and appropriate to help ensure complete the proper financial reporting.</t>
  </si>
  <si>
    <t>2016-001</t>
  </si>
  <si>
    <t>The District does not have an internal control policy</t>
  </si>
  <si>
    <t>in place over annual financial reporting that would enable</t>
  </si>
  <si>
    <t xml:space="preserve">management to prepare its annual financial statements </t>
  </si>
  <si>
    <t>and ensure related footnote disclosures are complete</t>
  </si>
  <si>
    <t>and presented in accordance with the financial reporting</t>
  </si>
  <si>
    <t>provisions of the Illinois State Board of Education.</t>
  </si>
  <si>
    <t>Ongoing</t>
  </si>
  <si>
    <t>2017-001</t>
  </si>
  <si>
    <t>2017-002</t>
  </si>
  <si>
    <t>The District had excess of expenditures over</t>
  </si>
  <si>
    <t>budget with several funds.</t>
  </si>
  <si>
    <t>Administration Assessment for FY18 Medical Assistance Program</t>
  </si>
  <si>
    <t>Administration Assessment for FY17 Medical Assistance Program</t>
  </si>
  <si>
    <t>Project Name</t>
  </si>
  <si>
    <t>CFDA#</t>
  </si>
  <si>
    <t>Identifying Number</t>
  </si>
  <si>
    <t>Obligations</t>
  </si>
  <si>
    <t>Total Expenses</t>
  </si>
  <si>
    <t>Final Status</t>
  </si>
  <si>
    <t>US Dept of Agriculture</t>
  </si>
  <si>
    <t>Pass-thru: IL State Board of Education</t>
  </si>
  <si>
    <t>School Breakfast Program (M)</t>
  </si>
  <si>
    <t>16-4220-00</t>
  </si>
  <si>
    <t>17-4220-00</t>
  </si>
  <si>
    <t>National School Lunch Program (M)</t>
  </si>
  <si>
    <t>16-4210-00</t>
  </si>
  <si>
    <t>17-4210-00</t>
  </si>
  <si>
    <t>Food Commodities (M)</t>
  </si>
  <si>
    <t>Dept of Defense Fresh Fruit &amp; Vegetables (M)</t>
  </si>
  <si>
    <t>09801300A2017</t>
  </si>
  <si>
    <t>TOTAL US Dept of Agriculture</t>
  </si>
  <si>
    <t>US Dept of Education</t>
  </si>
  <si>
    <t>Title I, Part A Cluster</t>
  </si>
  <si>
    <t>84.010A</t>
  </si>
  <si>
    <t>16-4300-00</t>
  </si>
  <si>
    <t>17-4300-00</t>
  </si>
  <si>
    <t>Rural Education</t>
  </si>
  <si>
    <t>Title VI - Rural Education Initiative</t>
  </si>
  <si>
    <t>84.358B</t>
  </si>
  <si>
    <t>17-4107-00</t>
  </si>
  <si>
    <t>TOTAL US Dept of Education</t>
  </si>
  <si>
    <t>US Dept of Health and Human Services</t>
  </si>
  <si>
    <t>Pass-thru: IL Dept of Healthcare and Family Services</t>
  </si>
  <si>
    <t>Medical Assistance Program</t>
  </si>
  <si>
    <t>Medicaid Outreach</t>
  </si>
  <si>
    <t>n/a</t>
  </si>
  <si>
    <t>FY2016</t>
  </si>
  <si>
    <t>FY2017</t>
  </si>
  <si>
    <t>TOTAL US Dept of Health and Human Services</t>
  </si>
  <si>
    <t>TOTALS</t>
  </si>
  <si>
    <t>(M) denotes major program</t>
  </si>
  <si>
    <t>18-4220-01</t>
  </si>
  <si>
    <t>18-4210-01</t>
  </si>
  <si>
    <t>09801300A2018</t>
  </si>
  <si>
    <t>18-4300-01</t>
  </si>
  <si>
    <t>18-4107-01</t>
  </si>
  <si>
    <t>FY2018</t>
  </si>
  <si>
    <t>Montmorency School District, East Coloma-Nelson C.E.S.D.</t>
  </si>
  <si>
    <t>Bi-County Special Education Cooperative</t>
  </si>
  <si>
    <t>The following LEAs are also part of the Bi-County Special Education Cooperative:  Erie #1, River Bend #2, P'town/Lyndon/Tampico #3, Sterling #5, Morrison #6,</t>
  </si>
  <si>
    <t>East Coloma #12, Montmorency #145, Rock Falls High #301, Eastland #308, Chadwick/M'ville #399</t>
  </si>
  <si>
    <t>2012A Working Cash / Fire Safety Bonds</t>
  </si>
  <si>
    <t>1, 4</t>
  </si>
  <si>
    <t>2015 General Obligation Revenue Bond</t>
  </si>
  <si>
    <t>Page 5 - Account 190 - Educational and IMFR - Board payroll withholdings</t>
  </si>
  <si>
    <t>Educational Fund - Account #1690: $151,887 - Hot Lunch Other Revenue</t>
  </si>
  <si>
    <t>Educational Fund - Account #1719: $9,222 - Athletic Other Revenue</t>
  </si>
  <si>
    <t>Educational Fund - Account #1993: $27,760 - Kids Club Child Care</t>
  </si>
  <si>
    <t>Educational Fund - Account #1999: $8,576 - Other local receipts and reimbursement revenue</t>
  </si>
  <si>
    <t>O&amp;M Fund - Account #1999:  $21,328 - Other local receipts and reimbursement revenue</t>
  </si>
  <si>
    <t>Transportation Fund - Account #1999: $7,155 - Other Income</t>
  </si>
  <si>
    <t>Tort Fund - Account #1999:  $4,572 - Other local receipts</t>
  </si>
  <si>
    <t>Education Fund - Account #3999: $61,933 - Other State Grants</t>
  </si>
  <si>
    <t>Transportation Fund - Account #2190: $5,104 - Crossing guard salary</t>
  </si>
  <si>
    <t>IMRF Fund - Account #2190: $23 - Crossing guard benefits</t>
  </si>
  <si>
    <t>Education Fund - Account #3299: $470 - Vocational Ed Grant</t>
  </si>
  <si>
    <r>
      <t xml:space="preserve">The accompanying Schedule of Expenditures of Federal Awards includes the federal grant activity of Rock Falls Elementary School District No. 13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</si>
  <si>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r>
      <t xml:space="preserve">The following amounts were expended in the form of non-cash assistance by </t>
    </r>
    <r>
      <rPr>
        <b/>
        <sz val="9"/>
        <rFont val="Calibri"/>
        <family val="2"/>
        <scheme val="minor"/>
      </rPr>
      <t>Rock Falls Elementary School District No. 13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</si>
  <si>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Corrected in current year</t>
  </si>
  <si>
    <t>Corrected in prior year</t>
  </si>
  <si>
    <t>Revenue (7/1/16-6/30/17)</t>
  </si>
  <si>
    <t>Revenue (7/1/17-6/30/18)</t>
  </si>
  <si>
    <t>Pass through to Subrecipients (7/1/16-6/30/17)</t>
  </si>
  <si>
    <t>Expenditures (7/1/17-6/30/18)</t>
  </si>
  <si>
    <t>Pass through to Subrecipients (7/1/17-6/30/18)</t>
  </si>
  <si>
    <t>Expenditures (7/1/16-6/30/17)</t>
  </si>
  <si>
    <r>
      <t xml:space="preserve">Of the federal expenditures presented in the schedule, </t>
    </r>
    <r>
      <rPr>
        <b/>
        <sz val="9"/>
        <rFont val="Calibri"/>
        <family val="2"/>
        <scheme val="minor"/>
      </rPr>
      <t>Rock Falls Elementary School District No. 13</t>
    </r>
    <r>
      <rPr>
        <sz val="9"/>
        <rFont val="Calibri"/>
        <family val="2"/>
        <scheme val="minor"/>
      </rPr>
      <t xml:space="preserve"> provided federal awards to subrecipients as follows:</t>
    </r>
  </si>
  <si>
    <t>Rock Falls Elem SD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</si>
</sst>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b/>
      <sz val="11"/>
      <name val="Arial"/>
      <family val="2"/>
    </font>
    <font>
      <b/>
      <sz val="8"/>
      <color indexed="10"/>
      <name val="Arial"/>
      <family val="2"/>
    </font>
    <font>
      <b/>
      <sz val="10"/>
      <color theme="1"/>
      <name val="Arial"/>
      <family val="2"/>
    </font>
    <font>
      <sz val="10"/>
      <color theme="0"/>
      <name val="Arial"/>
      <family val="2"/>
    </font>
    <font>
      <sz val="11"/>
      <color rgb="FF9C6500"/>
      <name val="Calibri"/>
      <family val="2"/>
      <scheme val="minor"/>
    </font>
    <font>
      <b/>
      <sz val="18"/>
      <color theme="3"/>
      <name val="Cambria"/>
      <family val="2"/>
      <scheme val="major"/>
    </font>
    <font>
      <sz val="10"/>
      <color indexed="8"/>
      <name val="Arial"/>
      <family val="2"/>
    </font>
    <font>
      <sz val="12"/>
      <name val="Times New Roman"/>
      <family val="1"/>
    </font>
    <font>
      <sz val="11"/>
      <color indexed="8"/>
      <name val="Calibri"/>
      <family val="2"/>
    </font>
    <font>
      <sz val="12"/>
      <name val="MartinGotURWTLig"/>
    </font>
    <font>
      <sz val="11"/>
      <color indexed="8"/>
      <name val="Times New Roman"/>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sz val="11"/>
      <color theme="1"/>
      <name val="Times New Roman"/>
      <family val="2"/>
    </font>
    <font>
      <b/>
      <sz val="10"/>
      <color rgb="FF3F3F3F"/>
      <name val="Arial"/>
      <family val="2"/>
    </font>
    <font>
      <sz val="10"/>
      <color rgb="FFFF0000"/>
      <name val="Arial"/>
      <family val="2"/>
    </font>
    <font>
      <sz val="8"/>
      <color indexed="10"/>
      <name val="Arial"/>
      <family val="2"/>
    </font>
    <font>
      <sz val="10"/>
      <color indexed="8"/>
      <name val="Arial"/>
      <family val="2"/>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0"/>
      <color indexed="8"/>
      <name val="Arial"/>
      <family val="2"/>
    </font>
    <font>
      <sz val="12"/>
      <name val="Arial"/>
      <family val="2"/>
    </font>
    <font>
      <sz val="10"/>
      <name val="MS Sans Serif"/>
    </font>
    <font>
      <sz val="12"/>
      <name val="Times New Roman"/>
      <family val="1"/>
    </font>
    <font>
      <b/>
      <sz val="18"/>
      <color indexed="62"/>
      <name val="Cambria"/>
      <family val="2"/>
      <scheme val="major"/>
    </font>
  </fonts>
  <fills count="7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9"/>
      </patternFill>
    </fill>
    <fill>
      <patternFill patternType="solid">
        <fgColor indexed="46"/>
      </patternFill>
    </fill>
    <fill>
      <patternFill patternType="solid">
        <fgColor indexed="44"/>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theme="0"/>
        <bgColor indexed="64"/>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56"/>
      </top>
      <bottom style="double">
        <color indexed="56"/>
      </bottom>
      <diagonal/>
    </border>
    <border>
      <left/>
      <right/>
      <top style="thin">
        <color indexed="64"/>
      </top>
      <bottom style="thin">
        <color indexed="64"/>
      </bottom>
      <diagonal/>
    </border>
  </borders>
  <cellStyleXfs count="124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57" fillId="0" borderId="0" applyNumberFormat="0" applyFill="0" applyBorder="0" applyAlignment="0" applyProtection="0"/>
    <xf numFmtId="0" fontId="2" fillId="0" borderId="0"/>
    <xf numFmtId="0" fontId="150" fillId="58" borderId="0" applyNumberFormat="0" applyBorder="0" applyAlignment="0" applyProtection="0"/>
    <xf numFmtId="0" fontId="150" fillId="58" borderId="0" applyNumberFormat="0" applyBorder="0" applyAlignment="0" applyProtection="0"/>
    <xf numFmtId="0" fontId="2" fillId="58" borderId="0" applyNumberFormat="0" applyBorder="0" applyAlignment="0" applyProtection="0"/>
    <xf numFmtId="0" fontId="150" fillId="35"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39" borderId="0" applyNumberFormat="0" applyBorder="0" applyAlignment="0" applyProtection="0"/>
    <xf numFmtId="0" fontId="150" fillId="39" borderId="0" applyNumberFormat="0" applyBorder="0" applyAlignment="0" applyProtection="0"/>
    <xf numFmtId="0" fontId="2" fillId="39" borderId="0" applyNumberFormat="0" applyBorder="0" applyAlignment="0" applyProtection="0"/>
    <xf numFmtId="0" fontId="150" fillId="39" borderId="0" applyNumberFormat="0" applyBorder="0" applyAlignment="0" applyProtection="0"/>
    <xf numFmtId="0" fontId="150" fillId="39"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2"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2" fillId="58" borderId="0" applyNumberFormat="0" applyBorder="0" applyAlignment="0" applyProtection="0"/>
    <xf numFmtId="0" fontId="150" fillId="47"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2"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2"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36" borderId="0" applyNumberFormat="0" applyBorder="0" applyAlignment="0" applyProtection="0"/>
    <xf numFmtId="0" fontId="150" fillId="36" borderId="0" applyNumberFormat="0" applyBorder="0" applyAlignment="0" applyProtection="0"/>
    <xf numFmtId="0" fontId="2" fillId="36" borderId="0" applyNumberFormat="0" applyBorder="0" applyAlignment="0" applyProtection="0"/>
    <xf numFmtId="0" fontId="150" fillId="36" borderId="0" applyNumberFormat="0" applyBorder="0" applyAlignment="0" applyProtection="0"/>
    <xf numFmtId="0" fontId="150" fillId="36"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2"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2" fillId="60" borderId="0" applyNumberFormat="0" applyBorder="0" applyAlignment="0" applyProtection="0"/>
    <xf numFmtId="0" fontId="150" fillId="44"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2"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2"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2"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33"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33"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33" fillId="60" borderId="0" applyNumberFormat="0" applyBorder="0" applyAlignment="0" applyProtection="0"/>
    <xf numFmtId="0" fontId="155" fillId="45"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33"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33"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33" fillId="61" borderId="0" applyNumberFormat="0" applyBorder="0" applyAlignment="0" applyProtection="0"/>
    <xf numFmtId="0" fontId="155" fillId="57"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33"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33"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33"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33"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33"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33"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63" fillId="62" borderId="0" applyNumberFormat="0" applyBorder="0" applyAlignment="0" applyProtection="0"/>
    <xf numFmtId="0" fontId="163" fillId="62" borderId="0" applyNumberFormat="0" applyBorder="0" applyAlignment="0" applyProtection="0"/>
    <xf numFmtId="0" fontId="142" fillId="62" borderId="0" applyNumberFormat="0" applyBorder="0" applyAlignment="0" applyProtection="0"/>
    <xf numFmtId="0" fontId="163" fillId="28" borderId="0" applyNumberFormat="0" applyBorder="0" applyAlignment="0" applyProtection="0"/>
    <xf numFmtId="0" fontId="163" fillId="62" borderId="0" applyNumberFormat="0" applyBorder="0" applyAlignment="0" applyProtection="0"/>
    <xf numFmtId="0" fontId="163" fillId="62" borderId="0" applyNumberFormat="0" applyBorder="0" applyAlignment="0" applyProtection="0"/>
    <xf numFmtId="0" fontId="164" fillId="31" borderId="165" applyNumberFormat="0" applyAlignment="0" applyProtection="0"/>
    <xf numFmtId="0" fontId="164" fillId="31" borderId="165" applyNumberFormat="0" applyAlignment="0" applyProtection="0"/>
    <xf numFmtId="0" fontId="145" fillId="31" borderId="165" applyNumberFormat="0" applyAlignment="0" applyProtection="0"/>
    <xf numFmtId="0" fontId="164" fillId="31" borderId="165" applyNumberFormat="0" applyAlignment="0" applyProtection="0"/>
    <xf numFmtId="0" fontId="164" fillId="31" borderId="165" applyNumberFormat="0" applyAlignment="0" applyProtection="0"/>
    <xf numFmtId="0" fontId="165" fillId="32" borderId="168" applyNumberFormat="0" applyAlignment="0" applyProtection="0"/>
    <xf numFmtId="0" fontId="165" fillId="32" borderId="168" applyNumberFormat="0" applyAlignment="0" applyProtection="0"/>
    <xf numFmtId="0" fontId="147" fillId="32" borderId="168" applyNumberFormat="0" applyAlignment="0" applyProtection="0"/>
    <xf numFmtId="0" fontId="165" fillId="32" borderId="168" applyNumberFormat="0" applyAlignment="0" applyProtection="0"/>
    <xf numFmtId="0" fontId="165" fillId="32" borderId="168" applyNumberFormat="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60" fillId="0" borderId="0" applyFont="0" applyFill="0" applyBorder="0" applyAlignment="0" applyProtection="0"/>
    <xf numFmtId="43" fontId="158" fillId="0" borderId="0" applyFont="0" applyFill="0" applyBorder="0" applyAlignment="0" applyProtection="0"/>
    <xf numFmtId="43" fontId="160"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62" fillId="0" borderId="0" applyFont="0" applyFill="0" applyBorder="0" applyAlignment="0" applyProtection="0"/>
    <xf numFmtId="43" fontId="17" fillId="0" borderId="0" applyFont="0" applyFill="0" applyBorder="0" applyAlignment="0" applyProtection="0"/>
    <xf numFmtId="43" fontId="162"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2"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2" fillId="0" borderId="0" applyFont="0" applyFill="0" applyBorder="0" applyAlignment="0" applyProtection="0"/>
    <xf numFmtId="43" fontId="15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27" borderId="0" applyNumberFormat="0" applyBorder="0" applyAlignment="0" applyProtection="0"/>
    <xf numFmtId="0" fontId="167" fillId="27" borderId="0" applyNumberFormat="0" applyBorder="0" applyAlignment="0" applyProtection="0"/>
    <xf numFmtId="0" fontId="141" fillId="27" borderId="0" applyNumberFormat="0" applyBorder="0" applyAlignment="0" applyProtection="0"/>
    <xf numFmtId="0" fontId="167" fillId="27" borderId="0" applyNumberFormat="0" applyBorder="0" applyAlignment="0" applyProtection="0"/>
    <xf numFmtId="0" fontId="167" fillId="27" borderId="0" applyNumberFormat="0" applyBorder="0" applyAlignment="0" applyProtection="0"/>
    <xf numFmtId="0" fontId="168" fillId="0" borderId="162" applyNumberFormat="0" applyFill="0" applyAlignment="0" applyProtection="0"/>
    <xf numFmtId="0" fontId="168" fillId="0" borderId="162" applyNumberFormat="0" applyFill="0" applyAlignment="0" applyProtection="0"/>
    <xf numFmtId="0" fontId="138" fillId="0" borderId="162" applyNumberFormat="0" applyFill="0" applyAlignment="0" applyProtection="0"/>
    <xf numFmtId="0" fontId="168" fillId="0" borderId="162" applyNumberFormat="0" applyFill="0" applyAlignment="0" applyProtection="0"/>
    <xf numFmtId="0" fontId="168" fillId="0" borderId="162" applyNumberFormat="0" applyFill="0" applyAlignment="0" applyProtection="0"/>
    <xf numFmtId="0" fontId="169" fillId="0" borderId="163" applyNumberFormat="0" applyFill="0" applyAlignment="0" applyProtection="0"/>
    <xf numFmtId="0" fontId="169" fillId="0" borderId="163" applyNumberFormat="0" applyFill="0" applyAlignment="0" applyProtection="0"/>
    <xf numFmtId="0" fontId="139" fillId="0" borderId="163" applyNumberFormat="0" applyFill="0" applyAlignment="0" applyProtection="0"/>
    <xf numFmtId="0" fontId="169" fillId="0" borderId="163" applyNumberFormat="0" applyFill="0" applyAlignment="0" applyProtection="0"/>
    <xf numFmtId="0" fontId="169" fillId="0" borderId="163" applyNumberFormat="0" applyFill="0" applyAlignment="0" applyProtection="0"/>
    <xf numFmtId="0" fontId="170" fillId="0" borderId="164" applyNumberFormat="0" applyFill="0" applyAlignment="0" applyProtection="0"/>
    <xf numFmtId="0" fontId="170" fillId="0" borderId="164" applyNumberFormat="0" applyFill="0" applyAlignment="0" applyProtection="0"/>
    <xf numFmtId="0" fontId="140" fillId="0" borderId="164" applyNumberFormat="0" applyFill="0" applyAlignment="0" applyProtection="0"/>
    <xf numFmtId="0" fontId="170" fillId="0" borderId="164" applyNumberFormat="0" applyFill="0" applyAlignment="0" applyProtection="0"/>
    <xf numFmtId="0" fontId="170" fillId="0" borderId="164"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4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30" borderId="165" applyNumberFormat="0" applyAlignment="0" applyProtection="0"/>
    <xf numFmtId="0" fontId="171" fillId="30" borderId="165" applyNumberFormat="0" applyAlignment="0" applyProtection="0"/>
    <xf numFmtId="0" fontId="143" fillId="30" borderId="165" applyNumberFormat="0" applyAlignment="0" applyProtection="0"/>
    <xf numFmtId="0" fontId="171" fillId="30" borderId="165" applyNumberFormat="0" applyAlignment="0" applyProtection="0"/>
    <xf numFmtId="0" fontId="171" fillId="30" borderId="165" applyNumberFormat="0" applyAlignment="0" applyProtection="0"/>
    <xf numFmtId="0" fontId="172" fillId="0" borderId="167" applyNumberFormat="0" applyFill="0" applyAlignment="0" applyProtection="0"/>
    <xf numFmtId="0" fontId="172" fillId="0" borderId="167" applyNumberFormat="0" applyFill="0" applyAlignment="0" applyProtection="0"/>
    <xf numFmtId="0" fontId="146" fillId="0" borderId="167" applyNumberFormat="0" applyFill="0" applyAlignment="0" applyProtection="0"/>
    <xf numFmtId="0" fontId="172" fillId="0" borderId="167" applyNumberFormat="0" applyFill="0" applyAlignment="0" applyProtection="0"/>
    <xf numFmtId="0" fontId="172" fillId="0" borderId="167" applyNumberFormat="0" applyFill="0" applyAlignment="0" applyProtection="0"/>
    <xf numFmtId="0" fontId="173" fillId="59" borderId="0" applyNumberFormat="0" applyBorder="0" applyAlignment="0" applyProtection="0"/>
    <xf numFmtId="0" fontId="173" fillId="59" borderId="0" applyNumberFormat="0" applyBorder="0" applyAlignment="0" applyProtection="0"/>
    <xf numFmtId="0" fontId="156" fillId="59" borderId="0" applyNumberFormat="0" applyBorder="0" applyAlignment="0" applyProtection="0"/>
    <xf numFmtId="0" fontId="173" fillId="2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59" fillId="0" borderId="0"/>
    <xf numFmtId="0" fontId="159" fillId="0" borderId="0"/>
    <xf numFmtId="0" fontId="159" fillId="0" borderId="0"/>
    <xf numFmtId="0" fontId="9" fillId="0" borderId="0"/>
    <xf numFmtId="0" fontId="2" fillId="0" borderId="0"/>
    <xf numFmtId="0" fontId="159" fillId="0" borderId="0"/>
    <xf numFmtId="0" fontId="159" fillId="0" borderId="0"/>
    <xf numFmtId="0" fontId="9"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9" fillId="0" borderId="0"/>
    <xf numFmtId="0" fontId="151" fillId="0" borderId="0"/>
    <xf numFmtId="0" fontId="151" fillId="0" borderId="0"/>
    <xf numFmtId="0" fontId="9" fillId="0" borderId="0"/>
    <xf numFmtId="0" fontId="2" fillId="0" borderId="0"/>
    <xf numFmtId="0" fontId="2" fillId="0" borderId="0"/>
    <xf numFmtId="0" fontId="44" fillId="0" borderId="0"/>
    <xf numFmtId="0" fontId="9" fillId="0" borderId="0"/>
    <xf numFmtId="0" fontId="9" fillId="0" borderId="0"/>
    <xf numFmtId="0" fontId="9" fillId="0" borderId="0"/>
    <xf numFmtId="0" fontId="150" fillId="0" borderId="0"/>
    <xf numFmtId="0" fontId="9" fillId="0" borderId="0"/>
    <xf numFmtId="0" fontId="44"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151" fillId="0" borderId="0"/>
    <xf numFmtId="0" fontId="9" fillId="0" borderId="0"/>
    <xf numFmtId="0" fontId="9" fillId="0" borderId="0"/>
    <xf numFmtId="0" fontId="9" fillId="0" borderId="0"/>
    <xf numFmtId="0" fontId="151" fillId="0" borderId="0"/>
    <xf numFmtId="0" fontId="9" fillId="0" borderId="0"/>
    <xf numFmtId="0" fontId="9" fillId="0" borderId="0"/>
    <xf numFmtId="0" fontId="9"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9" fillId="0" borderId="0"/>
    <xf numFmtId="0" fontId="9" fillId="0" borderId="0"/>
    <xf numFmtId="0" fontId="9" fillId="0" borderId="0"/>
    <xf numFmtId="0" fontId="151" fillId="0" borderId="0"/>
    <xf numFmtId="0" fontId="151" fillId="0" borderId="0"/>
    <xf numFmtId="0" fontId="9" fillId="0" borderId="0"/>
    <xf numFmtId="0" fontId="9" fillId="0" borderId="0"/>
    <xf numFmtId="0" fontId="9" fillId="0" borderId="0"/>
    <xf numFmtId="0" fontId="159" fillId="0" borderId="0"/>
    <xf numFmtId="0" fontId="9" fillId="0" borderId="0"/>
    <xf numFmtId="0" fontId="9" fillId="0" borderId="0"/>
    <xf numFmtId="0" fontId="17" fillId="0" borderId="0"/>
    <xf numFmtId="0" fontId="44" fillId="0" borderId="0"/>
    <xf numFmtId="0" fontId="151" fillId="0" borderId="0"/>
    <xf numFmtId="0" fontId="151" fillId="0" borderId="0"/>
    <xf numFmtId="0" fontId="151" fillId="0" borderId="0"/>
    <xf numFmtId="0" fontId="44" fillId="0" borderId="0"/>
    <xf numFmtId="0" fontId="151" fillId="0" borderId="0"/>
    <xf numFmtId="0" fontId="151" fillId="0" borderId="0"/>
    <xf numFmtId="0" fontId="44" fillId="0" borderId="0"/>
    <xf numFmtId="0" fontId="9" fillId="0" borderId="0"/>
    <xf numFmtId="0" fontId="9" fillId="0" borderId="0"/>
    <xf numFmtId="0" fontId="44" fillId="0" borderId="0"/>
    <xf numFmtId="0" fontId="151" fillId="0" borderId="0"/>
    <xf numFmtId="0" fontId="151" fillId="0" borderId="0"/>
    <xf numFmtId="0" fontId="44" fillId="0" borderId="0"/>
    <xf numFmtId="0" fontId="151" fillId="0" borderId="0"/>
    <xf numFmtId="0" fontId="9" fillId="0" borderId="0"/>
    <xf numFmtId="0" fontId="159" fillId="0" borderId="0"/>
    <xf numFmtId="0" fontId="159" fillId="0" borderId="0"/>
    <xf numFmtId="0" fontId="44" fillId="0" borderId="0"/>
    <xf numFmtId="0" fontId="151" fillId="0" borderId="0"/>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44" fillId="0" borderId="0"/>
    <xf numFmtId="0" fontId="2" fillId="0" borderId="0"/>
    <xf numFmtId="0" fontId="2" fillId="0" borderId="0"/>
    <xf numFmtId="0" fontId="151" fillId="0" borderId="0"/>
    <xf numFmtId="0" fontId="151" fillId="0" borderId="0"/>
    <xf numFmtId="0" fontId="151" fillId="0" borderId="0"/>
    <xf numFmtId="0" fontId="9" fillId="0" borderId="0"/>
    <xf numFmtId="0" fontId="9" fillId="0" borderId="0"/>
    <xf numFmtId="0" fontId="151" fillId="0" borderId="0"/>
    <xf numFmtId="0" fontId="44" fillId="0" borderId="0"/>
    <xf numFmtId="0" fontId="151" fillId="0" borderId="0"/>
    <xf numFmtId="0" fontId="17" fillId="0" borderId="0"/>
    <xf numFmtId="0" fontId="44" fillId="0" borderId="0"/>
    <xf numFmtId="0" fontId="17" fillId="0" borderId="0"/>
    <xf numFmtId="0" fontId="151" fillId="0" borderId="0"/>
    <xf numFmtId="0" fontId="17" fillId="0" borderId="0"/>
    <xf numFmtId="0" fontId="17" fillId="0" borderId="0"/>
    <xf numFmtId="0" fontId="44" fillId="0" borderId="0"/>
    <xf numFmtId="0" fontId="151"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150" fillId="0" borderId="0"/>
    <xf numFmtId="0" fontId="159" fillId="0" borderId="0"/>
    <xf numFmtId="0" fontId="9" fillId="0" borderId="0"/>
    <xf numFmtId="0" fontId="159" fillId="0" borderId="0"/>
    <xf numFmtId="0" fontId="15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0" borderId="0"/>
    <xf numFmtId="0" fontId="9" fillId="0" borderId="0"/>
    <xf numFmtId="0" fontId="1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9" fillId="0" borderId="0"/>
    <xf numFmtId="0" fontId="151"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151" fillId="0" borderId="0"/>
    <xf numFmtId="0" fontId="151" fillId="0" borderId="0"/>
    <xf numFmtId="0" fontId="158" fillId="0" borderId="0"/>
    <xf numFmtId="0" fontId="158" fillId="0" borderId="0"/>
    <xf numFmtId="0" fontId="158" fillId="0" borderId="0"/>
    <xf numFmtId="0" fontId="158"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61" fillId="0" borderId="0"/>
    <xf numFmtId="0" fontId="9" fillId="0" borderId="0"/>
    <xf numFmtId="0" fontId="9" fillId="0" borderId="0"/>
    <xf numFmtId="0" fontId="9" fillId="0" borderId="0"/>
    <xf numFmtId="0" fontId="9" fillId="0" borderId="0"/>
    <xf numFmtId="0" fontId="159" fillId="0" borderId="0"/>
    <xf numFmtId="0" fontId="2" fillId="0" borderId="0"/>
    <xf numFmtId="0" fontId="2" fillId="0" borderId="0"/>
    <xf numFmtId="0" fontId="9" fillId="0" borderId="0"/>
    <xf numFmtId="0" fontId="9" fillId="0" borderId="0"/>
    <xf numFmtId="0" fontId="44" fillId="0" borderId="0"/>
    <xf numFmtId="0" fontId="44" fillId="0" borderId="0"/>
    <xf numFmtId="0" fontId="158" fillId="0" borderId="0"/>
    <xf numFmtId="0" fontId="17" fillId="0" borderId="0"/>
    <xf numFmtId="0" fontId="17" fillId="0" borderId="0"/>
    <xf numFmtId="0" fontId="17" fillId="0" borderId="0"/>
    <xf numFmtId="0" fontId="1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9" fillId="0" borderId="0"/>
    <xf numFmtId="0" fontId="151" fillId="0" borderId="0"/>
    <xf numFmtId="0" fontId="17" fillId="0" borderId="0"/>
    <xf numFmtId="0" fontId="9" fillId="0" borderId="0"/>
    <xf numFmtId="0" fontId="159" fillId="0" borderId="0"/>
    <xf numFmtId="0" fontId="151" fillId="0" borderId="0"/>
    <xf numFmtId="0" fontId="159" fillId="0" borderId="0"/>
    <xf numFmtId="0" fontId="9" fillId="0" borderId="0"/>
    <xf numFmtId="0" fontId="159" fillId="0" borderId="0"/>
    <xf numFmtId="0" fontId="159" fillId="0" borderId="0"/>
    <xf numFmtId="0" fontId="9" fillId="0" borderId="0"/>
    <xf numFmtId="0" fontId="174" fillId="0" borderId="0"/>
    <xf numFmtId="0" fontId="174" fillId="0" borderId="0"/>
    <xf numFmtId="0" fontId="9" fillId="0" borderId="0"/>
    <xf numFmtId="0" fontId="151" fillId="0" borderId="0"/>
    <xf numFmtId="0" fontId="44" fillId="0" borderId="0"/>
    <xf numFmtId="0" fontId="151" fillId="0" borderId="0"/>
    <xf numFmtId="0" fontId="159" fillId="0" borderId="0"/>
    <xf numFmtId="0" fontId="17" fillId="0" borderId="0"/>
    <xf numFmtId="0" fontId="44" fillId="0" borderId="0"/>
    <xf numFmtId="0" fontId="17" fillId="0" borderId="0"/>
    <xf numFmtId="0" fontId="159" fillId="0" borderId="0"/>
    <xf numFmtId="0" fontId="159" fillId="0" borderId="0"/>
    <xf numFmtId="0" fontId="175" fillId="0" borderId="0"/>
    <xf numFmtId="0" fontId="159" fillId="0" borderId="0"/>
    <xf numFmtId="0" fontId="159" fillId="0" borderId="0"/>
    <xf numFmtId="0" fontId="159" fillId="0" borderId="0"/>
    <xf numFmtId="0" fontId="159" fillId="0" borderId="0"/>
    <xf numFmtId="0" fontId="159" fillId="0" borderId="0"/>
    <xf numFmtId="0" fontId="151" fillId="0" borderId="0"/>
    <xf numFmtId="0" fontId="159" fillId="0" borderId="0"/>
    <xf numFmtId="0" fontId="159" fillId="0" borderId="0"/>
    <xf numFmtId="0" fontId="151" fillId="0" borderId="0"/>
    <xf numFmtId="0" fontId="150" fillId="0" borderId="0"/>
    <xf numFmtId="0" fontId="150" fillId="0" borderId="0"/>
    <xf numFmtId="0" fontId="44" fillId="0" borderId="0"/>
    <xf numFmtId="0" fontId="158" fillId="33" borderId="169" applyNumberFormat="0" applyFont="0" applyAlignment="0" applyProtection="0"/>
    <xf numFmtId="0" fontId="158" fillId="33" borderId="169" applyNumberFormat="0" applyFont="0" applyAlignment="0" applyProtection="0"/>
    <xf numFmtId="0" fontId="160" fillId="33" borderId="169" applyNumberFormat="0" applyFont="0" applyAlignment="0" applyProtection="0"/>
    <xf numFmtId="0" fontId="150"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76" fillId="31" borderId="166" applyNumberFormat="0" applyAlignment="0" applyProtection="0"/>
    <xf numFmtId="0" fontId="176" fillId="31" borderId="166" applyNumberFormat="0" applyAlignment="0" applyProtection="0"/>
    <xf numFmtId="0" fontId="144" fillId="31" borderId="166" applyNumberFormat="0" applyAlignment="0" applyProtection="0"/>
    <xf numFmtId="0" fontId="176" fillId="31" borderId="166" applyNumberFormat="0" applyAlignment="0" applyProtection="0"/>
    <xf numFmtId="0" fontId="176" fillId="31" borderId="16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8" fillId="0" borderId="0" applyFont="0" applyFill="0" applyBorder="0" applyAlignment="0" applyProtection="0"/>
    <xf numFmtId="0" fontId="154" fillId="0" borderId="170" applyNumberFormat="0" applyFill="0" applyAlignment="0" applyProtection="0"/>
    <xf numFmtId="0" fontId="154" fillId="0" borderId="170" applyNumberFormat="0" applyFill="0" applyAlignment="0" applyProtection="0"/>
    <xf numFmtId="0" fontId="124" fillId="0" borderId="170" applyNumberFormat="0" applyFill="0" applyAlignment="0" applyProtection="0"/>
    <xf numFmtId="0" fontId="154" fillId="0" borderId="170" applyNumberFormat="0" applyFill="0" applyAlignment="0" applyProtection="0"/>
    <xf numFmtId="0" fontId="154" fillId="0" borderId="170"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8"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33" borderId="169" applyNumberFormat="0" applyFont="0" applyAlignment="0" applyProtection="0"/>
    <xf numFmtId="0" fontId="150" fillId="33" borderId="169" applyNumberFormat="0" applyFont="0" applyAlignment="0" applyProtection="0"/>
    <xf numFmtId="0" fontId="150" fillId="33" borderId="169" applyNumberFormat="0" applyFont="0" applyAlignment="0" applyProtection="0"/>
    <xf numFmtId="0" fontId="150" fillId="33" borderId="169" applyNumberFormat="0" applyFont="0" applyAlignment="0" applyProtection="0"/>
    <xf numFmtId="0" fontId="2" fillId="33" borderId="169" applyNumberFormat="0" applyFont="0" applyAlignment="0" applyProtection="0"/>
    <xf numFmtId="0" fontId="150" fillId="33" borderId="169" applyNumberFormat="0" applyFont="0" applyAlignment="0" applyProtection="0"/>
    <xf numFmtId="0" fontId="173" fillId="29" borderId="0" applyNumberFormat="0" applyBorder="0" applyAlignment="0" applyProtection="0"/>
    <xf numFmtId="0" fontId="173" fillId="29" borderId="0" applyNumberFormat="0" applyBorder="0" applyAlignment="0" applyProtection="0"/>
    <xf numFmtId="0" fontId="156" fillId="29" borderId="0" applyNumberFormat="0" applyBorder="0" applyAlignment="0" applyProtection="0"/>
    <xf numFmtId="0" fontId="173" fillId="29" borderId="0" applyNumberFormat="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2"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0" fontId="163" fillId="28" borderId="0" applyNumberFormat="0" applyBorder="0" applyAlignment="0" applyProtection="0"/>
    <xf numFmtId="0" fontId="163" fillId="28" borderId="0" applyNumberFormat="0" applyBorder="0" applyAlignment="0" applyProtection="0"/>
    <xf numFmtId="0" fontId="142" fillId="28" borderId="0" applyNumberFormat="0" applyBorder="0" applyAlignment="0" applyProtection="0"/>
    <xf numFmtId="0" fontId="163" fillId="28"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33" fillId="57" borderId="0" applyNumberFormat="0" applyBorder="0" applyAlignment="0" applyProtection="0"/>
    <xf numFmtId="0" fontId="155" fillId="57"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33" fillId="45" borderId="0" applyNumberFormat="0" applyBorder="0" applyAlignment="0" applyProtection="0"/>
    <xf numFmtId="0" fontId="155" fillId="45"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2" fillId="44" borderId="0" applyNumberFormat="0" applyBorder="0" applyAlignment="0" applyProtection="0"/>
    <xf numFmtId="0" fontId="150" fillId="4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2" fillId="47" borderId="0" applyNumberFormat="0" applyBorder="0" applyAlignment="0" applyProtection="0"/>
    <xf numFmtId="0" fontId="150" fillId="47"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2" fillId="35" borderId="0" applyNumberFormat="0" applyBorder="0" applyAlignment="0" applyProtection="0"/>
    <xf numFmtId="0" fontId="150" fillId="35" borderId="0" applyNumberFormat="0" applyBorder="0" applyAlignment="0" applyProtection="0"/>
    <xf numFmtId="0" fontId="158" fillId="0" borderId="0"/>
    <xf numFmtId="0" fontId="2" fillId="0" borderId="0"/>
    <xf numFmtId="0" fontId="2" fillId="58"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58"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158"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0" fontId="9" fillId="0" borderId="0"/>
    <xf numFmtId="0" fontId="9" fillId="0" borderId="0"/>
    <xf numFmtId="0" fontId="9" fillId="0" borderId="0"/>
    <xf numFmtId="0" fontId="151" fillId="0" borderId="0"/>
    <xf numFmtId="0" fontId="151" fillId="0" borderId="0"/>
    <xf numFmtId="0" fontId="151" fillId="0" borderId="0"/>
    <xf numFmtId="0" fontId="2" fillId="0" borderId="0"/>
    <xf numFmtId="0" fontId="9" fillId="0" borderId="0"/>
    <xf numFmtId="0" fontId="2" fillId="0" borderId="0"/>
    <xf numFmtId="0" fontId="2" fillId="58" borderId="0" applyNumberFormat="0" applyBorder="0" applyAlignment="0" applyProtection="0"/>
    <xf numFmtId="0" fontId="151" fillId="0" borderId="0"/>
    <xf numFmtId="0" fontId="2" fillId="39" borderId="0" applyNumberFormat="0" applyBorder="0" applyAlignment="0" applyProtection="0"/>
    <xf numFmtId="0" fontId="150" fillId="65" borderId="0" applyNumberFormat="0" applyBorder="0" applyAlignment="0" applyProtection="0"/>
    <xf numFmtId="0" fontId="2" fillId="43" borderId="0" applyNumberFormat="0" applyBorder="0" applyAlignment="0" applyProtection="0"/>
    <xf numFmtId="0" fontId="150" fillId="65" borderId="0" applyNumberFormat="0" applyBorder="0" applyAlignment="0" applyProtection="0"/>
    <xf numFmtId="0" fontId="2" fillId="58" borderId="0" applyNumberFormat="0" applyBorder="0" applyAlignment="0" applyProtection="0"/>
    <xf numFmtId="0" fontId="9" fillId="0" borderId="0"/>
    <xf numFmtId="0" fontId="2" fillId="51" borderId="0" applyNumberFormat="0" applyBorder="0" applyAlignment="0" applyProtection="0"/>
    <xf numFmtId="0" fontId="151" fillId="0" borderId="0"/>
    <xf numFmtId="0" fontId="2" fillId="55" borderId="0" applyNumberFormat="0" applyBorder="0" applyAlignment="0" applyProtection="0"/>
    <xf numFmtId="0" fontId="137" fillId="0" borderId="0"/>
    <xf numFmtId="0" fontId="9" fillId="0" borderId="0"/>
    <xf numFmtId="0" fontId="9" fillId="0" borderId="0"/>
    <xf numFmtId="0" fontId="2" fillId="36" borderId="0" applyNumberFormat="0" applyBorder="0" applyAlignment="0" applyProtection="0"/>
    <xf numFmtId="0" fontId="9" fillId="0" borderId="0"/>
    <xf numFmtId="0" fontId="9" fillId="0" borderId="0"/>
    <xf numFmtId="0" fontId="2" fillId="40" borderId="0" applyNumberFormat="0" applyBorder="0" applyAlignment="0" applyProtection="0"/>
    <xf numFmtId="0" fontId="9" fillId="0" borderId="0"/>
    <xf numFmtId="0" fontId="9" fillId="0" borderId="0"/>
    <xf numFmtId="0" fontId="44" fillId="0" borderId="0"/>
    <xf numFmtId="0" fontId="2" fillId="60" borderId="0" applyNumberFormat="0" applyBorder="0" applyAlignment="0" applyProtection="0"/>
    <xf numFmtId="0" fontId="9" fillId="0" borderId="0"/>
    <xf numFmtId="0" fontId="2" fillId="48" borderId="0" applyNumberFormat="0" applyBorder="0" applyAlignment="0" applyProtection="0"/>
    <xf numFmtId="0" fontId="9" fillId="0" borderId="0"/>
    <xf numFmtId="0" fontId="151" fillId="0" borderId="0"/>
    <xf numFmtId="0" fontId="151" fillId="0" borderId="0"/>
    <xf numFmtId="0" fontId="2" fillId="52" borderId="0" applyNumberFormat="0" applyBorder="0" applyAlignment="0" applyProtection="0"/>
    <xf numFmtId="0" fontId="151" fillId="0" borderId="0"/>
    <xf numFmtId="0" fontId="9" fillId="0" borderId="0"/>
    <xf numFmtId="0" fontId="2" fillId="56" borderId="0" applyNumberFormat="0" applyBorder="0" applyAlignment="0" applyProtection="0"/>
    <xf numFmtId="0" fontId="9" fillId="0" borderId="0"/>
    <xf numFmtId="0" fontId="9" fillId="0" borderId="0"/>
    <xf numFmtId="0" fontId="9" fillId="0" borderId="0"/>
    <xf numFmtId="0" fontId="151" fillId="0" borderId="0"/>
    <xf numFmtId="0" fontId="9" fillId="0" borderId="0"/>
    <xf numFmtId="0" fontId="137" fillId="0" borderId="0"/>
    <xf numFmtId="0" fontId="151" fillId="0" borderId="0"/>
    <xf numFmtId="0" fontId="9" fillId="0" borderId="0"/>
    <xf numFmtId="0" fontId="9" fillId="0" borderId="0"/>
    <xf numFmtId="0" fontId="151" fillId="0" borderId="0"/>
    <xf numFmtId="0" fontId="151" fillId="0" borderId="0"/>
    <xf numFmtId="0" fontId="9" fillId="0" borderId="0"/>
    <xf numFmtId="0" fontId="9" fillId="0" borderId="0"/>
    <xf numFmtId="0" fontId="151" fillId="0" borderId="0"/>
    <xf numFmtId="0" fontId="151" fillId="0" borderId="0"/>
    <xf numFmtId="0" fontId="151" fillId="0" borderId="0"/>
    <xf numFmtId="0" fontId="9" fillId="0" borderId="0"/>
    <xf numFmtId="0" fontId="9" fillId="0" borderId="0"/>
    <xf numFmtId="0" fontId="151" fillId="0" borderId="0"/>
    <xf numFmtId="0" fontId="151" fillId="0" borderId="0"/>
    <xf numFmtId="0" fontId="9" fillId="0" borderId="0"/>
    <xf numFmtId="0" fontId="9" fillId="0" borderId="0"/>
    <xf numFmtId="0" fontId="9" fillId="0" borderId="0"/>
    <xf numFmtId="0" fontId="9"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187" fillId="0" borderId="0"/>
    <xf numFmtId="0" fontId="151" fillId="0" borderId="0"/>
    <xf numFmtId="0" fontId="151" fillId="0" borderId="0"/>
    <xf numFmtId="0" fontId="151" fillId="0" borderId="0"/>
    <xf numFmtId="0" fontId="151" fillId="0" borderId="0"/>
    <xf numFmtId="0" fontId="159" fillId="0" borderId="0"/>
    <xf numFmtId="0" fontId="189" fillId="0" borderId="0"/>
    <xf numFmtId="0" fontId="9" fillId="0" borderId="0"/>
    <xf numFmtId="0" fontId="185" fillId="29" borderId="0" applyNumberFormat="0" applyBorder="0" applyAlignment="0" applyProtection="0"/>
    <xf numFmtId="0" fontId="184" fillId="0" borderId="175" applyNumberFormat="0" applyFill="0" applyAlignment="0" applyProtection="0"/>
    <xf numFmtId="0" fontId="172" fillId="0" borderId="167" applyNumberFormat="0" applyFill="0" applyAlignment="0" applyProtection="0"/>
    <xf numFmtId="0" fontId="171" fillId="65" borderId="165" applyNumberFormat="0" applyAlignment="0" applyProtection="0"/>
    <xf numFmtId="0" fontId="170" fillId="0" borderId="0" applyNumberFormat="0" applyFill="0" applyBorder="0" applyAlignment="0" applyProtection="0"/>
    <xf numFmtId="43" fontId="2" fillId="0" borderId="0" applyFont="0" applyFill="0" applyBorder="0" applyAlignment="0" applyProtection="0"/>
    <xf numFmtId="0" fontId="183" fillId="0" borderId="174" applyNumberFormat="0" applyFill="0" applyAlignment="0" applyProtection="0"/>
    <xf numFmtId="0" fontId="183" fillId="0" borderId="174" applyNumberFormat="0" applyFill="0" applyAlignment="0" applyProtection="0"/>
    <xf numFmtId="0" fontId="170" fillId="0" borderId="164" applyNumberFormat="0" applyFill="0" applyAlignment="0" applyProtection="0"/>
    <xf numFmtId="0" fontId="182" fillId="0" borderId="173" applyNumberFormat="0" applyFill="0" applyAlignment="0" applyProtection="0"/>
    <xf numFmtId="0" fontId="169" fillId="0" borderId="163" applyNumberFormat="0" applyFill="0" applyAlignment="0" applyProtection="0"/>
    <xf numFmtId="0" fontId="181" fillId="0" borderId="172" applyNumberFormat="0" applyFill="0" applyAlignment="0" applyProtection="0"/>
    <xf numFmtId="0" fontId="168" fillId="0" borderId="162" applyNumberFormat="0" applyFill="0" applyAlignment="0" applyProtection="0"/>
    <xf numFmtId="0" fontId="167" fillId="64" borderId="0" applyNumberFormat="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159" fillId="0" borderId="0" applyFont="0" applyFill="0" applyBorder="0" applyAlignment="0" applyProtection="0"/>
    <xf numFmtId="43" fontId="18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8"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8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88" fillId="0" borderId="0" applyFont="0" applyFill="0" applyBorder="0" applyAlignment="0" applyProtection="0"/>
    <xf numFmtId="43" fontId="17" fillId="0" borderId="0" applyFont="0" applyFill="0" applyBorder="0" applyAlignment="0" applyProtection="0"/>
    <xf numFmtId="43" fontId="1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0" fontId="2" fillId="0" borderId="0"/>
    <xf numFmtId="43" fontId="160" fillId="0" borderId="0" applyFont="0" applyFill="0" applyBorder="0" applyAlignment="0" applyProtection="0"/>
    <xf numFmtId="43" fontId="16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alignment vertical="top"/>
    </xf>
    <xf numFmtId="0" fontId="180" fillId="72" borderId="165" applyNumberFormat="0" applyAlignment="0" applyProtection="0"/>
    <xf numFmtId="0" fontId="180" fillId="72" borderId="165" applyNumberFormat="0" applyAlignment="0" applyProtection="0"/>
    <xf numFmtId="0" fontId="164" fillId="31" borderId="165" applyNumberFormat="0" applyAlignment="0" applyProtection="0"/>
    <xf numFmtId="0" fontId="163" fillId="62" borderId="0" applyNumberFormat="0" applyBorder="0" applyAlignment="0" applyProtection="0"/>
    <xf numFmtId="0" fontId="163" fillId="62" borderId="0" applyNumberFormat="0" applyBorder="0" applyAlignment="0" applyProtection="0"/>
    <xf numFmtId="0" fontId="155" fillId="70" borderId="0" applyNumberFormat="0" applyBorder="0" applyAlignment="0" applyProtection="0"/>
    <xf numFmtId="0" fontId="2" fillId="0" borderId="0"/>
    <xf numFmtId="0" fontId="2" fillId="0" borderId="0"/>
    <xf numFmtId="0" fontId="155" fillId="70" borderId="0" applyNumberFormat="0" applyBorder="0" applyAlignment="0" applyProtection="0"/>
    <xf numFmtId="0" fontId="155" fillId="46" borderId="0" applyNumberFormat="0" applyBorder="0" applyAlignment="0" applyProtection="0"/>
    <xf numFmtId="0" fontId="155" fillId="68" borderId="0" applyNumberFormat="0" applyBorder="0" applyAlignment="0" applyProtection="0"/>
    <xf numFmtId="0" fontId="155" fillId="42" borderId="0" applyNumberFormat="0" applyBorder="0" applyAlignment="0" applyProtection="0"/>
    <xf numFmtId="0" fontId="155" fillId="67" borderId="0" applyNumberFormat="0" applyBorder="0" applyAlignment="0" applyProtection="0"/>
    <xf numFmtId="0" fontId="155" fillId="69"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2" fillId="0" borderId="0"/>
    <xf numFmtId="0" fontId="155" fillId="64" borderId="0" applyNumberFormat="0" applyBorder="0" applyAlignment="0" applyProtection="0"/>
    <xf numFmtId="0" fontId="2" fillId="0" borderId="0"/>
    <xf numFmtId="0" fontId="155" fillId="64" borderId="0" applyNumberFormat="0" applyBorder="0" applyAlignment="0" applyProtection="0"/>
    <xf numFmtId="0" fontId="155" fillId="53" borderId="0" applyNumberFormat="0" applyBorder="0" applyAlignment="0" applyProtection="0"/>
    <xf numFmtId="0" fontId="155" fillId="66" borderId="0" applyNumberFormat="0" applyBorder="0" applyAlignment="0" applyProtection="0"/>
    <xf numFmtId="0" fontId="155" fillId="49"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41" borderId="0" applyNumberFormat="0" applyBorder="0" applyAlignment="0" applyProtection="0"/>
    <xf numFmtId="0" fontId="155" fillId="64" borderId="0" applyNumberFormat="0" applyBorder="0" applyAlignment="0" applyProtection="0"/>
    <xf numFmtId="0" fontId="155" fillId="64"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150" fillId="56"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52" borderId="0" applyNumberFormat="0" applyBorder="0" applyAlignment="0" applyProtection="0"/>
    <xf numFmtId="0" fontId="2" fillId="0" borderId="0"/>
    <xf numFmtId="0" fontId="150" fillId="66" borderId="0" applyNumberFormat="0" applyBorder="0" applyAlignment="0" applyProtection="0"/>
    <xf numFmtId="0" fontId="150" fillId="66" borderId="0" applyNumberFormat="0" applyBorder="0" applyAlignment="0" applyProtection="0"/>
    <xf numFmtId="0" fontId="150" fillId="48" borderId="0" applyNumberFormat="0" applyBorder="0" applyAlignment="0" applyProtection="0"/>
    <xf numFmtId="0" fontId="2" fillId="0" borderId="0"/>
    <xf numFmtId="0" fontId="2" fillId="0" borderId="0"/>
    <xf numFmtId="0" fontId="150" fillId="36" borderId="0" applyNumberFormat="0" applyBorder="0" applyAlignment="0" applyProtection="0"/>
    <xf numFmtId="0" fontId="150" fillId="59" borderId="0" applyNumberFormat="0" applyBorder="0" applyAlignment="0" applyProtection="0"/>
    <xf numFmtId="0" fontId="150" fillId="59" borderId="0" applyNumberFormat="0" applyBorder="0" applyAlignment="0" applyProtection="0"/>
    <xf numFmtId="0" fontId="150" fillId="60" borderId="0" applyNumberFormat="0" applyBorder="0" applyAlignment="0" applyProtection="0"/>
    <xf numFmtId="0" fontId="150" fillId="43" borderId="0" applyNumberFormat="0" applyBorder="0" applyAlignment="0" applyProtection="0"/>
    <xf numFmtId="0" fontId="150" fillId="61" borderId="0" applyNumberFormat="0" applyBorder="0" applyAlignment="0" applyProtection="0"/>
    <xf numFmtId="0" fontId="150" fillId="61" borderId="0" applyNumberFormat="0" applyBorder="0" applyAlignment="0" applyProtection="0"/>
    <xf numFmtId="0" fontId="150" fillId="39"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55" borderId="0" applyNumberFormat="0" applyBorder="0" applyAlignment="0" applyProtection="0"/>
    <xf numFmtId="0" fontId="150" fillId="60" borderId="0" applyNumberFormat="0" applyBorder="0" applyAlignment="0" applyProtection="0"/>
    <xf numFmtId="0" fontId="150" fillId="64" borderId="0" applyNumberFormat="0" applyBorder="0" applyAlignment="0" applyProtection="0"/>
    <xf numFmtId="43" fontId="17"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0" fontId="167" fillId="27" borderId="0" applyNumberFormat="0" applyBorder="0" applyAlignment="0" applyProtection="0"/>
    <xf numFmtId="0" fontId="187" fillId="0" borderId="0"/>
    <xf numFmtId="0" fontId="9" fillId="0" borderId="0"/>
    <xf numFmtId="0" fontId="9" fillId="0" borderId="0"/>
    <xf numFmtId="0" fontId="151" fillId="0" borderId="0"/>
    <xf numFmtId="0" fontId="9" fillId="0" borderId="0"/>
    <xf numFmtId="0" fontId="151" fillId="0" borderId="0"/>
    <xf numFmtId="0" fontId="155" fillId="54" borderId="0" applyNumberFormat="0" applyBorder="0" applyAlignment="0" applyProtection="0"/>
    <xf numFmtId="0" fontId="151" fillId="0" borderId="0"/>
    <xf numFmtId="4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0" fillId="64" borderId="0" applyNumberFormat="0" applyBorder="0" applyAlignment="0" applyProtection="0"/>
    <xf numFmtId="44" fontId="9" fillId="0" borderId="0" applyFont="0" applyFill="0" applyBorder="0" applyAlignment="0" applyProtection="0"/>
    <xf numFmtId="0" fontId="9" fillId="0" borderId="0"/>
    <xf numFmtId="0" fontId="151" fillId="0" borderId="0"/>
    <xf numFmtId="0" fontId="155" fillId="68" borderId="0" applyNumberFormat="0" applyBorder="0" applyAlignment="0" applyProtection="0"/>
    <xf numFmtId="0" fontId="171" fillId="30" borderId="165" applyNumberFormat="0" applyAlignment="0" applyProtection="0"/>
    <xf numFmtId="0" fontId="17" fillId="0" borderId="0"/>
    <xf numFmtId="0" fontId="9" fillId="0" borderId="0"/>
    <xf numFmtId="0" fontId="151" fillId="0" borderId="0"/>
    <xf numFmtId="0" fontId="151" fillId="0" borderId="0"/>
    <xf numFmtId="0" fontId="2" fillId="33" borderId="16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151" fillId="0" borderId="0"/>
    <xf numFmtId="0" fontId="151" fillId="0" borderId="0"/>
    <xf numFmtId="0" fontId="187" fillId="0" borderId="0"/>
    <xf numFmtId="0" fontId="9" fillId="0" borderId="0"/>
    <xf numFmtId="0" fontId="151" fillId="0" borderId="0"/>
    <xf numFmtId="0" fontId="151" fillId="0" borderId="0"/>
    <xf numFmtId="0" fontId="151" fillId="0" borderId="0"/>
    <xf numFmtId="0" fontId="151" fillId="0" borderId="0"/>
    <xf numFmtId="0" fontId="2" fillId="44" borderId="0" applyNumberFormat="0" applyBorder="0" applyAlignment="0" applyProtection="0"/>
    <xf numFmtId="0" fontId="151" fillId="0" borderId="0"/>
    <xf numFmtId="0" fontId="155" fillId="71"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2" fillId="0" borderId="0"/>
    <xf numFmtId="0" fontId="2" fillId="58"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58"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43" fontId="160" fillId="0" borderId="0" applyFont="0" applyFill="0" applyBorder="0" applyAlignment="0" applyProtection="0"/>
    <xf numFmtId="43" fontId="9" fillId="0" borderId="0" applyFont="0" applyFill="0" applyBorder="0" applyAlignment="0" applyProtection="0"/>
    <xf numFmtId="43" fontId="186" fillId="0" borderId="0" applyFont="0" applyFill="0" applyBorder="0" applyAlignment="0" applyProtection="0">
      <alignment vertical="top"/>
    </xf>
    <xf numFmtId="0" fontId="155" fillId="68" borderId="0" applyNumberFormat="0" applyBorder="0" applyAlignment="0" applyProtection="0"/>
    <xf numFmtId="0" fontId="155" fillId="67" borderId="0" applyNumberFormat="0" applyBorder="0" applyAlignment="0" applyProtection="0"/>
    <xf numFmtId="0" fontId="155" fillId="34" borderId="0" applyNumberFormat="0" applyBorder="0" applyAlignment="0" applyProtection="0"/>
    <xf numFmtId="0" fontId="155" fillId="37"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151" fillId="0" borderId="0"/>
    <xf numFmtId="0" fontId="9" fillId="0" borderId="0"/>
    <xf numFmtId="0" fontId="155" fillId="66" borderId="0" applyNumberFormat="0" applyBorder="0" applyAlignment="0" applyProtection="0"/>
    <xf numFmtId="0" fontId="185" fillId="29" borderId="0" applyNumberFormat="0" applyBorder="0" applyAlignment="0" applyProtection="0"/>
    <xf numFmtId="0" fontId="182" fillId="0" borderId="173" applyNumberFormat="0" applyFill="0" applyAlignment="0" applyProtection="0"/>
    <xf numFmtId="0" fontId="155" fillId="71" borderId="0" applyNumberFormat="0" applyBorder="0" applyAlignment="0" applyProtection="0"/>
    <xf numFmtId="0" fontId="155" fillId="68" borderId="0" applyNumberFormat="0" applyBorder="0" applyAlignment="0" applyProtection="0"/>
    <xf numFmtId="0" fontId="151" fillId="0" borderId="0"/>
    <xf numFmtId="0" fontId="183" fillId="0" borderId="0" applyNumberFormat="0" applyFill="0" applyBorder="0" applyAlignment="0" applyProtection="0"/>
    <xf numFmtId="44" fontId="9" fillId="0" borderId="0" applyFont="0" applyFill="0" applyBorder="0" applyAlignment="0" applyProtection="0"/>
    <xf numFmtId="0" fontId="179" fillId="0" borderId="0"/>
    <xf numFmtId="0" fontId="155" fillId="38" borderId="0" applyNumberFormat="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89" fillId="0" borderId="0" applyFont="0" applyFill="0" applyBorder="0" applyAlignment="0" applyProtection="0"/>
    <xf numFmtId="0" fontId="181" fillId="0" borderId="172" applyNumberFormat="0" applyFill="0" applyAlignment="0" applyProtection="0"/>
    <xf numFmtId="0" fontId="167" fillId="64" borderId="0" applyNumberFormat="0" applyBorder="0" applyAlignment="0" applyProtection="0"/>
    <xf numFmtId="0" fontId="184" fillId="0" borderId="175" applyNumberFormat="0" applyFill="0" applyAlignment="0" applyProtection="0"/>
    <xf numFmtId="0" fontId="9" fillId="0" borderId="0"/>
    <xf numFmtId="0" fontId="151" fillId="0" borderId="0"/>
    <xf numFmtId="43" fontId="9" fillId="0" borderId="0" applyFont="0" applyFill="0" applyBorder="0" applyAlignment="0" applyProtection="0"/>
    <xf numFmtId="43" fontId="9" fillId="0" borderId="0" applyFont="0" applyFill="0" applyBorder="0" applyAlignment="0" applyProtection="0"/>
    <xf numFmtId="0" fontId="155" fillId="69" borderId="0" applyNumberFormat="0" applyBorder="0" applyAlignment="0" applyProtection="0"/>
    <xf numFmtId="0" fontId="171" fillId="65" borderId="165" applyNumberFormat="0" applyAlignment="0" applyProtection="0"/>
    <xf numFmtId="0" fontId="183" fillId="0" borderId="0" applyNumberFormat="0" applyFill="0" applyBorder="0" applyAlignment="0" applyProtection="0"/>
    <xf numFmtId="0" fontId="9" fillId="0" borderId="0"/>
    <xf numFmtId="0" fontId="151" fillId="0" borderId="0"/>
    <xf numFmtId="0" fontId="9" fillId="0" borderId="0"/>
    <xf numFmtId="0" fontId="17" fillId="0" borderId="0"/>
    <xf numFmtId="0" fontId="17" fillId="0" borderId="0"/>
    <xf numFmtId="0" fontId="17" fillId="0" borderId="0"/>
    <xf numFmtId="0" fontId="151"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0" borderId="0"/>
    <xf numFmtId="0" fontId="151"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0" borderId="0"/>
    <xf numFmtId="0" fontId="151" fillId="0" borderId="0"/>
    <xf numFmtId="0" fontId="187"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0" borderId="0"/>
    <xf numFmtId="0" fontId="9" fillId="0" borderId="0"/>
    <xf numFmtId="0" fontId="9" fillId="0" borderId="0"/>
    <xf numFmtId="0" fontId="186" fillId="0" borderId="0">
      <alignment vertical="top"/>
    </xf>
    <xf numFmtId="0" fontId="158" fillId="0" borderId="0">
      <alignment vertical="top"/>
    </xf>
    <xf numFmtId="0" fontId="18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8" fillId="0" borderId="0"/>
    <xf numFmtId="0" fontId="17" fillId="0" borderId="0"/>
    <xf numFmtId="0" fontId="151" fillId="0" borderId="0"/>
    <xf numFmtId="0" fontId="9" fillId="0" borderId="0"/>
    <xf numFmtId="0" fontId="188" fillId="0" borderId="0"/>
    <xf numFmtId="0" fontId="151" fillId="0" borderId="0"/>
    <xf numFmtId="0" fontId="9" fillId="0" borderId="0"/>
    <xf numFmtId="0" fontId="9" fillId="0" borderId="0"/>
    <xf numFmtId="0" fontId="9" fillId="0" borderId="0"/>
    <xf numFmtId="0" fontId="187" fillId="0" borderId="0"/>
    <xf numFmtId="0" fontId="151" fillId="0" borderId="0"/>
    <xf numFmtId="0" fontId="159" fillId="0" borderId="0"/>
    <xf numFmtId="0" fontId="9" fillId="0" borderId="0"/>
    <xf numFmtId="0" fontId="17" fillId="0" borderId="0"/>
    <xf numFmtId="0" fontId="189" fillId="0" borderId="0"/>
    <xf numFmtId="0" fontId="159" fillId="0" borderId="0"/>
    <xf numFmtId="0" fontId="159" fillId="0" borderId="0"/>
    <xf numFmtId="0" fontId="189" fillId="0" borderId="0"/>
    <xf numFmtId="0" fontId="159" fillId="0" borderId="0"/>
    <xf numFmtId="0" fontId="159" fillId="0" borderId="0"/>
    <xf numFmtId="0" fontId="17" fillId="0" borderId="0"/>
    <xf numFmtId="0" fontId="17" fillId="0" borderId="0"/>
    <xf numFmtId="0" fontId="151" fillId="0" borderId="0"/>
    <xf numFmtId="0" fontId="44" fillId="0" borderId="0"/>
    <xf numFmtId="0" fontId="151" fillId="0" borderId="0"/>
    <xf numFmtId="0" fontId="151" fillId="0" borderId="0"/>
    <xf numFmtId="0" fontId="158" fillId="33" borderId="169" applyNumberFormat="0" applyFont="0" applyAlignment="0" applyProtection="0"/>
    <xf numFmtId="0" fontId="158" fillId="33" borderId="169" applyNumberFormat="0" applyFont="0" applyAlignment="0" applyProtection="0"/>
    <xf numFmtId="0" fontId="176" fillId="31" borderId="166" applyNumberFormat="0" applyAlignment="0" applyProtection="0"/>
    <xf numFmtId="0" fontId="176" fillId="72" borderId="166" applyNumberFormat="0" applyAlignment="0" applyProtection="0"/>
    <xf numFmtId="0" fontId="176" fillId="72" borderId="16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8" fillId="0" borderId="0" applyFont="0" applyFill="0" applyBorder="0" applyAlignment="0" applyProtection="0"/>
    <xf numFmtId="9" fontId="17" fillId="0" borderId="0" applyFont="0" applyFill="0" applyBorder="0" applyAlignment="0" applyProtection="0"/>
    <xf numFmtId="9" fontId="18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6" fillId="0" borderId="0" applyFont="0" applyFill="0" applyBorder="0" applyAlignment="0" applyProtection="0">
      <alignment vertical="top"/>
    </xf>
    <xf numFmtId="9" fontId="158" fillId="0" borderId="0" applyFont="0" applyFill="0" applyBorder="0" applyAlignment="0" applyProtection="0">
      <alignment vertical="top"/>
    </xf>
    <xf numFmtId="0" fontId="190" fillId="0" borderId="0" applyNumberFormat="0" applyFill="0" applyBorder="0" applyAlignment="0" applyProtection="0"/>
    <xf numFmtId="0" fontId="190" fillId="0" borderId="0" applyNumberFormat="0" applyFill="0" applyBorder="0" applyAlignment="0" applyProtection="0"/>
    <xf numFmtId="0" fontId="154" fillId="0" borderId="170"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7" applyNumberFormat="0" applyFill="0" applyAlignment="0" applyProtection="0"/>
    <xf numFmtId="0" fontId="158" fillId="0" borderId="0"/>
    <xf numFmtId="0" fontId="158" fillId="0" borderId="0">
      <alignment vertical="top"/>
    </xf>
    <xf numFmtId="9" fontId="158" fillId="0" borderId="0" applyFont="0" applyFill="0" applyBorder="0" applyAlignment="0" applyProtection="0">
      <alignment vertical="top"/>
    </xf>
    <xf numFmtId="0" fontId="154" fillId="0" borderId="177" applyNumberFormat="0" applyFill="0" applyAlignment="0" applyProtection="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5" fillId="0" borderId="154" xfId="17" applyNumberFormat="1" applyFont="1" applyBorder="1" applyAlignment="1" applyProtection="1">
      <alignment horizontal="center"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7" fontId="11" fillId="0" borderId="171" xfId="323" applyNumberFormat="1" applyFont="1" applyFill="1" applyBorder="1"/>
    <xf numFmtId="0" fontId="9" fillId="0" borderId="0" xfId="323" applyFill="1" applyBorder="1"/>
    <xf numFmtId="0" fontId="0" fillId="0" borderId="0" xfId="0"/>
    <xf numFmtId="0" fontId="0" fillId="0" borderId="0" xfId="0" applyFill="1"/>
    <xf numFmtId="0" fontId="9" fillId="0" borderId="0" xfId="3" applyProtection="1">
      <protection locked="0"/>
    </xf>
    <xf numFmtId="0" fontId="9" fillId="0" borderId="0" xfId="3" applyBorder="1" applyProtection="1">
      <protection locked="0"/>
    </xf>
    <xf numFmtId="179" fontId="9" fillId="0" borderId="0" xfId="3" applyNumberFormat="1" applyBorder="1" applyProtection="1">
      <protection locked="0"/>
    </xf>
    <xf numFmtId="179" fontId="9" fillId="0" borderId="0" xfId="3" applyNumberFormat="1" applyFont="1" applyBorder="1" applyAlignment="1" applyProtection="1">
      <alignment horizontal="left"/>
      <protection locked="0"/>
    </xf>
    <xf numFmtId="0" fontId="9" fillId="0" borderId="0" xfId="323"/>
    <xf numFmtId="0" fontId="9" fillId="0" borderId="0" xfId="323" applyFill="1"/>
    <xf numFmtId="0" fontId="152" fillId="0" borderId="0" xfId="3" applyFont="1" applyAlignment="1" applyProtection="1">
      <alignment horizontal="center" vertical="center"/>
    </xf>
    <xf numFmtId="37" fontId="153" fillId="0" borderId="0" xfId="488" applyNumberFormat="1" applyFont="1" applyFill="1" applyBorder="1" applyAlignment="1">
      <alignment horizontal="center"/>
    </xf>
    <xf numFmtId="0" fontId="11" fillId="0" borderId="0" xfId="489" quotePrefix="1" applyFont="1" applyFill="1" applyBorder="1" applyAlignment="1"/>
    <xf numFmtId="0" fontId="10" fillId="0" borderId="0" xfId="488" quotePrefix="1" applyFont="1" applyFill="1" applyBorder="1" applyAlignment="1">
      <alignment horizontal="center"/>
    </xf>
    <xf numFmtId="0" fontId="10" fillId="0" borderId="0" xfId="488" applyFont="1" applyFill="1" applyBorder="1"/>
    <xf numFmtId="0" fontId="10" fillId="0" borderId="178" xfId="488" quotePrefix="1" applyFont="1" applyFill="1" applyBorder="1" applyAlignment="1">
      <alignment horizontal="center"/>
    </xf>
    <xf numFmtId="0" fontId="11" fillId="0" borderId="0" xfId="488" applyFont="1" applyFill="1" applyBorder="1"/>
    <xf numFmtId="0" fontId="10" fillId="0" borderId="0" xfId="537" applyFont="1" applyFill="1" applyProtection="1"/>
    <xf numFmtId="0" fontId="11" fillId="0" borderId="74" xfId="488" applyFont="1" applyFill="1" applyBorder="1" applyAlignment="1">
      <alignment horizontal="center"/>
    </xf>
    <xf numFmtId="0" fontId="10" fillId="0" borderId="0" xfId="360" applyFont="1" applyFill="1" applyBorder="1" applyProtection="1"/>
    <xf numFmtId="0" fontId="11" fillId="0" borderId="178" xfId="489" quotePrefix="1" applyFont="1" applyFill="1" applyBorder="1" applyAlignment="1"/>
    <xf numFmtId="0" fontId="11" fillId="0" borderId="0" xfId="489" applyFont="1" applyFill="1"/>
    <xf numFmtId="0" fontId="11" fillId="0" borderId="0" xfId="489" applyFont="1" applyFill="1" applyBorder="1"/>
    <xf numFmtId="0" fontId="10" fillId="0" borderId="0" xfId="489" applyFont="1" applyFill="1" applyBorder="1" applyAlignment="1">
      <alignment horizontal="left" indent="1"/>
    </xf>
    <xf numFmtId="0" fontId="10" fillId="0" borderId="0" xfId="488" applyFont="1" applyFill="1" applyAlignment="1">
      <alignment horizontal="center" vertical="justify"/>
    </xf>
    <xf numFmtId="37" fontId="178" fillId="0" borderId="0" xfId="488" applyNumberFormat="1" applyFont="1" applyFill="1" applyBorder="1" applyAlignment="1">
      <alignment horizontal="center"/>
    </xf>
    <xf numFmtId="37" fontId="10" fillId="0" borderId="0" xfId="488" applyNumberFormat="1" applyFont="1" applyFill="1" applyBorder="1"/>
    <xf numFmtId="37" fontId="10" fillId="0" borderId="0" xfId="488" applyNumberFormat="1" applyFont="1" applyFill="1" applyBorder="1" applyAlignment="1">
      <alignment wrapText="1"/>
    </xf>
    <xf numFmtId="0" fontId="178" fillId="0" borderId="0" xfId="488" applyFont="1" applyFill="1" applyBorder="1"/>
    <xf numFmtId="37" fontId="10" fillId="0" borderId="0" xfId="488" applyNumberFormat="1" applyFont="1" applyFill="1" applyBorder="1" applyAlignment="1">
      <alignment horizontal="right" wrapText="1"/>
    </xf>
    <xf numFmtId="37" fontId="11" fillId="0" borderId="178" xfId="488" applyNumberFormat="1" applyFont="1" applyFill="1" applyBorder="1"/>
    <xf numFmtId="0" fontId="10" fillId="0" borderId="178" xfId="488" applyFont="1" applyFill="1" applyBorder="1"/>
    <xf numFmtId="0" fontId="10" fillId="0" borderId="0" xfId="488" applyFont="1" applyFill="1" applyBorder="1" applyAlignment="1">
      <alignment horizontal="center"/>
    </xf>
    <xf numFmtId="37" fontId="10" fillId="0" borderId="0" xfId="488" applyNumberFormat="1" applyFont="1" applyFill="1" applyBorder="1" applyAlignment="1">
      <alignment horizontal="center"/>
    </xf>
    <xf numFmtId="37" fontId="10" fillId="0" borderId="178" xfId="488" applyNumberFormat="1" applyFont="1" applyFill="1" applyBorder="1"/>
    <xf numFmtId="0" fontId="11" fillId="0" borderId="74" xfId="488" applyFont="1" applyFill="1" applyBorder="1" applyAlignment="1">
      <alignment horizontal="center" wrapText="1"/>
    </xf>
    <xf numFmtId="0" fontId="11" fillId="0" borderId="74" xfId="489" applyFont="1" applyFill="1" applyBorder="1" applyAlignment="1">
      <alignment horizontal="center" wrapText="1"/>
    </xf>
    <xf numFmtId="0" fontId="11" fillId="0" borderId="74" xfId="489" applyFont="1" applyFill="1" applyBorder="1" applyAlignment="1">
      <alignment horizontal="center"/>
    </xf>
    <xf numFmtId="37" fontId="10" fillId="0" borderId="0" xfId="691" applyNumberFormat="1" applyFont="1" applyFill="1" applyBorder="1"/>
    <xf numFmtId="0" fontId="10" fillId="0" borderId="0" xfId="360" applyFont="1" applyFill="1" applyAlignment="1" applyProtection="1">
      <alignment horizontal="center" shrinkToFit="1"/>
    </xf>
    <xf numFmtId="37" fontId="11" fillId="0" borderId="178" xfId="691" applyNumberFormat="1" applyFont="1" applyFill="1" applyBorder="1"/>
    <xf numFmtId="37" fontId="10" fillId="0" borderId="138" xfId="488" applyNumberFormat="1" applyFont="1" applyFill="1" applyBorder="1"/>
    <xf numFmtId="0" fontId="10" fillId="0" borderId="138" xfId="488" applyFont="1" applyFill="1" applyBorder="1"/>
    <xf numFmtId="37" fontId="178" fillId="0" borderId="138" xfId="488" applyNumberFormat="1" applyFont="1" applyFill="1" applyBorder="1" applyAlignment="1">
      <alignment horizontal="center"/>
    </xf>
    <xf numFmtId="37" fontId="11" fillId="0" borderId="0" xfId="691" applyNumberFormat="1" applyFont="1" applyFill="1" applyBorder="1"/>
    <xf numFmtId="37" fontId="11" fillId="0" borderId="0" xfId="488" applyNumberFormat="1" applyFont="1" applyFill="1" applyBorder="1"/>
    <xf numFmtId="0" fontId="10" fillId="0" borderId="0" xfId="360" applyFont="1" applyFill="1" applyBorder="1" applyAlignment="1" applyProtection="1">
      <alignment horizontal="center"/>
    </xf>
    <xf numFmtId="0" fontId="10" fillId="0" borderId="0" xfId="360" quotePrefix="1" applyFont="1" applyFill="1" applyAlignment="1">
      <alignment horizontal="center"/>
    </xf>
    <xf numFmtId="37" fontId="10" fillId="0" borderId="0" xfId="1245" applyNumberFormat="1" applyFont="1" applyFill="1" applyBorder="1"/>
    <xf numFmtId="0" fontId="10" fillId="0" borderId="0" xfId="360" quotePrefix="1" applyFont="1" applyFill="1" applyAlignment="1" applyProtection="1">
      <alignment horizont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0" fillId="73" borderId="0" xfId="0" applyFill="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2" fillId="0" borderId="0" xfId="3" applyNumberFormat="1" applyFont="1" applyAlignment="1" applyProtection="1">
      <alignment horizontal="center"/>
    </xf>
    <xf numFmtId="0" fontId="12" fillId="0" borderId="0" xfId="3" applyNumberFormat="1" applyFont="1" applyAlignment="1">
      <alignment horizontal="center"/>
    </xf>
    <xf numFmtId="165" fontId="12" fillId="0" borderId="0" xfId="3" applyNumberFormat="1" applyFont="1" applyAlignment="1" applyProtection="1">
      <alignment horizontal="center" vertical="center"/>
    </xf>
    <xf numFmtId="165" fontId="19" fillId="0" borderId="0" xfId="3" applyNumberFormat="1" applyFont="1" applyAlignment="1" applyProtection="1">
      <alignment horizontal="center" vertical="center"/>
    </xf>
    <xf numFmtId="0" fontId="19"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249">
    <cellStyle name="20% - Accent1 2" xfId="26" xr:uid="{00000000-0005-0000-0000-000000000000}"/>
    <cellStyle name="20% - Accent1 2 2" xfId="27" xr:uid="{00000000-0005-0000-0000-000001000000}"/>
    <cellStyle name="20% - Accent1 2 2 2" xfId="651" xr:uid="{00000000-0005-0000-0000-000002000000}"/>
    <cellStyle name="20% - Accent1 2 3" xfId="28" xr:uid="{00000000-0005-0000-0000-000003000000}"/>
    <cellStyle name="20% - Accent1 2 3 2" xfId="650" xr:uid="{00000000-0005-0000-0000-000004000000}"/>
    <cellStyle name="20% - Accent1 2 3 2 2" xfId="690" xr:uid="{00000000-0005-0000-0000-000005000000}"/>
    <cellStyle name="20% - Accent1 2 3 2 2 2" xfId="1022" xr:uid="{00000000-0005-0000-0000-000006000000}"/>
    <cellStyle name="20% - Accent1 2 3 2 3" xfId="984" xr:uid="{00000000-0005-0000-0000-000007000000}"/>
    <cellStyle name="20% - Accent1 2 3 3" xfId="654" xr:uid="{00000000-0005-0000-0000-000008000000}"/>
    <cellStyle name="20% - Accent1 2 3 3 2" xfId="986" xr:uid="{00000000-0005-0000-0000-000009000000}"/>
    <cellStyle name="20% - Accent1 2 3 4" xfId="704" xr:uid="{00000000-0005-0000-0000-00000A000000}"/>
    <cellStyle name="20% - Accent1 2 4" xfId="29" xr:uid="{00000000-0005-0000-0000-00000B000000}"/>
    <cellStyle name="20% - Accent1 2 5" xfId="927" xr:uid="{00000000-0005-0000-0000-00000C000000}"/>
    <cellStyle name="20% - Accent1 2 6" xfId="926" xr:uid="{00000000-0005-0000-0000-00000D000000}"/>
    <cellStyle name="20% - Accent1 3" xfId="30" xr:uid="{00000000-0005-0000-0000-00000E000000}"/>
    <cellStyle name="20% - Accent1 3 2" xfId="649" xr:uid="{00000000-0005-0000-0000-00000F000000}"/>
    <cellStyle name="20% - Accent1 4" xfId="31" xr:uid="{00000000-0005-0000-0000-000010000000}"/>
    <cellStyle name="20% - Accent1 4 2" xfId="648" xr:uid="{00000000-0005-0000-0000-000011000000}"/>
    <cellStyle name="20% - Accent2 2" xfId="32" xr:uid="{00000000-0005-0000-0000-000012000000}"/>
    <cellStyle name="20% - Accent2 2 2" xfId="33" xr:uid="{00000000-0005-0000-0000-000013000000}"/>
    <cellStyle name="20% - Accent2 2 3" xfId="34" xr:uid="{00000000-0005-0000-0000-000014000000}"/>
    <cellStyle name="20% - Accent2 2 3 2" xfId="655" xr:uid="{00000000-0005-0000-0000-000015000000}"/>
    <cellStyle name="20% - Accent2 2 3 2 2" xfId="987" xr:uid="{00000000-0005-0000-0000-000016000000}"/>
    <cellStyle name="20% - Accent2 2 3 3" xfId="706" xr:uid="{00000000-0005-0000-0000-000017000000}"/>
    <cellStyle name="20% - Accent2 2 4" xfId="925" xr:uid="{00000000-0005-0000-0000-000018000000}"/>
    <cellStyle name="20% - Accent2 2 5" xfId="924" xr:uid="{00000000-0005-0000-0000-000019000000}"/>
    <cellStyle name="20% - Accent2 2 6" xfId="923" xr:uid="{00000000-0005-0000-0000-00001A000000}"/>
    <cellStyle name="20% - Accent2 3" xfId="35" xr:uid="{00000000-0005-0000-0000-00001B000000}"/>
    <cellStyle name="20% - Accent2 4" xfId="36" xr:uid="{00000000-0005-0000-0000-00001C000000}"/>
    <cellStyle name="20% - Accent3 2" xfId="37" xr:uid="{00000000-0005-0000-0000-00001D000000}"/>
    <cellStyle name="20% - Accent3 2 2" xfId="38" xr:uid="{00000000-0005-0000-0000-00001E000000}"/>
    <cellStyle name="20% - Accent3 2 3" xfId="39" xr:uid="{00000000-0005-0000-0000-00001F000000}"/>
    <cellStyle name="20% - Accent3 2 3 2" xfId="656" xr:uid="{00000000-0005-0000-0000-000020000000}"/>
    <cellStyle name="20% - Accent3 2 3 2 2" xfId="988" xr:uid="{00000000-0005-0000-0000-000021000000}"/>
    <cellStyle name="20% - Accent3 2 3 3" xfId="708" xr:uid="{00000000-0005-0000-0000-000022000000}"/>
    <cellStyle name="20% - Accent3 2 4" xfId="922" xr:uid="{00000000-0005-0000-0000-000023000000}"/>
    <cellStyle name="20% - Accent3 2 5" xfId="1031" xr:uid="{00000000-0005-0000-0000-000024000000}"/>
    <cellStyle name="20% - Accent3 2 6" xfId="921" xr:uid="{00000000-0005-0000-0000-000025000000}"/>
    <cellStyle name="20% - Accent3 3" xfId="40" xr:uid="{00000000-0005-0000-0000-000026000000}"/>
    <cellStyle name="20% - Accent3 4" xfId="41" xr:uid="{00000000-0005-0000-0000-000027000000}"/>
    <cellStyle name="20% - Accent4 2" xfId="42" xr:uid="{00000000-0005-0000-0000-000028000000}"/>
    <cellStyle name="20% - Accent4 2 2" xfId="43" xr:uid="{00000000-0005-0000-0000-000029000000}"/>
    <cellStyle name="20% - Accent4 2 2 2" xfId="647" xr:uid="{00000000-0005-0000-0000-00002A000000}"/>
    <cellStyle name="20% - Accent4 2 3" xfId="44" xr:uid="{00000000-0005-0000-0000-00002B000000}"/>
    <cellStyle name="20% - Accent4 2 3 2" xfId="646" xr:uid="{00000000-0005-0000-0000-00002C000000}"/>
    <cellStyle name="20% - Accent4 2 3 2 2" xfId="689" xr:uid="{00000000-0005-0000-0000-00002D000000}"/>
    <cellStyle name="20% - Accent4 2 3 2 2 2" xfId="1021" xr:uid="{00000000-0005-0000-0000-00002E000000}"/>
    <cellStyle name="20% - Accent4 2 3 2 3" xfId="983" xr:uid="{00000000-0005-0000-0000-00002F000000}"/>
    <cellStyle name="20% - Accent4 2 3 3" xfId="657" xr:uid="{00000000-0005-0000-0000-000030000000}"/>
    <cellStyle name="20% - Accent4 2 3 3 2" xfId="989" xr:uid="{00000000-0005-0000-0000-000031000000}"/>
    <cellStyle name="20% - Accent4 2 3 4" xfId="710" xr:uid="{00000000-0005-0000-0000-000032000000}"/>
    <cellStyle name="20% - Accent4 2 4" xfId="45" xr:uid="{00000000-0005-0000-0000-000033000000}"/>
    <cellStyle name="20% - Accent4 2 5" xfId="920" xr:uid="{00000000-0005-0000-0000-000034000000}"/>
    <cellStyle name="20% - Accent4 2 6" xfId="919" xr:uid="{00000000-0005-0000-0000-000035000000}"/>
    <cellStyle name="20% - Accent4 3" xfId="46" xr:uid="{00000000-0005-0000-0000-000036000000}"/>
    <cellStyle name="20% - Accent4 3 2" xfId="645" xr:uid="{00000000-0005-0000-0000-000037000000}"/>
    <cellStyle name="20% - Accent4 4" xfId="47" xr:uid="{00000000-0005-0000-0000-000038000000}"/>
    <cellStyle name="20% - Accent4 4 2" xfId="644" xr:uid="{00000000-0005-0000-0000-000039000000}"/>
    <cellStyle name="20% - Accent5 2" xfId="48" xr:uid="{00000000-0005-0000-0000-00003A000000}"/>
    <cellStyle name="20% - Accent5 2 2" xfId="49" xr:uid="{00000000-0005-0000-0000-00003B000000}"/>
    <cellStyle name="20% - Accent5 2 3" xfId="50" xr:uid="{00000000-0005-0000-0000-00003C000000}"/>
    <cellStyle name="20% - Accent5 2 3 2" xfId="658" xr:uid="{00000000-0005-0000-0000-00003D000000}"/>
    <cellStyle name="20% - Accent5 2 3 2 2" xfId="990" xr:uid="{00000000-0005-0000-0000-00003E000000}"/>
    <cellStyle name="20% - Accent5 2 3 3" xfId="712" xr:uid="{00000000-0005-0000-0000-00003F000000}"/>
    <cellStyle name="20% - Accent5 3" xfId="51" xr:uid="{00000000-0005-0000-0000-000040000000}"/>
    <cellStyle name="20% - Accent5 4" xfId="52" xr:uid="{00000000-0005-0000-0000-000041000000}"/>
    <cellStyle name="20% - Accent6 2" xfId="53" xr:uid="{00000000-0005-0000-0000-000042000000}"/>
    <cellStyle name="20% - Accent6 2 2" xfId="54" xr:uid="{00000000-0005-0000-0000-000043000000}"/>
    <cellStyle name="20% - Accent6 2 3" xfId="55" xr:uid="{00000000-0005-0000-0000-000044000000}"/>
    <cellStyle name="20% - Accent6 2 3 2" xfId="659" xr:uid="{00000000-0005-0000-0000-000045000000}"/>
    <cellStyle name="20% - Accent6 2 3 2 2" xfId="991" xr:uid="{00000000-0005-0000-0000-000046000000}"/>
    <cellStyle name="20% - Accent6 2 3 3" xfId="714" xr:uid="{00000000-0005-0000-0000-000047000000}"/>
    <cellStyle name="20% - Accent6 2 4" xfId="928" xr:uid="{00000000-0005-0000-0000-000048000000}"/>
    <cellStyle name="20% - Accent6 2 5" xfId="1030" xr:uid="{00000000-0005-0000-0000-000049000000}"/>
    <cellStyle name="20% - Accent6 2 6" xfId="929" xr:uid="{00000000-0005-0000-0000-00004A000000}"/>
    <cellStyle name="20% - Accent6 3" xfId="56" xr:uid="{00000000-0005-0000-0000-00004B000000}"/>
    <cellStyle name="20% - Accent6 4" xfId="57" xr:uid="{00000000-0005-0000-0000-00004C000000}"/>
    <cellStyle name="40% - Accent1 2" xfId="58" xr:uid="{00000000-0005-0000-0000-00004D000000}"/>
    <cellStyle name="40% - Accent1 2 2" xfId="59" xr:uid="{00000000-0005-0000-0000-00004E000000}"/>
    <cellStyle name="40% - Accent1 2 3" xfId="60" xr:uid="{00000000-0005-0000-0000-00004F000000}"/>
    <cellStyle name="40% - Accent1 2 3 2" xfId="660" xr:uid="{00000000-0005-0000-0000-000050000000}"/>
    <cellStyle name="40% - Accent1 2 3 2 2" xfId="992" xr:uid="{00000000-0005-0000-0000-000051000000}"/>
    <cellStyle name="40% - Accent1 2 3 3" xfId="718" xr:uid="{00000000-0005-0000-0000-000052000000}"/>
    <cellStyle name="40% - Accent1 2 4" xfId="918" xr:uid="{00000000-0005-0000-0000-000053000000}"/>
    <cellStyle name="40% - Accent1 2 5" xfId="948" xr:uid="{00000000-0005-0000-0000-000054000000}"/>
    <cellStyle name="40% - Accent1 2 6" xfId="930" xr:uid="{00000000-0005-0000-0000-000055000000}"/>
    <cellStyle name="40% - Accent1 3" xfId="61" xr:uid="{00000000-0005-0000-0000-000056000000}"/>
    <cellStyle name="40% - Accent1 4" xfId="62" xr:uid="{00000000-0005-0000-0000-000057000000}"/>
    <cellStyle name="40% - Accent2 2" xfId="63" xr:uid="{00000000-0005-0000-0000-000058000000}"/>
    <cellStyle name="40% - Accent2 2 2" xfId="64" xr:uid="{00000000-0005-0000-0000-000059000000}"/>
    <cellStyle name="40% - Accent2 2 3" xfId="65" xr:uid="{00000000-0005-0000-0000-00005A000000}"/>
    <cellStyle name="40% - Accent2 2 3 2" xfId="661" xr:uid="{00000000-0005-0000-0000-00005B000000}"/>
    <cellStyle name="40% - Accent2 2 3 2 2" xfId="993" xr:uid="{00000000-0005-0000-0000-00005C000000}"/>
    <cellStyle name="40% - Accent2 2 3 3" xfId="721" xr:uid="{00000000-0005-0000-0000-00005D000000}"/>
    <cellStyle name="40% - Accent2 3" xfId="66" xr:uid="{00000000-0005-0000-0000-00005E000000}"/>
    <cellStyle name="40% - Accent2 4" xfId="67" xr:uid="{00000000-0005-0000-0000-00005F000000}"/>
    <cellStyle name="40% - Accent3 2" xfId="68" xr:uid="{00000000-0005-0000-0000-000060000000}"/>
    <cellStyle name="40% - Accent3 2 2" xfId="69" xr:uid="{00000000-0005-0000-0000-000061000000}"/>
    <cellStyle name="40% - Accent3 2 2 2" xfId="643" xr:uid="{00000000-0005-0000-0000-000062000000}"/>
    <cellStyle name="40% - Accent3 2 3" xfId="70" xr:uid="{00000000-0005-0000-0000-000063000000}"/>
    <cellStyle name="40% - Accent3 2 3 2" xfId="642" xr:uid="{00000000-0005-0000-0000-000064000000}"/>
    <cellStyle name="40% - Accent3 2 3 2 2" xfId="688" xr:uid="{00000000-0005-0000-0000-000065000000}"/>
    <cellStyle name="40% - Accent3 2 3 2 2 2" xfId="1020" xr:uid="{00000000-0005-0000-0000-000066000000}"/>
    <cellStyle name="40% - Accent3 2 3 2 3" xfId="980" xr:uid="{00000000-0005-0000-0000-000067000000}"/>
    <cellStyle name="40% - Accent3 2 3 3" xfId="662" xr:uid="{00000000-0005-0000-0000-000068000000}"/>
    <cellStyle name="40% - Accent3 2 3 3 2" xfId="994" xr:uid="{00000000-0005-0000-0000-000069000000}"/>
    <cellStyle name="40% - Accent3 2 3 4" xfId="725" xr:uid="{00000000-0005-0000-0000-00006A000000}"/>
    <cellStyle name="40% - Accent3 2 4" xfId="71" xr:uid="{00000000-0005-0000-0000-00006B000000}"/>
    <cellStyle name="40% - Accent3 2 5" xfId="709" xr:uid="{00000000-0005-0000-0000-00006C000000}"/>
    <cellStyle name="40% - Accent3 2 6" xfId="707" xr:uid="{00000000-0005-0000-0000-00006D000000}"/>
    <cellStyle name="40% - Accent3 3" xfId="72" xr:uid="{00000000-0005-0000-0000-00006E000000}"/>
    <cellStyle name="40% - Accent3 3 2" xfId="641" xr:uid="{00000000-0005-0000-0000-00006F000000}"/>
    <cellStyle name="40% - Accent3 4" xfId="73" xr:uid="{00000000-0005-0000-0000-000070000000}"/>
    <cellStyle name="40% - Accent3 4 2" xfId="640" xr:uid="{00000000-0005-0000-0000-000071000000}"/>
    <cellStyle name="40% - Accent4 2" xfId="74" xr:uid="{00000000-0005-0000-0000-000072000000}"/>
    <cellStyle name="40% - Accent4 2 2" xfId="75" xr:uid="{00000000-0005-0000-0000-000073000000}"/>
    <cellStyle name="40% - Accent4 2 3" xfId="76" xr:uid="{00000000-0005-0000-0000-000074000000}"/>
    <cellStyle name="40% - Accent4 2 3 2" xfId="663" xr:uid="{00000000-0005-0000-0000-000075000000}"/>
    <cellStyle name="40% - Accent4 2 3 2 2" xfId="995" xr:uid="{00000000-0005-0000-0000-000076000000}"/>
    <cellStyle name="40% - Accent4 2 3 3" xfId="727" xr:uid="{00000000-0005-0000-0000-000077000000}"/>
    <cellStyle name="40% - Accent4 2 4" xfId="915" xr:uid="{00000000-0005-0000-0000-000078000000}"/>
    <cellStyle name="40% - Accent4 2 5" xfId="914" xr:uid="{00000000-0005-0000-0000-000079000000}"/>
    <cellStyle name="40% - Accent4 2 6" xfId="913" xr:uid="{00000000-0005-0000-0000-00007A000000}"/>
    <cellStyle name="40% - Accent4 3" xfId="77" xr:uid="{00000000-0005-0000-0000-00007B000000}"/>
    <cellStyle name="40% - Accent4 4" xfId="78" xr:uid="{00000000-0005-0000-0000-00007C000000}"/>
    <cellStyle name="40% - Accent5 2" xfId="79" xr:uid="{00000000-0005-0000-0000-00007D000000}"/>
    <cellStyle name="40% - Accent5 2 2" xfId="80" xr:uid="{00000000-0005-0000-0000-00007E000000}"/>
    <cellStyle name="40% - Accent5 2 3" xfId="81" xr:uid="{00000000-0005-0000-0000-00007F000000}"/>
    <cellStyle name="40% - Accent5 2 3 2" xfId="664" xr:uid="{00000000-0005-0000-0000-000080000000}"/>
    <cellStyle name="40% - Accent5 2 3 2 2" xfId="996" xr:uid="{00000000-0005-0000-0000-000081000000}"/>
    <cellStyle name="40% - Accent5 2 3 3" xfId="731" xr:uid="{00000000-0005-0000-0000-000082000000}"/>
    <cellStyle name="40% - Accent5 2 4" xfId="911" xr:uid="{00000000-0005-0000-0000-000083000000}"/>
    <cellStyle name="40% - Accent5 2 5" xfId="910" xr:uid="{00000000-0005-0000-0000-000084000000}"/>
    <cellStyle name="40% - Accent5 2 6" xfId="909" xr:uid="{00000000-0005-0000-0000-000085000000}"/>
    <cellStyle name="40% - Accent5 3" xfId="82" xr:uid="{00000000-0005-0000-0000-000086000000}"/>
    <cellStyle name="40% - Accent5 4" xfId="83" xr:uid="{00000000-0005-0000-0000-000087000000}"/>
    <cellStyle name="40% - Accent6 2" xfId="84" xr:uid="{00000000-0005-0000-0000-000088000000}"/>
    <cellStyle name="40% - Accent6 2 2" xfId="85" xr:uid="{00000000-0005-0000-0000-000089000000}"/>
    <cellStyle name="40% - Accent6 2 3" xfId="86" xr:uid="{00000000-0005-0000-0000-00008A000000}"/>
    <cellStyle name="40% - Accent6 2 3 2" xfId="665" xr:uid="{00000000-0005-0000-0000-00008B000000}"/>
    <cellStyle name="40% - Accent6 2 3 2 2" xfId="997" xr:uid="{00000000-0005-0000-0000-00008C000000}"/>
    <cellStyle name="40% - Accent6 2 3 3" xfId="734" xr:uid="{00000000-0005-0000-0000-00008D000000}"/>
    <cellStyle name="40% - Accent6 2 4" xfId="908" xr:uid="{00000000-0005-0000-0000-00008E000000}"/>
    <cellStyle name="40% - Accent6 2 5" xfId="907" xr:uid="{00000000-0005-0000-0000-00008F000000}"/>
    <cellStyle name="40% - Accent6 2 6" xfId="906" xr:uid="{00000000-0005-0000-0000-000090000000}"/>
    <cellStyle name="40% - Accent6 3" xfId="87" xr:uid="{00000000-0005-0000-0000-000091000000}"/>
    <cellStyle name="40% - Accent6 4" xfId="88" xr:uid="{00000000-0005-0000-0000-000092000000}"/>
    <cellStyle name="60% - Accent1 2" xfId="89" xr:uid="{00000000-0005-0000-0000-000093000000}"/>
    <cellStyle name="60% - Accent1 2 2" xfId="90" xr:uid="{00000000-0005-0000-0000-000094000000}"/>
    <cellStyle name="60% - Accent1 2 3" xfId="91" xr:uid="{00000000-0005-0000-0000-000095000000}"/>
    <cellStyle name="60% - Accent1 2 4" xfId="1029" xr:uid="{00000000-0005-0000-0000-000096000000}"/>
    <cellStyle name="60% - Accent1 2 5" xfId="905" xr:uid="{00000000-0005-0000-0000-000097000000}"/>
    <cellStyle name="60% - Accent1 2 6" xfId="904" xr:uid="{00000000-0005-0000-0000-000098000000}"/>
    <cellStyle name="60% - Accent1 3" xfId="92" xr:uid="{00000000-0005-0000-0000-000099000000}"/>
    <cellStyle name="60% - Accent1 4" xfId="93" xr:uid="{00000000-0005-0000-0000-00009A000000}"/>
    <cellStyle name="60% - Accent2 2" xfId="94" xr:uid="{00000000-0005-0000-0000-00009B000000}"/>
    <cellStyle name="60% - Accent2 2 2" xfId="95" xr:uid="{00000000-0005-0000-0000-00009C000000}"/>
    <cellStyle name="60% - Accent2 2 3" xfId="96" xr:uid="{00000000-0005-0000-0000-00009D000000}"/>
    <cellStyle name="60% - Accent2 2 4" xfId="903" xr:uid="{00000000-0005-0000-0000-00009E000000}"/>
    <cellStyle name="60% - Accent2 2 5" xfId="902" xr:uid="{00000000-0005-0000-0000-00009F000000}"/>
    <cellStyle name="60% - Accent2 2 6" xfId="901" xr:uid="{00000000-0005-0000-0000-0000A0000000}"/>
    <cellStyle name="60% - Accent2 3" xfId="97" xr:uid="{00000000-0005-0000-0000-0000A1000000}"/>
    <cellStyle name="60% - Accent2 4" xfId="98" xr:uid="{00000000-0005-0000-0000-0000A2000000}"/>
    <cellStyle name="60% - Accent3 2" xfId="99" xr:uid="{00000000-0005-0000-0000-0000A3000000}"/>
    <cellStyle name="60% - Accent3 2 2" xfId="100" xr:uid="{00000000-0005-0000-0000-0000A4000000}"/>
    <cellStyle name="60% - Accent3 2 2 2" xfId="639" xr:uid="{00000000-0005-0000-0000-0000A5000000}"/>
    <cellStyle name="60% - Accent3 2 3" xfId="101" xr:uid="{00000000-0005-0000-0000-0000A6000000}"/>
    <cellStyle name="60% - Accent3 2 3 2" xfId="638" xr:uid="{00000000-0005-0000-0000-0000A7000000}"/>
    <cellStyle name="60% - Accent3 2 4" xfId="102" xr:uid="{00000000-0005-0000-0000-0000A8000000}"/>
    <cellStyle name="60% - Accent3 2 5" xfId="952" xr:uid="{00000000-0005-0000-0000-0000A9000000}"/>
    <cellStyle name="60% - Accent3 2 6" xfId="1038" xr:uid="{00000000-0005-0000-0000-0000AA000000}"/>
    <cellStyle name="60% - Accent3 3" xfId="103" xr:uid="{00000000-0005-0000-0000-0000AB000000}"/>
    <cellStyle name="60% - Accent3 3 2" xfId="637" xr:uid="{00000000-0005-0000-0000-0000AC000000}"/>
    <cellStyle name="60% - Accent3 4" xfId="104" xr:uid="{00000000-0005-0000-0000-0000AD000000}"/>
    <cellStyle name="60% - Accent3 4 2" xfId="636" xr:uid="{00000000-0005-0000-0000-0000AE000000}"/>
    <cellStyle name="60% - Accent4 2" xfId="105" xr:uid="{00000000-0005-0000-0000-0000AF000000}"/>
    <cellStyle name="60% - Accent4 2 2" xfId="106" xr:uid="{00000000-0005-0000-0000-0000B0000000}"/>
    <cellStyle name="60% - Accent4 2 3" xfId="107" xr:uid="{00000000-0005-0000-0000-0000B1000000}"/>
    <cellStyle name="60% - Accent4 2 4" xfId="900" xr:uid="{00000000-0005-0000-0000-0000B2000000}"/>
    <cellStyle name="60% - Accent4 2 5" xfId="1034" xr:uid="{00000000-0005-0000-0000-0000B3000000}"/>
    <cellStyle name="60% - Accent4 2 6" xfId="899" xr:uid="{00000000-0005-0000-0000-0000B4000000}"/>
    <cellStyle name="60% - Accent4 3" xfId="108" xr:uid="{00000000-0005-0000-0000-0000B5000000}"/>
    <cellStyle name="60% - Accent4 4" xfId="109" xr:uid="{00000000-0005-0000-0000-0000B6000000}"/>
    <cellStyle name="60% - Accent5 2" xfId="110" xr:uid="{00000000-0005-0000-0000-0000B7000000}"/>
    <cellStyle name="60% - Accent5 2 2" xfId="111" xr:uid="{00000000-0005-0000-0000-0000B8000000}"/>
    <cellStyle name="60% - Accent5 2 3" xfId="112" xr:uid="{00000000-0005-0000-0000-0000B9000000}"/>
    <cellStyle name="60% - Accent5 2 4" xfId="898" xr:uid="{00000000-0005-0000-0000-0000BA000000}"/>
    <cellStyle name="60% - Accent5 2 5" xfId="897" xr:uid="{00000000-0005-0000-0000-0000BB000000}"/>
    <cellStyle name="60% - Accent5 2 6" xfId="895" xr:uid="{00000000-0005-0000-0000-0000BC000000}"/>
    <cellStyle name="60% - Accent5 3" xfId="113" xr:uid="{00000000-0005-0000-0000-0000BD000000}"/>
    <cellStyle name="60% - Accent5 4" xfId="114" xr:uid="{00000000-0005-0000-0000-0000BE000000}"/>
    <cellStyle name="60% - Accent6 2" xfId="115" xr:uid="{00000000-0005-0000-0000-0000BF000000}"/>
    <cellStyle name="60% - Accent6 2 2" xfId="116" xr:uid="{00000000-0005-0000-0000-0000C0000000}"/>
    <cellStyle name="60% - Accent6 2 2 2" xfId="635" xr:uid="{00000000-0005-0000-0000-0000C1000000}"/>
    <cellStyle name="60% - Accent6 2 3" xfId="117" xr:uid="{00000000-0005-0000-0000-0000C2000000}"/>
    <cellStyle name="60% - Accent6 2 3 2" xfId="634" xr:uid="{00000000-0005-0000-0000-0000C3000000}"/>
    <cellStyle name="60% - Accent6 2 4" xfId="118" xr:uid="{00000000-0005-0000-0000-0000C4000000}"/>
    <cellStyle name="60% - Accent6 2 5" xfId="893" xr:uid="{00000000-0005-0000-0000-0000C5000000}"/>
    <cellStyle name="60% - Accent6 2 6" xfId="892" xr:uid="{00000000-0005-0000-0000-0000C6000000}"/>
    <cellStyle name="60% - Accent6 3" xfId="119" xr:uid="{00000000-0005-0000-0000-0000C7000000}"/>
    <cellStyle name="60% - Accent6 3 2" xfId="633" xr:uid="{00000000-0005-0000-0000-0000C8000000}"/>
    <cellStyle name="60% - Accent6 4" xfId="120" xr:uid="{00000000-0005-0000-0000-0000C9000000}"/>
    <cellStyle name="60% - Accent6 4 2" xfId="632" xr:uid="{00000000-0005-0000-0000-0000CA000000}"/>
    <cellStyle name="Accent1 2" xfId="121" xr:uid="{00000000-0005-0000-0000-0000CB000000}"/>
    <cellStyle name="Accent1 2 2" xfId="122" xr:uid="{00000000-0005-0000-0000-0000CC000000}"/>
    <cellStyle name="Accent1 2 3" xfId="123" xr:uid="{00000000-0005-0000-0000-0000CD000000}"/>
    <cellStyle name="Accent1 2 4" xfId="1028" xr:uid="{00000000-0005-0000-0000-0000CE000000}"/>
    <cellStyle name="Accent1 2 5" xfId="1054" xr:uid="{00000000-0005-0000-0000-0000CF000000}"/>
    <cellStyle name="Accent1 2 6" xfId="891" xr:uid="{00000000-0005-0000-0000-0000D0000000}"/>
    <cellStyle name="Accent1 3" xfId="124" xr:uid="{00000000-0005-0000-0000-0000D1000000}"/>
    <cellStyle name="Accent1 4" xfId="125" xr:uid="{00000000-0005-0000-0000-0000D2000000}"/>
    <cellStyle name="Accent2 2" xfId="126" xr:uid="{00000000-0005-0000-0000-0000D3000000}"/>
    <cellStyle name="Accent2 2 2" xfId="127" xr:uid="{00000000-0005-0000-0000-0000D4000000}"/>
    <cellStyle name="Accent2 2 3" xfId="128" xr:uid="{00000000-0005-0000-0000-0000D5000000}"/>
    <cellStyle name="Accent2 2 4" xfId="1043" xr:uid="{00000000-0005-0000-0000-0000D6000000}"/>
    <cellStyle name="Accent2 2 5" xfId="890" xr:uid="{00000000-0005-0000-0000-0000D7000000}"/>
    <cellStyle name="Accent2 2 6" xfId="1027" xr:uid="{00000000-0005-0000-0000-0000D8000000}"/>
    <cellStyle name="Accent2 3" xfId="129" xr:uid="{00000000-0005-0000-0000-0000D9000000}"/>
    <cellStyle name="Accent2 4" xfId="130" xr:uid="{00000000-0005-0000-0000-0000DA000000}"/>
    <cellStyle name="Accent3 2" xfId="131" xr:uid="{00000000-0005-0000-0000-0000DB000000}"/>
    <cellStyle name="Accent3 2 2" xfId="132" xr:uid="{00000000-0005-0000-0000-0000DC000000}"/>
    <cellStyle name="Accent3 2 3" xfId="133" xr:uid="{00000000-0005-0000-0000-0000DD000000}"/>
    <cellStyle name="Accent3 2 4" xfId="889" xr:uid="{00000000-0005-0000-0000-0000DE000000}"/>
    <cellStyle name="Accent3 2 5" xfId="888" xr:uid="{00000000-0005-0000-0000-0000DF000000}"/>
    <cellStyle name="Accent3 2 6" xfId="1026" xr:uid="{00000000-0005-0000-0000-0000E0000000}"/>
    <cellStyle name="Accent3 3" xfId="134" xr:uid="{00000000-0005-0000-0000-0000E1000000}"/>
    <cellStyle name="Accent3 4" xfId="135" xr:uid="{00000000-0005-0000-0000-0000E2000000}"/>
    <cellStyle name="Accent4 2" xfId="136" xr:uid="{00000000-0005-0000-0000-0000E3000000}"/>
    <cellStyle name="Accent4 2 2" xfId="137" xr:uid="{00000000-0005-0000-0000-0000E4000000}"/>
    <cellStyle name="Accent4 2 3" xfId="138" xr:uid="{00000000-0005-0000-0000-0000E5000000}"/>
    <cellStyle name="Accent4 2 4" xfId="887" xr:uid="{00000000-0005-0000-0000-0000E6000000}"/>
    <cellStyle name="Accent4 2 5" xfId="886" xr:uid="{00000000-0005-0000-0000-0000E7000000}"/>
    <cellStyle name="Accent4 2 6" xfId="883" xr:uid="{00000000-0005-0000-0000-0000E8000000}"/>
    <cellStyle name="Accent4 3" xfId="139" xr:uid="{00000000-0005-0000-0000-0000E9000000}"/>
    <cellStyle name="Accent4 4" xfId="140" xr:uid="{00000000-0005-0000-0000-0000EA000000}"/>
    <cellStyle name="Accent5 2" xfId="141" xr:uid="{00000000-0005-0000-0000-0000EB000000}"/>
    <cellStyle name="Accent5 2 2" xfId="142" xr:uid="{00000000-0005-0000-0000-0000EC000000}"/>
    <cellStyle name="Accent5 2 3" xfId="143" xr:uid="{00000000-0005-0000-0000-0000ED000000}"/>
    <cellStyle name="Accent5 3" xfId="144" xr:uid="{00000000-0005-0000-0000-0000EE000000}"/>
    <cellStyle name="Accent5 4" xfId="145" xr:uid="{00000000-0005-0000-0000-0000EF000000}"/>
    <cellStyle name="Accent6 2" xfId="146" xr:uid="{00000000-0005-0000-0000-0000F0000000}"/>
    <cellStyle name="Accent6 2 2" xfId="147" xr:uid="{00000000-0005-0000-0000-0000F1000000}"/>
    <cellStyle name="Accent6 2 3" xfId="148" xr:uid="{00000000-0005-0000-0000-0000F2000000}"/>
    <cellStyle name="Accent6 2 4" xfId="942" xr:uid="{00000000-0005-0000-0000-0000F3000000}"/>
    <cellStyle name="Accent6 2 5" xfId="982" xr:uid="{00000000-0005-0000-0000-0000F4000000}"/>
    <cellStyle name="Accent6 2 6" xfId="1037" xr:uid="{00000000-0005-0000-0000-0000F5000000}"/>
    <cellStyle name="Accent6 3" xfId="149" xr:uid="{00000000-0005-0000-0000-0000F6000000}"/>
    <cellStyle name="Accent6 4" xfId="150" xr:uid="{00000000-0005-0000-0000-0000F7000000}"/>
    <cellStyle name="Bad 2" xfId="151" xr:uid="{00000000-0005-0000-0000-0000F8000000}"/>
    <cellStyle name="Bad 2 2" xfId="152" xr:uid="{00000000-0005-0000-0000-0000F9000000}"/>
    <cellStyle name="Bad 2 2 2" xfId="631" xr:uid="{00000000-0005-0000-0000-0000FA000000}"/>
    <cellStyle name="Bad 2 3" xfId="153" xr:uid="{00000000-0005-0000-0000-0000FB000000}"/>
    <cellStyle name="Bad 2 3 2" xfId="630" xr:uid="{00000000-0005-0000-0000-0000FC000000}"/>
    <cellStyle name="Bad 2 4" xfId="154" xr:uid="{00000000-0005-0000-0000-0000FD000000}"/>
    <cellStyle name="Bad 2 5" xfId="882" xr:uid="{00000000-0005-0000-0000-0000FE000000}"/>
    <cellStyle name="Bad 2 6" xfId="881" xr:uid="{00000000-0005-0000-0000-0000FF000000}"/>
    <cellStyle name="Bad 3" xfId="155" xr:uid="{00000000-0005-0000-0000-000000010000}"/>
    <cellStyle name="Bad 3 2" xfId="629" xr:uid="{00000000-0005-0000-0000-000001010000}"/>
    <cellStyle name="Bad 4" xfId="156" xr:uid="{00000000-0005-0000-0000-000002010000}"/>
    <cellStyle name="Bad 4 2" xfId="628" xr:uid="{00000000-0005-0000-0000-000003010000}"/>
    <cellStyle name="Calculation 2" xfId="157" xr:uid="{00000000-0005-0000-0000-000004010000}"/>
    <cellStyle name="Calculation 2 2" xfId="158" xr:uid="{00000000-0005-0000-0000-000005010000}"/>
    <cellStyle name="Calculation 2 3" xfId="159" xr:uid="{00000000-0005-0000-0000-000006010000}"/>
    <cellStyle name="Calculation 2 4" xfId="880" xr:uid="{00000000-0005-0000-0000-000007010000}"/>
    <cellStyle name="Calculation 2 5" xfId="879" xr:uid="{00000000-0005-0000-0000-000008010000}"/>
    <cellStyle name="Calculation 2 6" xfId="878" xr:uid="{00000000-0005-0000-0000-000009010000}"/>
    <cellStyle name="Calculation 3" xfId="160" xr:uid="{00000000-0005-0000-0000-00000A010000}"/>
    <cellStyle name="Calculation 4" xfId="161" xr:uid="{00000000-0005-0000-0000-00000B010000}"/>
    <cellStyle name="Check Cell 2" xfId="162" xr:uid="{00000000-0005-0000-0000-00000C010000}"/>
    <cellStyle name="Check Cell 2 2" xfId="163" xr:uid="{00000000-0005-0000-0000-00000D010000}"/>
    <cellStyle name="Check Cell 2 3" xfId="164" xr:uid="{00000000-0005-0000-0000-00000E010000}"/>
    <cellStyle name="Check Cell 3" xfId="165" xr:uid="{00000000-0005-0000-0000-00000F010000}"/>
    <cellStyle name="Check Cell 4" xfId="166" xr:uid="{00000000-0005-0000-0000-000010010000}"/>
    <cellStyle name="Comma" xfId="1" builtinId="3"/>
    <cellStyle name="Comma 10" xfId="167" xr:uid="{00000000-0005-0000-0000-000012010000}"/>
    <cellStyle name="Comma 11" xfId="1025" xr:uid="{00000000-0005-0000-0000-000013010000}"/>
    <cellStyle name="Comma 11 2" xfId="877" xr:uid="{00000000-0005-0000-0000-000014010000}"/>
    <cellStyle name="Comma 13" xfId="168" xr:uid="{00000000-0005-0000-0000-000015010000}"/>
    <cellStyle name="Comma 13 2" xfId="876" xr:uid="{00000000-0005-0000-0000-000016010000}"/>
    <cellStyle name="Comma 14" xfId="169" xr:uid="{00000000-0005-0000-0000-000017010000}"/>
    <cellStyle name="Comma 14 2" xfId="1053" xr:uid="{00000000-0005-0000-0000-000018010000}"/>
    <cellStyle name="Comma 2" xfId="170" xr:uid="{00000000-0005-0000-0000-000019010000}"/>
    <cellStyle name="Comma 2 2" xfId="171" xr:uid="{00000000-0005-0000-0000-00001A010000}"/>
    <cellStyle name="Comma 2 2 2" xfId="172" xr:uid="{00000000-0005-0000-0000-00001B010000}"/>
    <cellStyle name="Comma 2 2 2 2" xfId="1024" xr:uid="{00000000-0005-0000-0000-00001C010000}"/>
    <cellStyle name="Comma 2 2 2 3" xfId="1052" xr:uid="{00000000-0005-0000-0000-00001D010000}"/>
    <cellStyle name="Comma 2 2 3" xfId="173" xr:uid="{00000000-0005-0000-0000-00001E010000}"/>
    <cellStyle name="Comma 2 2 3 2" xfId="875" xr:uid="{00000000-0005-0000-0000-00001F010000}"/>
    <cellStyle name="Comma 2 2 3 3" xfId="874" xr:uid="{00000000-0005-0000-0000-000020010000}"/>
    <cellStyle name="Comma 2 2 4" xfId="174" xr:uid="{00000000-0005-0000-0000-000021010000}"/>
    <cellStyle name="Comma 2 2 4 2" xfId="947" xr:uid="{00000000-0005-0000-0000-000022010000}"/>
    <cellStyle name="Comma 2 2 5" xfId="175" xr:uid="{00000000-0005-0000-0000-000023010000}"/>
    <cellStyle name="Comma 2 2 6" xfId="873" xr:uid="{00000000-0005-0000-0000-000024010000}"/>
    <cellStyle name="Comma 2 3" xfId="176" xr:uid="{00000000-0005-0000-0000-000025010000}"/>
    <cellStyle name="Comma 2 3 2" xfId="177" xr:uid="{00000000-0005-0000-0000-000026010000}"/>
    <cellStyle name="Comma 2 3 2 2" xfId="872" xr:uid="{00000000-0005-0000-0000-000027010000}"/>
    <cellStyle name="Comma 2 3 2 3" xfId="871" xr:uid="{00000000-0005-0000-0000-000028010000}"/>
    <cellStyle name="Comma 2 3 3" xfId="178" xr:uid="{00000000-0005-0000-0000-000029010000}"/>
    <cellStyle name="Comma 2 3 3 2" xfId="1044" xr:uid="{00000000-0005-0000-0000-00002A010000}"/>
    <cellStyle name="Comma 2 3 3 3" xfId="870" xr:uid="{00000000-0005-0000-0000-00002B010000}"/>
    <cellStyle name="Comma 2 3 4" xfId="179" xr:uid="{00000000-0005-0000-0000-00002C010000}"/>
    <cellStyle name="Comma 2 3 4 2" xfId="869" xr:uid="{00000000-0005-0000-0000-00002D010000}"/>
    <cellStyle name="Comma 2 3 5" xfId="180" xr:uid="{00000000-0005-0000-0000-00002E010000}"/>
    <cellStyle name="Comma 2 3 6" xfId="868" xr:uid="{00000000-0005-0000-0000-00002F010000}"/>
    <cellStyle name="Comma 2 4" xfId="181" xr:uid="{00000000-0005-0000-0000-000030010000}"/>
    <cellStyle name="Comma 2 4 2" xfId="182" xr:uid="{00000000-0005-0000-0000-000031010000}"/>
    <cellStyle name="Comma 2 4 2 2" xfId="183" xr:uid="{00000000-0005-0000-0000-000032010000}"/>
    <cellStyle name="Comma 2 4 2 2 2" xfId="867" xr:uid="{00000000-0005-0000-0000-000033010000}"/>
    <cellStyle name="Comma 2 4 2 3" xfId="184" xr:uid="{00000000-0005-0000-0000-000034010000}"/>
    <cellStyle name="Comma 2 4 2 3 2" xfId="866" xr:uid="{00000000-0005-0000-0000-000035010000}"/>
    <cellStyle name="Comma 2 4 2 4" xfId="865" xr:uid="{00000000-0005-0000-0000-000036010000}"/>
    <cellStyle name="Comma 2 4 2 5" xfId="693" xr:uid="{00000000-0005-0000-0000-000037010000}"/>
    <cellStyle name="Comma 2 4 3" xfId="185" xr:uid="{00000000-0005-0000-0000-000038010000}"/>
    <cellStyle name="Comma 2 4 4" xfId="864" xr:uid="{00000000-0005-0000-0000-000039010000}"/>
    <cellStyle name="Comma 2 5" xfId="186" xr:uid="{00000000-0005-0000-0000-00003A010000}"/>
    <cellStyle name="Comma 2 5 2" xfId="187" xr:uid="{00000000-0005-0000-0000-00003B010000}"/>
    <cellStyle name="Comma 2 5 2 2" xfId="863" xr:uid="{00000000-0005-0000-0000-00003C010000}"/>
    <cellStyle name="Comma 2 5 2 3" xfId="861" xr:uid="{00000000-0005-0000-0000-00003D010000}"/>
    <cellStyle name="Comma 2 5 3" xfId="188" xr:uid="{00000000-0005-0000-0000-00003E010000}"/>
    <cellStyle name="Comma 2 5 3 2" xfId="859" xr:uid="{00000000-0005-0000-0000-00003F010000}"/>
    <cellStyle name="Comma 2 5 4" xfId="189" xr:uid="{00000000-0005-0000-0000-000040010000}"/>
    <cellStyle name="Comma 2 5 4 2" xfId="858" xr:uid="{00000000-0005-0000-0000-000041010000}"/>
    <cellStyle name="Comma 2 5 5" xfId="190" xr:uid="{00000000-0005-0000-0000-000042010000}"/>
    <cellStyle name="Comma 2 5 6" xfId="857" xr:uid="{00000000-0005-0000-0000-000043010000}"/>
    <cellStyle name="Comma 2 5 6 2" xfId="856" xr:uid="{00000000-0005-0000-0000-000044010000}"/>
    <cellStyle name="Comma 2 6" xfId="191" xr:uid="{00000000-0005-0000-0000-000045010000}"/>
    <cellStyle name="Comma 2 6 2" xfId="192" xr:uid="{00000000-0005-0000-0000-000046010000}"/>
    <cellStyle name="Comma 2 6 2 2" xfId="627" xr:uid="{00000000-0005-0000-0000-000047010000}"/>
    <cellStyle name="Comma 2 6 2 2 2" xfId="687" xr:uid="{00000000-0005-0000-0000-000048010000}"/>
    <cellStyle name="Comma 2 6 2 2 2 2" xfId="1019" xr:uid="{00000000-0005-0000-0000-000049010000}"/>
    <cellStyle name="Comma 2 6 2 2 3" xfId="970" xr:uid="{00000000-0005-0000-0000-00004A010000}"/>
    <cellStyle name="Comma 2 6 3" xfId="193" xr:uid="{00000000-0005-0000-0000-00004B010000}"/>
    <cellStyle name="Comma 2 6 3 2" xfId="855" xr:uid="{00000000-0005-0000-0000-00004C010000}"/>
    <cellStyle name="Comma 2 6 4" xfId="194" xr:uid="{00000000-0005-0000-0000-00004D010000}"/>
    <cellStyle name="Comma 2 6 4 2" xfId="195" xr:uid="{00000000-0005-0000-0000-00004E010000}"/>
    <cellStyle name="Comma 2 6 4 2 2" xfId="852" xr:uid="{00000000-0005-0000-0000-00004F010000}"/>
    <cellStyle name="Comma 2 6 4 3" xfId="196" xr:uid="{00000000-0005-0000-0000-000050010000}"/>
    <cellStyle name="Comma 2 6 4 3 2" xfId="851" xr:uid="{00000000-0005-0000-0000-000051010000}"/>
    <cellStyle name="Comma 2 6 4 4" xfId="850" xr:uid="{00000000-0005-0000-0000-000052010000}"/>
    <cellStyle name="Comma 2 6 5" xfId="197" xr:uid="{00000000-0005-0000-0000-000053010000}"/>
    <cellStyle name="Comma 2 6 6" xfId="198" xr:uid="{00000000-0005-0000-0000-000054010000}"/>
    <cellStyle name="Comma 2 6 6 2" xfId="666" xr:uid="{00000000-0005-0000-0000-000055010000}"/>
    <cellStyle name="Comma 2 6 6 2 2" xfId="998" xr:uid="{00000000-0005-0000-0000-000056010000}"/>
    <cellStyle name="Comma 2 6 6 3" xfId="786" xr:uid="{00000000-0005-0000-0000-000057010000}"/>
    <cellStyle name="Comma 2 6 7" xfId="849" xr:uid="{00000000-0005-0000-0000-000058010000}"/>
    <cellStyle name="Comma 2 6 8" xfId="848" xr:uid="{00000000-0005-0000-0000-000059010000}"/>
    <cellStyle name="Comma 22" xfId="199" xr:uid="{00000000-0005-0000-0000-00005A010000}"/>
    <cellStyle name="Comma 22 2" xfId="626" xr:uid="{00000000-0005-0000-0000-00005B010000}"/>
    <cellStyle name="Comma 3" xfId="200" xr:uid="{00000000-0005-0000-0000-00005C010000}"/>
    <cellStyle name="Comma 3 2" xfId="201" xr:uid="{00000000-0005-0000-0000-00005D010000}"/>
    <cellStyle name="Comma 3 2 2" xfId="202" xr:uid="{00000000-0005-0000-0000-00005E010000}"/>
    <cellStyle name="Comma 3 2 2 2" xfId="203" xr:uid="{00000000-0005-0000-0000-00005F010000}"/>
    <cellStyle name="Comma 3 2 2 2 2" xfId="204" xr:uid="{00000000-0005-0000-0000-000060010000}"/>
    <cellStyle name="Comma 3 2 2 2 3" xfId="846" xr:uid="{00000000-0005-0000-0000-000061010000}"/>
    <cellStyle name="Comma 3 2 2 2 4" xfId="845" xr:uid="{00000000-0005-0000-0000-000062010000}"/>
    <cellStyle name="Comma 3 2 2 3" xfId="692" xr:uid="{00000000-0005-0000-0000-000063010000}"/>
    <cellStyle name="Comma 3 2 2 4" xfId="960" xr:uid="{00000000-0005-0000-0000-000064010000}"/>
    <cellStyle name="Comma 3 2 3" xfId="205" xr:uid="{00000000-0005-0000-0000-000065010000}"/>
    <cellStyle name="Comma 3 2 3 2" xfId="946" xr:uid="{00000000-0005-0000-0000-000066010000}"/>
    <cellStyle name="Comma 3 2 3 3" xfId="961" xr:uid="{00000000-0005-0000-0000-000067010000}"/>
    <cellStyle name="Comma 3 2 4" xfId="844" xr:uid="{00000000-0005-0000-0000-000068010000}"/>
    <cellStyle name="Comma 3 2 5" xfId="945" xr:uid="{00000000-0005-0000-0000-000069010000}"/>
    <cellStyle name="Comma 3 3" xfId="206" xr:uid="{00000000-0005-0000-0000-00006A010000}"/>
    <cellStyle name="Comma 3 3 2" xfId="625" xr:uid="{00000000-0005-0000-0000-00006B010000}"/>
    <cellStyle name="Comma 3 3 2 2" xfId="686" xr:uid="{00000000-0005-0000-0000-00006C010000}"/>
    <cellStyle name="Comma 3 3 2 2 2" xfId="1018" xr:uid="{00000000-0005-0000-0000-00006D010000}"/>
    <cellStyle name="Comma 3 3 2 3" xfId="969" xr:uid="{00000000-0005-0000-0000-00006E010000}"/>
    <cellStyle name="Comma 3 3 3" xfId="962" xr:uid="{00000000-0005-0000-0000-00006F010000}"/>
    <cellStyle name="Comma 3 4" xfId="843" xr:uid="{00000000-0005-0000-0000-000070010000}"/>
    <cellStyle name="Comma 4" xfId="207" xr:uid="{00000000-0005-0000-0000-000071010000}"/>
    <cellStyle name="Comma 4 2" xfId="208" xr:uid="{00000000-0005-0000-0000-000072010000}"/>
    <cellStyle name="Comma 4 2 2" xfId="209" xr:uid="{00000000-0005-0000-0000-000073010000}"/>
    <cellStyle name="Comma 4 2 3" xfId="210" xr:uid="{00000000-0005-0000-0000-000074010000}"/>
    <cellStyle name="Comma 4 2 3 2" xfId="842" xr:uid="{00000000-0005-0000-0000-000075010000}"/>
    <cellStyle name="Comma 4 3" xfId="211" xr:uid="{00000000-0005-0000-0000-000076010000}"/>
    <cellStyle name="Comma 4 3 2" xfId="212" xr:uid="{00000000-0005-0000-0000-000077010000}"/>
    <cellStyle name="Comma 4 3 3" xfId="213" xr:uid="{00000000-0005-0000-0000-000078010000}"/>
    <cellStyle name="Comma 4 3 3 2" xfId="841" xr:uid="{00000000-0005-0000-0000-000079010000}"/>
    <cellStyle name="Comma 4 4" xfId="214" xr:uid="{00000000-0005-0000-0000-00007A010000}"/>
    <cellStyle name="Comma 4 4 2" xfId="215" xr:uid="{00000000-0005-0000-0000-00007B010000}"/>
    <cellStyle name="Comma 4 4 2 2" xfId="623" xr:uid="{00000000-0005-0000-0000-00007C010000}"/>
    <cellStyle name="Comma 4 4 3" xfId="216" xr:uid="{00000000-0005-0000-0000-00007D010000}"/>
    <cellStyle name="Comma 4 4 3 2" xfId="622" xr:uid="{00000000-0005-0000-0000-00007E010000}"/>
    <cellStyle name="Comma 4 4 3 2 2" xfId="684" xr:uid="{00000000-0005-0000-0000-00007F010000}"/>
    <cellStyle name="Comma 4 4 3 2 2 2" xfId="1016" xr:uid="{00000000-0005-0000-0000-000080010000}"/>
    <cellStyle name="Comma 4 4 3 2 3" xfId="967" xr:uid="{00000000-0005-0000-0000-000081010000}"/>
    <cellStyle name="Comma 4 4 4" xfId="624" xr:uid="{00000000-0005-0000-0000-000082010000}"/>
    <cellStyle name="Comma 4 4 4 2" xfId="685" xr:uid="{00000000-0005-0000-0000-000083010000}"/>
    <cellStyle name="Comma 4 4 4 2 2" xfId="1017" xr:uid="{00000000-0005-0000-0000-000084010000}"/>
    <cellStyle name="Comma 4 4 4 3" xfId="968" xr:uid="{00000000-0005-0000-0000-000085010000}"/>
    <cellStyle name="Comma 4 4 5" xfId="1023" xr:uid="{00000000-0005-0000-0000-000086010000}"/>
    <cellStyle name="Comma 4 4 6" xfId="840" xr:uid="{00000000-0005-0000-0000-000087010000}"/>
    <cellStyle name="Comma 4 5" xfId="217" xr:uid="{00000000-0005-0000-0000-000088010000}"/>
    <cellStyle name="Comma 4 5 2" xfId="218" xr:uid="{00000000-0005-0000-0000-000089010000}"/>
    <cellStyle name="Comma 4 5 2 2" xfId="839" xr:uid="{00000000-0005-0000-0000-00008A010000}"/>
    <cellStyle name="Comma 4 5 3" xfId="219" xr:uid="{00000000-0005-0000-0000-00008B010000}"/>
    <cellStyle name="Comma 4 6" xfId="220" xr:uid="{00000000-0005-0000-0000-00008C010000}"/>
    <cellStyle name="Comma 4 7" xfId="221" xr:uid="{00000000-0005-0000-0000-00008D010000}"/>
    <cellStyle name="Comma 4 7 2" xfId="667" xr:uid="{00000000-0005-0000-0000-00008E010000}"/>
    <cellStyle name="Comma 4 7 2 2" xfId="999" xr:uid="{00000000-0005-0000-0000-00008F010000}"/>
    <cellStyle name="Comma 4 7 3" xfId="795" xr:uid="{00000000-0005-0000-0000-000090010000}"/>
    <cellStyle name="Comma 4 8" xfId="838" xr:uid="{00000000-0005-0000-0000-000091010000}"/>
    <cellStyle name="Comma 4 9" xfId="837" xr:uid="{00000000-0005-0000-0000-000092010000}"/>
    <cellStyle name="Comma 5" xfId="222" xr:uid="{00000000-0005-0000-0000-000093010000}"/>
    <cellStyle name="Comma 5 2" xfId="223" xr:uid="{00000000-0005-0000-0000-000094010000}"/>
    <cellStyle name="Comma 5 2 2" xfId="224" xr:uid="{00000000-0005-0000-0000-000095010000}"/>
    <cellStyle name="Comma 5 2 2 2" xfId="836" xr:uid="{00000000-0005-0000-0000-000096010000}"/>
    <cellStyle name="Comma 5 2 2 3" xfId="1045" xr:uid="{00000000-0005-0000-0000-000097010000}"/>
    <cellStyle name="Comma 5 2 3" xfId="225" xr:uid="{00000000-0005-0000-0000-000098010000}"/>
    <cellStyle name="Comma 5 2 3 2" xfId="226" xr:uid="{00000000-0005-0000-0000-000099010000}"/>
    <cellStyle name="Comma 5 2 3 2 2" xfId="835" xr:uid="{00000000-0005-0000-0000-00009A010000}"/>
    <cellStyle name="Comma 5 2 3 3" xfId="227" xr:uid="{00000000-0005-0000-0000-00009B010000}"/>
    <cellStyle name="Comma 5 2 3 3 2" xfId="228" xr:uid="{00000000-0005-0000-0000-00009C010000}"/>
    <cellStyle name="Comma 5 2 3 3 2 2" xfId="834" xr:uid="{00000000-0005-0000-0000-00009D010000}"/>
    <cellStyle name="Comma 5 2 3 3 3" xfId="931" xr:uid="{00000000-0005-0000-0000-00009E010000}"/>
    <cellStyle name="Comma 5 2 3 4" xfId="229" xr:uid="{00000000-0005-0000-0000-00009F010000}"/>
    <cellStyle name="Comma 5 2 3 4 2" xfId="833" xr:uid="{00000000-0005-0000-0000-0000A0010000}"/>
    <cellStyle name="Comma 5 2 3 5" xfId="230" xr:uid="{00000000-0005-0000-0000-0000A1010000}"/>
    <cellStyle name="Comma 5 2 3 6" xfId="832" xr:uid="{00000000-0005-0000-0000-0000A2010000}"/>
    <cellStyle name="Comma 5 2 4" xfId="231" xr:uid="{00000000-0005-0000-0000-0000A3010000}"/>
    <cellStyle name="Comma 5 2 4 2" xfId="232" xr:uid="{00000000-0005-0000-0000-0000A4010000}"/>
    <cellStyle name="Comma 5 2 4 2 2" xfId="621" xr:uid="{00000000-0005-0000-0000-0000A5010000}"/>
    <cellStyle name="Comma 5 2 4 3" xfId="233" xr:uid="{00000000-0005-0000-0000-0000A6010000}"/>
    <cellStyle name="Comma 5 2 4 3 2" xfId="831" xr:uid="{00000000-0005-0000-0000-0000A7010000}"/>
    <cellStyle name="Comma 5 2 4 4" xfId="234" xr:uid="{00000000-0005-0000-0000-0000A8010000}"/>
    <cellStyle name="Comma 5 2 4 4 2" xfId="620" xr:uid="{00000000-0005-0000-0000-0000A9010000}"/>
    <cellStyle name="Comma 5 2 5" xfId="830" xr:uid="{00000000-0005-0000-0000-0000AA010000}"/>
    <cellStyle name="Comma 5 3" xfId="235" xr:uid="{00000000-0005-0000-0000-0000AB010000}"/>
    <cellStyle name="Comma 5 3 2" xfId="236" xr:uid="{00000000-0005-0000-0000-0000AC010000}"/>
    <cellStyle name="Comma 5 3 2 2" xfId="237" xr:uid="{00000000-0005-0000-0000-0000AD010000}"/>
    <cellStyle name="Comma 5 3 2 2 2" xfId="619" xr:uid="{00000000-0005-0000-0000-0000AE010000}"/>
    <cellStyle name="Comma 5 3 2 3" xfId="238" xr:uid="{00000000-0005-0000-0000-0000AF010000}"/>
    <cellStyle name="Comma 5 3 2 4" xfId="1046" xr:uid="{00000000-0005-0000-0000-0000B0010000}"/>
    <cellStyle name="Comma 5 3 2 4 2" xfId="829" xr:uid="{00000000-0005-0000-0000-0000B1010000}"/>
    <cellStyle name="Comma 5 3 2 5" xfId="828" xr:uid="{00000000-0005-0000-0000-0000B2010000}"/>
    <cellStyle name="Comma 5 4" xfId="239" xr:uid="{00000000-0005-0000-0000-0000B3010000}"/>
    <cellStyle name="Comma 5 4 2" xfId="240" xr:uid="{00000000-0005-0000-0000-0000B4010000}"/>
    <cellStyle name="Comma 5 4 2 2" xfId="618" xr:uid="{00000000-0005-0000-0000-0000B5010000}"/>
    <cellStyle name="Comma 5 4 2 2 2" xfId="683" xr:uid="{00000000-0005-0000-0000-0000B6010000}"/>
    <cellStyle name="Comma 5 4 2 2 2 2" xfId="1015" xr:uid="{00000000-0005-0000-0000-0000B7010000}"/>
    <cellStyle name="Comma 5 4 2 2 3" xfId="964" xr:uid="{00000000-0005-0000-0000-0000B8010000}"/>
    <cellStyle name="Comma 5 4 3" xfId="241" xr:uid="{00000000-0005-0000-0000-0000B9010000}"/>
    <cellStyle name="Comma 5 4 4" xfId="242" xr:uid="{00000000-0005-0000-0000-0000BA010000}"/>
    <cellStyle name="Comma 5 4 4 2" xfId="617" xr:uid="{00000000-0005-0000-0000-0000BB010000}"/>
    <cellStyle name="Comma 5 4 4 2 2" xfId="682" xr:uid="{00000000-0005-0000-0000-0000BC010000}"/>
    <cellStyle name="Comma 5 4 4 2 2 2" xfId="1014" xr:uid="{00000000-0005-0000-0000-0000BD010000}"/>
    <cellStyle name="Comma 5 4 4 2 3" xfId="963" xr:uid="{00000000-0005-0000-0000-0000BE010000}"/>
    <cellStyle name="Comma 5 4 5" xfId="243" xr:uid="{00000000-0005-0000-0000-0000BF010000}"/>
    <cellStyle name="Comma 5 4 6" xfId="827" xr:uid="{00000000-0005-0000-0000-0000C0010000}"/>
    <cellStyle name="Comma 5 4 6 2" xfId="826" xr:uid="{00000000-0005-0000-0000-0000C1010000}"/>
    <cellStyle name="Comma 5 5" xfId="244" xr:uid="{00000000-0005-0000-0000-0000C2010000}"/>
    <cellStyle name="Comma 5 5 2" xfId="825" xr:uid="{00000000-0005-0000-0000-0000C3010000}"/>
    <cellStyle name="Comma 5 6" xfId="824" xr:uid="{00000000-0005-0000-0000-0000C4010000}"/>
    <cellStyle name="Comma 6" xfId="245" xr:uid="{00000000-0005-0000-0000-0000C5010000}"/>
    <cellStyle name="Comma 6 2" xfId="246" xr:uid="{00000000-0005-0000-0000-0000C6010000}"/>
    <cellStyle name="Comma 6 2 2" xfId="247" xr:uid="{00000000-0005-0000-0000-0000C7010000}"/>
    <cellStyle name="Comma 6 2 3" xfId="248" xr:uid="{00000000-0005-0000-0000-0000C8010000}"/>
    <cellStyle name="Comma 6 2 3 2" xfId="823" xr:uid="{00000000-0005-0000-0000-0000C9010000}"/>
    <cellStyle name="Comma 6 3" xfId="822" xr:uid="{00000000-0005-0000-0000-0000CA010000}"/>
    <cellStyle name="Comma 6 4" xfId="821" xr:uid="{00000000-0005-0000-0000-0000CB010000}"/>
    <cellStyle name="Comma 7" xfId="249" xr:uid="{00000000-0005-0000-0000-0000CC010000}"/>
    <cellStyle name="Comma 7 2" xfId="250" xr:uid="{00000000-0005-0000-0000-0000CD010000}"/>
    <cellStyle name="Comma 7 3" xfId="251" xr:uid="{00000000-0005-0000-0000-0000CE010000}"/>
    <cellStyle name="Comma 7 3 2" xfId="252" xr:uid="{00000000-0005-0000-0000-0000CF010000}"/>
    <cellStyle name="Comma 7 3 3" xfId="253" xr:uid="{00000000-0005-0000-0000-0000D0010000}"/>
    <cellStyle name="Comma 7 3 3 2" xfId="668" xr:uid="{00000000-0005-0000-0000-0000D1010000}"/>
    <cellStyle name="Comma 7 3 3 2 2" xfId="1000" xr:uid="{00000000-0005-0000-0000-0000D2010000}"/>
    <cellStyle name="Comma 7 3 3 3" xfId="816" xr:uid="{00000000-0005-0000-0000-0000D3010000}"/>
    <cellStyle name="Comma 7 3 4" xfId="820" xr:uid="{00000000-0005-0000-0000-0000D4010000}"/>
    <cellStyle name="Comma 7 3 5" xfId="819" xr:uid="{00000000-0005-0000-0000-0000D5010000}"/>
    <cellStyle name="Comma 7 4" xfId="254" xr:uid="{00000000-0005-0000-0000-0000D6010000}"/>
    <cellStyle name="Comma 7 5" xfId="818" xr:uid="{00000000-0005-0000-0000-0000D7010000}"/>
    <cellStyle name="Comma 7 5 2" xfId="817" xr:uid="{00000000-0005-0000-0000-0000D8010000}"/>
    <cellStyle name="Comma 8" xfId="255" xr:uid="{00000000-0005-0000-0000-0000D9010000}"/>
    <cellStyle name="Comma 8 2" xfId="256" xr:uid="{00000000-0005-0000-0000-0000DA010000}"/>
    <cellStyle name="Comma 8 2 2" xfId="615" xr:uid="{00000000-0005-0000-0000-0000DB010000}"/>
    <cellStyle name="Comma 8 3" xfId="257" xr:uid="{00000000-0005-0000-0000-0000DC010000}"/>
    <cellStyle name="Comma 8 4" xfId="616" xr:uid="{00000000-0005-0000-0000-0000DD010000}"/>
    <cellStyle name="Comma 9" xfId="258" xr:uid="{00000000-0005-0000-0000-0000DE010000}"/>
    <cellStyle name="Comma 9 2" xfId="259" xr:uid="{00000000-0005-0000-0000-0000DF010000}"/>
    <cellStyle name="Currency 2" xfId="260" xr:uid="{00000000-0005-0000-0000-0000E0010000}"/>
    <cellStyle name="Currency 2 2" xfId="261" xr:uid="{00000000-0005-0000-0000-0000E1010000}"/>
    <cellStyle name="Currency 2 2 2" xfId="262" xr:uid="{00000000-0005-0000-0000-0000E2010000}"/>
    <cellStyle name="Currency 2 2 2 2" xfId="815" xr:uid="{00000000-0005-0000-0000-0000E3010000}"/>
    <cellStyle name="Currency 2 2 2 3" xfId="814" xr:uid="{00000000-0005-0000-0000-0000E4010000}"/>
    <cellStyle name="Currency 2 2 3" xfId="263" xr:uid="{00000000-0005-0000-0000-0000E5010000}"/>
    <cellStyle name="Currency 2 2 3 2" xfId="813" xr:uid="{00000000-0005-0000-0000-0000E6010000}"/>
    <cellStyle name="Currency 2 2 3 3" xfId="812" xr:uid="{00000000-0005-0000-0000-0000E7010000}"/>
    <cellStyle name="Currency 2 2 4" xfId="811" xr:uid="{00000000-0005-0000-0000-0000E8010000}"/>
    <cellStyle name="Currency 2 2 5" xfId="810" xr:uid="{00000000-0005-0000-0000-0000E9010000}"/>
    <cellStyle name="Currency 2 3" xfId="264" xr:uid="{00000000-0005-0000-0000-0000EA010000}"/>
    <cellStyle name="Currency 2 3 2" xfId="265" xr:uid="{00000000-0005-0000-0000-0000EB010000}"/>
    <cellStyle name="Currency 2 3 2 2" xfId="809" xr:uid="{00000000-0005-0000-0000-0000EC010000}"/>
    <cellStyle name="Currency 2 3 2 3" xfId="808" xr:uid="{00000000-0005-0000-0000-0000ED010000}"/>
    <cellStyle name="Currency 2 3 3" xfId="266" xr:uid="{00000000-0005-0000-0000-0000EE010000}"/>
    <cellStyle name="Currency 2 3 3 2" xfId="807" xr:uid="{00000000-0005-0000-0000-0000EF010000}"/>
    <cellStyle name="Currency 2 3 3 3" xfId="1041" xr:uid="{00000000-0005-0000-0000-0000F0010000}"/>
    <cellStyle name="Currency 2 3 4" xfId="806" xr:uid="{00000000-0005-0000-0000-0000F1010000}"/>
    <cellStyle name="Currency 2 3 5" xfId="932" xr:uid="{00000000-0005-0000-0000-0000F2010000}"/>
    <cellStyle name="Currency 2 4" xfId="267" xr:uid="{00000000-0005-0000-0000-0000F3010000}"/>
    <cellStyle name="Currency 2 4 2" xfId="965" xr:uid="{00000000-0005-0000-0000-0000F4010000}"/>
    <cellStyle name="Currency 2 5" xfId="805" xr:uid="{00000000-0005-0000-0000-0000F5010000}"/>
    <cellStyle name="Currency 2 6" xfId="944" xr:uid="{00000000-0005-0000-0000-0000F6010000}"/>
    <cellStyle name="Currency 2 7" xfId="804" xr:uid="{00000000-0005-0000-0000-0000F7010000}"/>
    <cellStyle name="Currency 3" xfId="268" xr:uid="{00000000-0005-0000-0000-0000F8010000}"/>
    <cellStyle name="Currency 3 2" xfId="269" xr:uid="{00000000-0005-0000-0000-0000F9010000}"/>
    <cellStyle name="Currency 3 2 2" xfId="270" xr:uid="{00000000-0005-0000-0000-0000FA010000}"/>
    <cellStyle name="Currency 3 2 2 2" xfId="803" xr:uid="{00000000-0005-0000-0000-0000FB010000}"/>
    <cellStyle name="Currency 3 2 2 3" xfId="966" xr:uid="{00000000-0005-0000-0000-0000FC010000}"/>
    <cellStyle name="Currency 3 2 3" xfId="271" xr:uid="{00000000-0005-0000-0000-0000FD010000}"/>
    <cellStyle name="Currency 3 2 3 2" xfId="802" xr:uid="{00000000-0005-0000-0000-0000FE010000}"/>
    <cellStyle name="Currency 3 2 3 3" xfId="801" xr:uid="{00000000-0005-0000-0000-0000FF010000}"/>
    <cellStyle name="Currency 3 2 4" xfId="800" xr:uid="{00000000-0005-0000-0000-000000020000}"/>
    <cellStyle name="Currency 3 2 5" xfId="799" xr:uid="{00000000-0005-0000-0000-000001020000}"/>
    <cellStyle name="Currency 3 3" xfId="272" xr:uid="{00000000-0005-0000-0000-000002020000}"/>
    <cellStyle name="Currency 3 3 2" xfId="933" xr:uid="{00000000-0005-0000-0000-000003020000}"/>
    <cellStyle name="Currency 3 3 3" xfId="798" xr:uid="{00000000-0005-0000-0000-000004020000}"/>
    <cellStyle name="Currency 3 4" xfId="797" xr:uid="{00000000-0005-0000-0000-000005020000}"/>
    <cellStyle name="Currency 4" xfId="949" xr:uid="{00000000-0005-0000-0000-000006020000}"/>
    <cellStyle name="Currency 5" xfId="934" xr:uid="{00000000-0005-0000-0000-000007020000}"/>
    <cellStyle name="Currency 6" xfId="273" xr:uid="{00000000-0005-0000-0000-000008020000}"/>
    <cellStyle name="Currency 6 2" xfId="796" xr:uid="{00000000-0005-0000-0000-000009020000}"/>
    <cellStyle name="Explanatory Text 2" xfId="274" xr:uid="{00000000-0005-0000-0000-00000A020000}"/>
    <cellStyle name="Explanatory Text 2 2" xfId="275" xr:uid="{00000000-0005-0000-0000-00000B020000}"/>
    <cellStyle name="Explanatory Text 2 3" xfId="276" xr:uid="{00000000-0005-0000-0000-00000C020000}"/>
    <cellStyle name="Explanatory Text 3" xfId="277" xr:uid="{00000000-0005-0000-0000-00000D020000}"/>
    <cellStyle name="Explanatory Text 4" xfId="278" xr:uid="{00000000-0005-0000-0000-00000E020000}"/>
    <cellStyle name="Good 2" xfId="279" xr:uid="{00000000-0005-0000-0000-00000F020000}"/>
    <cellStyle name="Good 2 2" xfId="280" xr:uid="{00000000-0005-0000-0000-000010020000}"/>
    <cellStyle name="Good 2 3" xfId="281" xr:uid="{00000000-0005-0000-0000-000011020000}"/>
    <cellStyle name="Good 2 4" xfId="935" xr:uid="{00000000-0005-0000-0000-000012020000}"/>
    <cellStyle name="Good 2 5" xfId="794" xr:uid="{00000000-0005-0000-0000-000013020000}"/>
    <cellStyle name="Good 2 6" xfId="1048" xr:uid="{00000000-0005-0000-0000-000014020000}"/>
    <cellStyle name="Good 3" xfId="282" xr:uid="{00000000-0005-0000-0000-000015020000}"/>
    <cellStyle name="Good 4" xfId="283" xr:uid="{00000000-0005-0000-0000-000016020000}"/>
    <cellStyle name="Heading 1 2" xfId="284" xr:uid="{00000000-0005-0000-0000-000017020000}"/>
    <cellStyle name="Heading 1 2 2" xfId="285" xr:uid="{00000000-0005-0000-0000-000018020000}"/>
    <cellStyle name="Heading 1 2 3" xfId="286" xr:uid="{00000000-0005-0000-0000-000019020000}"/>
    <cellStyle name="Heading 1 2 4" xfId="793" xr:uid="{00000000-0005-0000-0000-00001A020000}"/>
    <cellStyle name="Heading 1 2 5" xfId="792" xr:uid="{00000000-0005-0000-0000-00001B020000}"/>
    <cellStyle name="Heading 1 2 6" xfId="1047" xr:uid="{00000000-0005-0000-0000-00001C020000}"/>
    <cellStyle name="Heading 1 3" xfId="287" xr:uid="{00000000-0005-0000-0000-00001D020000}"/>
    <cellStyle name="Heading 1 4" xfId="288" xr:uid="{00000000-0005-0000-0000-00001E020000}"/>
    <cellStyle name="Heading 2 2" xfId="289" xr:uid="{00000000-0005-0000-0000-00001F020000}"/>
    <cellStyle name="Heading 2 2 2" xfId="290" xr:uid="{00000000-0005-0000-0000-000020020000}"/>
    <cellStyle name="Heading 2 2 3" xfId="291" xr:uid="{00000000-0005-0000-0000-000021020000}"/>
    <cellStyle name="Heading 2 2 4" xfId="791" xr:uid="{00000000-0005-0000-0000-000022020000}"/>
    <cellStyle name="Heading 2 2 5" xfId="790" xr:uid="{00000000-0005-0000-0000-000023020000}"/>
    <cellStyle name="Heading 2 2 6" xfId="1036" xr:uid="{00000000-0005-0000-0000-000024020000}"/>
    <cellStyle name="Heading 2 3" xfId="292" xr:uid="{00000000-0005-0000-0000-000025020000}"/>
    <cellStyle name="Heading 2 4" xfId="293" xr:uid="{00000000-0005-0000-0000-000026020000}"/>
    <cellStyle name="Heading 3 2" xfId="294" xr:uid="{00000000-0005-0000-0000-000027020000}"/>
    <cellStyle name="Heading 3 2 2" xfId="295" xr:uid="{00000000-0005-0000-0000-000028020000}"/>
    <cellStyle name="Heading 3 2 3" xfId="296" xr:uid="{00000000-0005-0000-0000-000029020000}"/>
    <cellStyle name="Heading 3 2 4" xfId="789" xr:uid="{00000000-0005-0000-0000-00002A020000}"/>
    <cellStyle name="Heading 3 2 5" xfId="788" xr:uid="{00000000-0005-0000-0000-00002B020000}"/>
    <cellStyle name="Heading 3 2 6" xfId="787" xr:uid="{00000000-0005-0000-0000-00002C020000}"/>
    <cellStyle name="Heading 3 3" xfId="297" xr:uid="{00000000-0005-0000-0000-00002D020000}"/>
    <cellStyle name="Heading 3 4" xfId="298" xr:uid="{00000000-0005-0000-0000-00002E020000}"/>
    <cellStyle name="Heading 4 2" xfId="299" xr:uid="{00000000-0005-0000-0000-00002F020000}"/>
    <cellStyle name="Heading 4 2 2" xfId="300" xr:uid="{00000000-0005-0000-0000-000030020000}"/>
    <cellStyle name="Heading 4 2 3" xfId="301" xr:uid="{00000000-0005-0000-0000-000031020000}"/>
    <cellStyle name="Heading 4 2 4" xfId="785" xr:uid="{00000000-0005-0000-0000-000032020000}"/>
    <cellStyle name="Heading 4 2 5" xfId="1056" xr:uid="{00000000-0005-0000-0000-000033020000}"/>
    <cellStyle name="Heading 4 2 6" xfId="1040" xr:uid="{00000000-0005-0000-0000-000034020000}"/>
    <cellStyle name="Heading 4 3" xfId="302" xr:uid="{00000000-0005-0000-0000-000035020000}"/>
    <cellStyle name="Heading 4 4" xfId="303" xr:uid="{00000000-0005-0000-0000-000036020000}"/>
    <cellStyle name="Hyperlink" xfId="2" builtinId="8"/>
    <cellStyle name="Hyperlink 2" xfId="15" xr:uid="{00000000-0005-0000-0000-000038020000}"/>
    <cellStyle name="Input 2" xfId="304" xr:uid="{00000000-0005-0000-0000-000039020000}"/>
    <cellStyle name="Input 2 2" xfId="305" xr:uid="{00000000-0005-0000-0000-00003A020000}"/>
    <cellStyle name="Input 2 3" xfId="306" xr:uid="{00000000-0005-0000-0000-00003B020000}"/>
    <cellStyle name="Input 2 4" xfId="953" xr:uid="{00000000-0005-0000-0000-00003C020000}"/>
    <cellStyle name="Input 2 5" xfId="784" xr:uid="{00000000-0005-0000-0000-00003D020000}"/>
    <cellStyle name="Input 2 6" xfId="1055" xr:uid="{00000000-0005-0000-0000-00003E020000}"/>
    <cellStyle name="Input 3" xfId="307" xr:uid="{00000000-0005-0000-0000-00003F020000}"/>
    <cellStyle name="Input 4" xfId="308" xr:uid="{00000000-0005-0000-0000-000040020000}"/>
    <cellStyle name="Linked Cell 2" xfId="309" xr:uid="{00000000-0005-0000-0000-000041020000}"/>
    <cellStyle name="Linked Cell 2 2" xfId="310" xr:uid="{00000000-0005-0000-0000-000042020000}"/>
    <cellStyle name="Linked Cell 2 3" xfId="311" xr:uid="{00000000-0005-0000-0000-000043020000}"/>
    <cellStyle name="Linked Cell 2 4" xfId="783" xr:uid="{00000000-0005-0000-0000-000044020000}"/>
    <cellStyle name="Linked Cell 2 5" xfId="782" xr:uid="{00000000-0005-0000-0000-000045020000}"/>
    <cellStyle name="Linked Cell 2 6" xfId="1049" xr:uid="{00000000-0005-0000-0000-000046020000}"/>
    <cellStyle name="Linked Cell 3" xfId="312" xr:uid="{00000000-0005-0000-0000-000047020000}"/>
    <cellStyle name="Linked Cell 4" xfId="313" xr:uid="{00000000-0005-0000-0000-000048020000}"/>
    <cellStyle name="Neutral 2" xfId="314" xr:uid="{00000000-0005-0000-0000-000049020000}"/>
    <cellStyle name="Neutral 2 2" xfId="315" xr:uid="{00000000-0005-0000-0000-00004A020000}"/>
    <cellStyle name="Neutral 2 2 2" xfId="614" xr:uid="{00000000-0005-0000-0000-00004B020000}"/>
    <cellStyle name="Neutral 2 3" xfId="316" xr:uid="{00000000-0005-0000-0000-00004C020000}"/>
    <cellStyle name="Neutral 2 3 2" xfId="613" xr:uid="{00000000-0005-0000-0000-00004D020000}"/>
    <cellStyle name="Neutral 2 4" xfId="317" xr:uid="{00000000-0005-0000-0000-00004E020000}"/>
    <cellStyle name="Neutral 2 5" xfId="1035" xr:uid="{00000000-0005-0000-0000-00004F020000}"/>
    <cellStyle name="Neutral 2 6" xfId="781" xr:uid="{00000000-0005-0000-0000-000050020000}"/>
    <cellStyle name="Neutral 3" xfId="318" xr:uid="{00000000-0005-0000-0000-000051020000}"/>
    <cellStyle name="Neutral 3 2" xfId="612" xr:uid="{00000000-0005-0000-0000-000052020000}"/>
    <cellStyle name="Neutral 4" xfId="319" xr:uid="{00000000-0005-0000-0000-000053020000}"/>
    <cellStyle name="Neutral 4 2" xfId="611" xr:uid="{00000000-0005-0000-0000-000054020000}"/>
    <cellStyle name="Normal" xfId="0" builtinId="0"/>
    <cellStyle name="Normal 10" xfId="320" xr:uid="{00000000-0005-0000-0000-000056020000}"/>
    <cellStyle name="Normal 10 2" xfId="321" xr:uid="{00000000-0005-0000-0000-000057020000}"/>
    <cellStyle name="Normal 10 2 2" xfId="322" xr:uid="{00000000-0005-0000-0000-000058020000}"/>
    <cellStyle name="Normal 10 2 3" xfId="323" xr:uid="{00000000-0005-0000-0000-000059020000}"/>
    <cellStyle name="Normal 10 2 3 2" xfId="780" xr:uid="{00000000-0005-0000-0000-00005A020000}"/>
    <cellStyle name="Normal 10 3" xfId="324" xr:uid="{00000000-0005-0000-0000-00005B020000}"/>
    <cellStyle name="Normal 10 3 2" xfId="325" xr:uid="{00000000-0005-0000-0000-00005C020000}"/>
    <cellStyle name="Normal 10 3 3" xfId="669" xr:uid="{00000000-0005-0000-0000-00005D020000}"/>
    <cellStyle name="Normal 10 3 3 2" xfId="1001" xr:uid="{00000000-0005-0000-0000-00005E020000}"/>
    <cellStyle name="Normal 10 3 4" xfId="847" xr:uid="{00000000-0005-0000-0000-00005F020000}"/>
    <cellStyle name="Normal 10 4" xfId="326" xr:uid="{00000000-0005-0000-0000-000060020000}"/>
    <cellStyle name="Normal 10 5" xfId="779" xr:uid="{00000000-0005-0000-0000-000061020000}"/>
    <cellStyle name="Normal 10 5 2" xfId="778" xr:uid="{00000000-0005-0000-0000-000062020000}"/>
    <cellStyle name="Normal 11" xfId="327" xr:uid="{00000000-0005-0000-0000-000063020000}"/>
    <cellStyle name="Normal 11 2" xfId="328" xr:uid="{00000000-0005-0000-0000-000064020000}"/>
    <cellStyle name="Normal 11 2 2" xfId="329" xr:uid="{00000000-0005-0000-0000-000065020000}"/>
    <cellStyle name="Normal 11 2 2 2" xfId="330" xr:uid="{00000000-0005-0000-0000-000066020000}"/>
    <cellStyle name="Normal 11 2 2 2 2" xfId="777" xr:uid="{00000000-0005-0000-0000-000067020000}"/>
    <cellStyle name="Normal 11 2 2 3" xfId="776" xr:uid="{00000000-0005-0000-0000-000068020000}"/>
    <cellStyle name="Normal 11 2 3" xfId="331" xr:uid="{00000000-0005-0000-0000-000069020000}"/>
    <cellStyle name="Normal 11 2 3 2" xfId="332" xr:uid="{00000000-0005-0000-0000-00006A020000}"/>
    <cellStyle name="Normal 11 2 3 2 2" xfId="705" xr:uid="{00000000-0005-0000-0000-00006B020000}"/>
    <cellStyle name="Normal 11 2 3 3" xfId="333" xr:uid="{00000000-0005-0000-0000-00006C020000}"/>
    <cellStyle name="Normal 11 2 3 3 2" xfId="775" xr:uid="{00000000-0005-0000-0000-00006D020000}"/>
    <cellStyle name="Normal 11 2 3 4" xfId="774" xr:uid="{00000000-0005-0000-0000-00006E020000}"/>
    <cellStyle name="Normal 11 2 4" xfId="334" xr:uid="{00000000-0005-0000-0000-00006F020000}"/>
    <cellStyle name="Normal 11 2 4 2" xfId="971" xr:uid="{00000000-0005-0000-0000-000070020000}"/>
    <cellStyle name="Normal 11 2 5" xfId="335" xr:uid="{00000000-0005-0000-0000-000071020000}"/>
    <cellStyle name="Normal 11 2 5 2" xfId="972" xr:uid="{00000000-0005-0000-0000-000072020000}"/>
    <cellStyle name="Normal 11 2 6" xfId="336" xr:uid="{00000000-0005-0000-0000-000073020000}"/>
    <cellStyle name="Normal 11 2 7" xfId="773" xr:uid="{00000000-0005-0000-0000-000074020000}"/>
    <cellStyle name="Normal 11 2 7 2" xfId="973" xr:uid="{00000000-0005-0000-0000-000075020000}"/>
    <cellStyle name="Normal 11 3" xfId="695" xr:uid="{00000000-0005-0000-0000-000076020000}"/>
    <cellStyle name="Normal 11 4" xfId="772" xr:uid="{00000000-0005-0000-0000-000077020000}"/>
    <cellStyle name="Normal 12" xfId="337" xr:uid="{00000000-0005-0000-0000-000078020000}"/>
    <cellStyle name="Normal 12 2" xfId="338" xr:uid="{00000000-0005-0000-0000-000079020000}"/>
    <cellStyle name="Normal 12 2 2" xfId="339" xr:uid="{00000000-0005-0000-0000-00007A020000}"/>
    <cellStyle name="Normal 12 2 2 2" xfId="671" xr:uid="{00000000-0005-0000-0000-00007B020000}"/>
    <cellStyle name="Normal 12 2 2 2 2" xfId="1003" xr:uid="{00000000-0005-0000-0000-00007C020000}"/>
    <cellStyle name="Normal 12 2 2 3" xfId="854" xr:uid="{00000000-0005-0000-0000-00007D020000}"/>
    <cellStyle name="Normal 12 2 3" xfId="340" xr:uid="{00000000-0005-0000-0000-00007E020000}"/>
    <cellStyle name="Normal 12 2 4" xfId="670" xr:uid="{00000000-0005-0000-0000-00007F020000}"/>
    <cellStyle name="Normal 12 2 4 2" xfId="1002" xr:uid="{00000000-0005-0000-0000-000080020000}"/>
    <cellStyle name="Normal 12 2 5" xfId="853" xr:uid="{00000000-0005-0000-0000-000081020000}"/>
    <cellStyle name="Normal 12 3" xfId="341" xr:uid="{00000000-0005-0000-0000-000082020000}"/>
    <cellStyle name="Normal 12 3 2" xfId="696" xr:uid="{00000000-0005-0000-0000-000083020000}"/>
    <cellStyle name="Normal 12 4" xfId="771" xr:uid="{00000000-0005-0000-0000-000084020000}"/>
    <cellStyle name="Normal 13" xfId="342" xr:uid="{00000000-0005-0000-0000-000085020000}"/>
    <cellStyle name="Normal 13 2" xfId="343" xr:uid="{00000000-0005-0000-0000-000086020000}"/>
    <cellStyle name="Normal 13 2 2" xfId="770" xr:uid="{00000000-0005-0000-0000-000087020000}"/>
    <cellStyle name="Normal 13 3" xfId="344" xr:uid="{00000000-0005-0000-0000-000088020000}"/>
    <cellStyle name="Normal 13 4" xfId="769" xr:uid="{00000000-0005-0000-0000-000089020000}"/>
    <cellStyle name="Normal 14" xfId="345" xr:uid="{00000000-0005-0000-0000-00008A020000}"/>
    <cellStyle name="Normal 14 2" xfId="346" xr:uid="{00000000-0005-0000-0000-00008B020000}"/>
    <cellStyle name="Normal 14 2 2" xfId="768" xr:uid="{00000000-0005-0000-0000-00008C020000}"/>
    <cellStyle name="Normal 14 2 3" xfId="767" xr:uid="{00000000-0005-0000-0000-00008D020000}"/>
    <cellStyle name="Normal 14 3" xfId="347" xr:uid="{00000000-0005-0000-0000-00008E020000}"/>
    <cellStyle name="Normal 14 3 2" xfId="766" xr:uid="{00000000-0005-0000-0000-00008F020000}"/>
    <cellStyle name="Normal 14 4" xfId="765" xr:uid="{00000000-0005-0000-0000-000090020000}"/>
    <cellStyle name="Normal 15" xfId="348" xr:uid="{00000000-0005-0000-0000-000091020000}"/>
    <cellStyle name="Normal 15 2" xfId="349" xr:uid="{00000000-0005-0000-0000-000092020000}"/>
    <cellStyle name="Normal 15 2 2" xfId="764" xr:uid="{00000000-0005-0000-0000-000093020000}"/>
    <cellStyle name="Normal 15 3" xfId="763" xr:uid="{00000000-0005-0000-0000-000094020000}"/>
    <cellStyle name="Normal 16" xfId="350" xr:uid="{00000000-0005-0000-0000-000095020000}"/>
    <cellStyle name="Normal 16 2" xfId="351" xr:uid="{00000000-0005-0000-0000-000096020000}"/>
    <cellStyle name="Normal 16 2 2" xfId="672" xr:uid="{00000000-0005-0000-0000-000097020000}"/>
    <cellStyle name="Normal 16 2 2 2" xfId="1004" xr:uid="{00000000-0005-0000-0000-000098020000}"/>
    <cellStyle name="Normal 16 2 3" xfId="860" xr:uid="{00000000-0005-0000-0000-000099020000}"/>
    <cellStyle name="Normal 16 2 3 2" xfId="762" xr:uid="{00000000-0005-0000-0000-00009A020000}"/>
    <cellStyle name="Normal 16 3" xfId="352" xr:uid="{00000000-0005-0000-0000-00009B020000}"/>
    <cellStyle name="Normal 16 3 2" xfId="761" xr:uid="{00000000-0005-0000-0000-00009C020000}"/>
    <cellStyle name="Normal 16 4" xfId="353" xr:uid="{00000000-0005-0000-0000-00009D020000}"/>
    <cellStyle name="Normal 16 4 2" xfId="673" xr:uid="{00000000-0005-0000-0000-00009E020000}"/>
    <cellStyle name="Normal 16 4 2 2" xfId="1005" xr:uid="{00000000-0005-0000-0000-00009F020000}"/>
    <cellStyle name="Normal 16 4 3" xfId="862" xr:uid="{00000000-0005-0000-0000-0000A0020000}"/>
    <cellStyle name="Normal 16 5" xfId="1050" xr:uid="{00000000-0005-0000-0000-0000A1020000}"/>
    <cellStyle name="Normal 17" xfId="354" xr:uid="{00000000-0005-0000-0000-0000A2020000}"/>
    <cellStyle name="Normal 17 2" xfId="355" xr:uid="{00000000-0005-0000-0000-0000A3020000}"/>
    <cellStyle name="Normal 17 2 2" xfId="760" xr:uid="{00000000-0005-0000-0000-0000A4020000}"/>
    <cellStyle name="Normal 17 3" xfId="356" xr:uid="{00000000-0005-0000-0000-0000A5020000}"/>
    <cellStyle name="Normal 17 3 2" xfId="759" xr:uid="{00000000-0005-0000-0000-0000A6020000}"/>
    <cellStyle name="Normal 17 4" xfId="758" xr:uid="{00000000-0005-0000-0000-0000A7020000}"/>
    <cellStyle name="Normal 18" xfId="357" xr:uid="{00000000-0005-0000-0000-0000A8020000}"/>
    <cellStyle name="Normal 18 2" xfId="697" xr:uid="{00000000-0005-0000-0000-0000A9020000}"/>
    <cellStyle name="Normal 18 3" xfId="1057" xr:uid="{00000000-0005-0000-0000-0000AA020000}"/>
    <cellStyle name="Normal 19" xfId="358" xr:uid="{00000000-0005-0000-0000-0000AB020000}"/>
    <cellStyle name="Normal 19 2" xfId="757" xr:uid="{00000000-0005-0000-0000-0000AC020000}"/>
    <cellStyle name="Normal 19 3" xfId="756" xr:uid="{00000000-0005-0000-0000-0000AD020000}"/>
    <cellStyle name="Normal 2" xfId="3" xr:uid="{00000000-0005-0000-0000-0000AE020000}"/>
    <cellStyle name="Normal 2 10" xfId="974" xr:uid="{00000000-0005-0000-0000-0000AF020000}"/>
    <cellStyle name="Normal 2 10 2" xfId="698" xr:uid="{00000000-0005-0000-0000-0000B0020000}"/>
    <cellStyle name="Normal 2 2" xfId="359" xr:uid="{00000000-0005-0000-0000-0000B1020000}"/>
    <cellStyle name="Normal 2 2 2" xfId="360" xr:uid="{00000000-0005-0000-0000-0000B2020000}"/>
    <cellStyle name="Normal 2 2 2 2" xfId="361" xr:uid="{00000000-0005-0000-0000-0000B3020000}"/>
    <cellStyle name="Normal 2 2 2 2 2" xfId="362" xr:uid="{00000000-0005-0000-0000-0000B4020000}"/>
    <cellStyle name="Normal 2 2 2 2 2 2" xfId="975" xr:uid="{00000000-0005-0000-0000-0000B5020000}"/>
    <cellStyle name="Normal 2 2 2 2 2 3" xfId="755" xr:uid="{00000000-0005-0000-0000-0000B6020000}"/>
    <cellStyle name="Normal 2 2 2 2 3" xfId="363" xr:uid="{00000000-0005-0000-0000-0000B7020000}"/>
    <cellStyle name="Normal 2 2 2 2 3 2" xfId="364" xr:uid="{00000000-0005-0000-0000-0000B8020000}"/>
    <cellStyle name="Normal 2 2 2 2 3 2 2" xfId="754" xr:uid="{00000000-0005-0000-0000-0000B9020000}"/>
    <cellStyle name="Normal 2 2 2 2 3 2 3" xfId="753" xr:uid="{00000000-0005-0000-0000-0000BA020000}"/>
    <cellStyle name="Normal 2 2 2 2 3 3" xfId="752" xr:uid="{00000000-0005-0000-0000-0000BB020000}"/>
    <cellStyle name="Normal 2 2 2 2 3 4" xfId="751" xr:uid="{00000000-0005-0000-0000-0000BC020000}"/>
    <cellStyle name="Normal 2 2 2 2 4" xfId="365" xr:uid="{00000000-0005-0000-0000-0000BD020000}"/>
    <cellStyle name="Normal 2 2 2 2 4 2" xfId="750" xr:uid="{00000000-0005-0000-0000-0000BE020000}"/>
    <cellStyle name="Normal 2 2 2 2 4 3" xfId="699" xr:uid="{00000000-0005-0000-0000-0000BF020000}"/>
    <cellStyle name="Normal 2 2 2 2 5" xfId="366" xr:uid="{00000000-0005-0000-0000-0000C0020000}"/>
    <cellStyle name="Normal 2 2 2 2 5 2" xfId="367" xr:uid="{00000000-0005-0000-0000-0000C1020000}"/>
    <cellStyle name="Normal 2 2 2 2 5 2 2" xfId="700" xr:uid="{00000000-0005-0000-0000-0000C2020000}"/>
    <cellStyle name="Normal 2 2 2 2 5 2 3" xfId="749" xr:uid="{00000000-0005-0000-0000-0000C3020000}"/>
    <cellStyle name="Normal 2 2 2 2 5 3" xfId="936" xr:uid="{00000000-0005-0000-0000-0000C4020000}"/>
    <cellStyle name="Normal 2 2 2 2 5 3 2" xfId="748" xr:uid="{00000000-0005-0000-0000-0000C5020000}"/>
    <cellStyle name="Normal 2 2 2 2 6" xfId="747" xr:uid="{00000000-0005-0000-0000-0000C6020000}"/>
    <cellStyle name="Normal 2 2 2 2 7" xfId="746" xr:uid="{00000000-0005-0000-0000-0000C7020000}"/>
    <cellStyle name="Normal 2 2 2 3" xfId="368" xr:uid="{00000000-0005-0000-0000-0000C8020000}"/>
    <cellStyle name="Normal 2 2 2 3 2" xfId="745" xr:uid="{00000000-0005-0000-0000-0000C9020000}"/>
    <cellStyle name="Normal 2 2 2 3 3" xfId="976" xr:uid="{00000000-0005-0000-0000-0000CA020000}"/>
    <cellStyle name="Normal 2 2 2 4" xfId="369" xr:uid="{00000000-0005-0000-0000-0000CB020000}"/>
    <cellStyle name="Normal 2 2 2 4 2" xfId="744" xr:uid="{00000000-0005-0000-0000-0000CC020000}"/>
    <cellStyle name="Normal 2 2 2 4 3" xfId="977" xr:uid="{00000000-0005-0000-0000-0000CD020000}"/>
    <cellStyle name="Normal 2 2 2 5" xfId="370" xr:uid="{00000000-0005-0000-0000-0000CE020000}"/>
    <cellStyle name="Normal 2 2 2 5 2" xfId="371" xr:uid="{00000000-0005-0000-0000-0000CF020000}"/>
    <cellStyle name="Normal 2 2 2 5 2 2" xfId="743" xr:uid="{00000000-0005-0000-0000-0000D0020000}"/>
    <cellStyle name="Normal 2 2 2 5 2 3" xfId="742" xr:uid="{00000000-0005-0000-0000-0000D1020000}"/>
    <cellStyle name="Normal 2 2 2 5 3" xfId="372" xr:uid="{00000000-0005-0000-0000-0000D2020000}"/>
    <cellStyle name="Normal 2 2 2 5 3 2" xfId="1033" xr:uid="{00000000-0005-0000-0000-0000D3020000}"/>
    <cellStyle name="Normal 2 2 2 5 4" xfId="373" xr:uid="{00000000-0005-0000-0000-0000D4020000}"/>
    <cellStyle name="Normal 2 2 2 5 4 2" xfId="741" xr:uid="{00000000-0005-0000-0000-0000D5020000}"/>
    <cellStyle name="Normal 2 2 2 5 5" xfId="740" xr:uid="{00000000-0005-0000-0000-0000D6020000}"/>
    <cellStyle name="Normal 2 2 2 5 5 2" xfId="739" xr:uid="{00000000-0005-0000-0000-0000D7020000}"/>
    <cellStyle name="Normal 2 2 2 6" xfId="374" xr:uid="{00000000-0005-0000-0000-0000D8020000}"/>
    <cellStyle name="Normal 2 2 2 6 2" xfId="943" xr:uid="{00000000-0005-0000-0000-0000D9020000}"/>
    <cellStyle name="Normal 2 2 2 6 3" xfId="738" xr:uid="{00000000-0005-0000-0000-0000DA020000}"/>
    <cellStyle name="Normal 2 2 3" xfId="375" xr:uid="{00000000-0005-0000-0000-0000DB020000}"/>
    <cellStyle name="Normal 2 2 3 2" xfId="376" xr:uid="{00000000-0005-0000-0000-0000DC020000}"/>
    <cellStyle name="Normal 2 2 3 2 2" xfId="737" xr:uid="{00000000-0005-0000-0000-0000DD020000}"/>
    <cellStyle name="Normal 2 2 3 2 3" xfId="736" xr:uid="{00000000-0005-0000-0000-0000DE020000}"/>
    <cellStyle name="Normal 2 2 3 3" xfId="377" xr:uid="{00000000-0005-0000-0000-0000DF020000}"/>
    <cellStyle name="Normal 2 2 3 3 2" xfId="735" xr:uid="{00000000-0005-0000-0000-0000E0020000}"/>
    <cellStyle name="Normal 2 2 3 3 3" xfId="733" xr:uid="{00000000-0005-0000-0000-0000E1020000}"/>
    <cellStyle name="Normal 2 2 3 4" xfId="378" xr:uid="{00000000-0005-0000-0000-0000E2020000}"/>
    <cellStyle name="Normal 2 2 3 5" xfId="1039" xr:uid="{00000000-0005-0000-0000-0000E3020000}"/>
    <cellStyle name="Normal 2 2 3 5 2" xfId="957" xr:uid="{00000000-0005-0000-0000-0000E4020000}"/>
    <cellStyle name="Normal 2 2 3 6" xfId="937" xr:uid="{00000000-0005-0000-0000-0000E5020000}"/>
    <cellStyle name="Normal 2 2 3 7" xfId="956" xr:uid="{00000000-0005-0000-0000-0000E6020000}"/>
    <cellStyle name="Normal 2 2 3 8" xfId="955" xr:uid="{00000000-0005-0000-0000-0000E7020000}"/>
    <cellStyle name="Normal 2 2 4" xfId="379" xr:uid="{00000000-0005-0000-0000-0000E8020000}"/>
    <cellStyle name="Normal 2 2 4 2" xfId="950" xr:uid="{00000000-0005-0000-0000-0000E9020000}"/>
    <cellStyle name="Normal 2 2 4 3" xfId="959" xr:uid="{00000000-0005-0000-0000-0000EA020000}"/>
    <cellStyle name="Normal 2 2 5" xfId="380" xr:uid="{00000000-0005-0000-0000-0000EB020000}"/>
    <cellStyle name="Normal 2 2 5 2" xfId="938" xr:uid="{00000000-0005-0000-0000-0000EC020000}"/>
    <cellStyle name="Normal 2 2 5 3" xfId="702" xr:uid="{00000000-0005-0000-0000-0000ED020000}"/>
    <cellStyle name="Normal 2 2 6" xfId="381" xr:uid="{00000000-0005-0000-0000-0000EE020000}"/>
    <cellStyle name="Normal 2 2 6 2" xfId="954" xr:uid="{00000000-0005-0000-0000-0000EF020000}"/>
    <cellStyle name="Normal 2 2 7" xfId="382" xr:uid="{00000000-0005-0000-0000-0000F0020000}"/>
    <cellStyle name="Normal 2 3" xfId="383" xr:uid="{00000000-0005-0000-0000-0000F1020000}"/>
    <cellStyle name="Normal 2 3 2" xfId="384" xr:uid="{00000000-0005-0000-0000-0000F2020000}"/>
    <cellStyle name="Normal 2 3 2 2" xfId="385" xr:uid="{00000000-0005-0000-0000-0000F3020000}"/>
    <cellStyle name="Normal 2 3 2 2 2" xfId="732" xr:uid="{00000000-0005-0000-0000-0000F4020000}"/>
    <cellStyle name="Normal 2 3 2 3" xfId="386" xr:uid="{00000000-0005-0000-0000-0000F5020000}"/>
    <cellStyle name="Normal 2 3 2 4" xfId="730" xr:uid="{00000000-0005-0000-0000-0000F6020000}"/>
    <cellStyle name="Normal 2 3 3" xfId="387" xr:uid="{00000000-0005-0000-0000-0000F7020000}"/>
    <cellStyle name="Normal 2 3 3 2" xfId="388" xr:uid="{00000000-0005-0000-0000-0000F8020000}"/>
    <cellStyle name="Normal 2 3 3 2 2" xfId="1051" xr:uid="{00000000-0005-0000-0000-0000F9020000}"/>
    <cellStyle name="Normal 2 3 3 3" xfId="389" xr:uid="{00000000-0005-0000-0000-0000FA020000}"/>
    <cellStyle name="Normal 2 3 3 4" xfId="729" xr:uid="{00000000-0005-0000-0000-0000FB020000}"/>
    <cellStyle name="Normal 2 3 4" xfId="390" xr:uid="{00000000-0005-0000-0000-0000FC020000}"/>
    <cellStyle name="Normal 2 3 4 2" xfId="391" xr:uid="{00000000-0005-0000-0000-0000FD020000}"/>
    <cellStyle name="Normal 2 3 4 2 2" xfId="728" xr:uid="{00000000-0005-0000-0000-0000FE020000}"/>
    <cellStyle name="Normal 2 3 4 3" xfId="392" xr:uid="{00000000-0005-0000-0000-0000FF020000}"/>
    <cellStyle name="Normal 2 3 4 4" xfId="726" xr:uid="{00000000-0005-0000-0000-000000030000}"/>
    <cellStyle name="Normal 2 3 5" xfId="393" xr:uid="{00000000-0005-0000-0000-000001030000}"/>
    <cellStyle name="Normal 2 3 5 2" xfId="394" xr:uid="{00000000-0005-0000-0000-000002030000}"/>
    <cellStyle name="Normal 2 3 5 2 2" xfId="1032" xr:uid="{00000000-0005-0000-0000-000003030000}"/>
    <cellStyle name="Normal 2 3 5 3" xfId="395" xr:uid="{00000000-0005-0000-0000-000004030000}"/>
    <cellStyle name="Normal 2 3 5 4" xfId="978" xr:uid="{00000000-0005-0000-0000-000005030000}"/>
    <cellStyle name="Normal 2 3 6" xfId="396" xr:uid="{00000000-0005-0000-0000-000006030000}"/>
    <cellStyle name="Normal 2 3 6 2" xfId="939" xr:uid="{00000000-0005-0000-0000-000007030000}"/>
    <cellStyle name="Normal 2 3 7" xfId="979" xr:uid="{00000000-0005-0000-0000-000008030000}"/>
    <cellStyle name="Normal 2 4" xfId="397" xr:uid="{00000000-0005-0000-0000-000009030000}"/>
    <cellStyle name="Normal 2 4 2" xfId="398" xr:uid="{00000000-0005-0000-0000-00000A030000}"/>
    <cellStyle name="Normal 2 4 2 2" xfId="399" xr:uid="{00000000-0005-0000-0000-00000B030000}"/>
    <cellStyle name="Normal 2 4 2 3" xfId="400" xr:uid="{00000000-0005-0000-0000-00000C030000}"/>
    <cellStyle name="Normal 2 4 3" xfId="401" xr:uid="{00000000-0005-0000-0000-00000D030000}"/>
    <cellStyle name="Normal 2 4 3 2" xfId="402" xr:uid="{00000000-0005-0000-0000-00000E030000}"/>
    <cellStyle name="Normal 2 4 3 3" xfId="981" xr:uid="{00000000-0005-0000-0000-00000F030000}"/>
    <cellStyle name="Normal 2 4 4" xfId="403" xr:uid="{00000000-0005-0000-0000-000010030000}"/>
    <cellStyle name="Normal 2 4 4 2" xfId="724" xr:uid="{00000000-0005-0000-0000-000011030000}"/>
    <cellStyle name="Normal 2 4 4 3" xfId="723" xr:uid="{00000000-0005-0000-0000-000012030000}"/>
    <cellStyle name="Normal 2 4 5" xfId="404" xr:uid="{00000000-0005-0000-0000-000013030000}"/>
    <cellStyle name="Normal 2 4 6" xfId="722" xr:uid="{00000000-0005-0000-0000-000014030000}"/>
    <cellStyle name="Normal 2 5" xfId="405" xr:uid="{00000000-0005-0000-0000-000015030000}"/>
    <cellStyle name="Normal 2 5 2" xfId="406" xr:uid="{00000000-0005-0000-0000-000016030000}"/>
    <cellStyle name="Normal 2 5 2 2" xfId="720" xr:uid="{00000000-0005-0000-0000-000017030000}"/>
    <cellStyle name="Normal 2 5 2 3" xfId="719" xr:uid="{00000000-0005-0000-0000-000018030000}"/>
    <cellStyle name="Normal 2 5 3" xfId="407" xr:uid="{00000000-0005-0000-0000-000019030000}"/>
    <cellStyle name="Normal 2 5 3 2" xfId="717" xr:uid="{00000000-0005-0000-0000-00001A030000}"/>
    <cellStyle name="Normal 2 5 4" xfId="408" xr:uid="{00000000-0005-0000-0000-00001B030000}"/>
    <cellStyle name="Normal 2 5 4 2" xfId="716" xr:uid="{00000000-0005-0000-0000-00001C030000}"/>
    <cellStyle name="Normal 2 5 5" xfId="409" xr:uid="{00000000-0005-0000-0000-00001D030000}"/>
    <cellStyle name="Normal 2 5 6" xfId="715" xr:uid="{00000000-0005-0000-0000-00001E030000}"/>
    <cellStyle name="Normal 2 5 6 2" xfId="940" xr:uid="{00000000-0005-0000-0000-00001F030000}"/>
    <cellStyle name="Normal 2 6" xfId="410" xr:uid="{00000000-0005-0000-0000-000020030000}"/>
    <cellStyle name="Normal 2 6 2" xfId="411" xr:uid="{00000000-0005-0000-0000-000021030000}"/>
    <cellStyle name="Normal 2 6 2 2" xfId="675" xr:uid="{00000000-0005-0000-0000-000022030000}"/>
    <cellStyle name="Normal 2 6 2 2 2" xfId="1007" xr:uid="{00000000-0005-0000-0000-000023030000}"/>
    <cellStyle name="Normal 2 6 2 3" xfId="885" xr:uid="{00000000-0005-0000-0000-000024030000}"/>
    <cellStyle name="Normal 2 6 3" xfId="412" xr:uid="{00000000-0005-0000-0000-000025030000}"/>
    <cellStyle name="Normal 2 6 3 2" xfId="413" xr:uid="{00000000-0005-0000-0000-000026030000}"/>
    <cellStyle name="Normal 2 6 3 2 2" xfId="414" xr:uid="{00000000-0005-0000-0000-000027030000}"/>
    <cellStyle name="Normal 2 6 3 2 2 2" xfId="951" xr:uid="{00000000-0005-0000-0000-000028030000}"/>
    <cellStyle name="Normal 2 6 3 2 3" xfId="941" xr:uid="{00000000-0005-0000-0000-000029030000}"/>
    <cellStyle name="Normal 2 6 3 3" xfId="713" xr:uid="{00000000-0005-0000-0000-00002A030000}"/>
    <cellStyle name="Normal 2 6 4" xfId="415" xr:uid="{00000000-0005-0000-0000-00002B030000}"/>
    <cellStyle name="Normal 2 6 4 2" xfId="416" xr:uid="{00000000-0005-0000-0000-00002C030000}"/>
    <cellStyle name="Normal 2 6 4 2 2" xfId="711" xr:uid="{00000000-0005-0000-0000-00002D030000}"/>
    <cellStyle name="Normal 2 6 4 3" xfId="417" xr:uid="{00000000-0005-0000-0000-00002E030000}"/>
    <cellStyle name="Normal 2 6 4 3 2" xfId="1058" xr:uid="{00000000-0005-0000-0000-00002F030000}"/>
    <cellStyle name="Normal 2 6 4 4" xfId="1059" xr:uid="{00000000-0005-0000-0000-000030030000}"/>
    <cellStyle name="Normal 2 6 5" xfId="418" xr:uid="{00000000-0005-0000-0000-000031030000}"/>
    <cellStyle name="Normal 2 6 6" xfId="674" xr:uid="{00000000-0005-0000-0000-000032030000}"/>
    <cellStyle name="Normal 2 6 6 2" xfId="1006" xr:uid="{00000000-0005-0000-0000-000033030000}"/>
    <cellStyle name="Normal 2 6 7" xfId="884" xr:uid="{00000000-0005-0000-0000-000034030000}"/>
    <cellStyle name="Normal 2 7" xfId="419" xr:uid="{00000000-0005-0000-0000-000035030000}"/>
    <cellStyle name="Normal 2 7 2" xfId="420" xr:uid="{00000000-0005-0000-0000-000036030000}"/>
    <cellStyle name="Normal 2 7 2 2" xfId="1060" xr:uid="{00000000-0005-0000-0000-000037030000}"/>
    <cellStyle name="Normal 2 7 3" xfId="421" xr:uid="{00000000-0005-0000-0000-000038030000}"/>
    <cellStyle name="Normal 2 7 4" xfId="422" xr:uid="{00000000-0005-0000-0000-000039030000}"/>
    <cellStyle name="Normal 2 7 5" xfId="423" xr:uid="{00000000-0005-0000-0000-00003A030000}"/>
    <cellStyle name="Normal 2 8" xfId="424" xr:uid="{00000000-0005-0000-0000-00003B030000}"/>
    <cellStyle name="Normal 2 8 2" xfId="425" xr:uid="{00000000-0005-0000-0000-00003C030000}"/>
    <cellStyle name="Normal 2 8 2 2" xfId="1061" xr:uid="{00000000-0005-0000-0000-00003D030000}"/>
    <cellStyle name="Normal 2 8 3" xfId="426" xr:uid="{00000000-0005-0000-0000-00003E030000}"/>
    <cellStyle name="Normal 2 8 4" xfId="1062" xr:uid="{00000000-0005-0000-0000-00003F030000}"/>
    <cellStyle name="Normal 2 9" xfId="427" xr:uid="{00000000-0005-0000-0000-000040030000}"/>
    <cellStyle name="Normal 2 9 2" xfId="428" xr:uid="{00000000-0005-0000-0000-000041030000}"/>
    <cellStyle name="Normal 2 9 2 2" xfId="1063" xr:uid="{00000000-0005-0000-0000-000042030000}"/>
    <cellStyle name="Normal 2 9 3" xfId="1064" xr:uid="{00000000-0005-0000-0000-000043030000}"/>
    <cellStyle name="Normal 20" xfId="429" xr:uid="{00000000-0005-0000-0000-000044030000}"/>
    <cellStyle name="Normal 20 2" xfId="1065" xr:uid="{00000000-0005-0000-0000-000045030000}"/>
    <cellStyle name="Normal 20 3" xfId="1066" xr:uid="{00000000-0005-0000-0000-000046030000}"/>
    <cellStyle name="Normal 21" xfId="430" xr:uid="{00000000-0005-0000-0000-000047030000}"/>
    <cellStyle name="Normal 21 2" xfId="1067" xr:uid="{00000000-0005-0000-0000-000048030000}"/>
    <cellStyle name="Normal 21 3" xfId="1068" xr:uid="{00000000-0005-0000-0000-000049030000}"/>
    <cellStyle name="Normal 22" xfId="431" xr:uid="{00000000-0005-0000-0000-00004A030000}"/>
    <cellStyle name="Normal 22 2" xfId="1069" xr:uid="{00000000-0005-0000-0000-00004B030000}"/>
    <cellStyle name="Normal 22 3" xfId="1070" xr:uid="{00000000-0005-0000-0000-00004C030000}"/>
    <cellStyle name="Normal 23" xfId="432" xr:uid="{00000000-0005-0000-0000-00004D030000}"/>
    <cellStyle name="Normal 23 2" xfId="1071" xr:uid="{00000000-0005-0000-0000-00004E030000}"/>
    <cellStyle name="Normal 23 3" xfId="1072" xr:uid="{00000000-0005-0000-0000-00004F030000}"/>
    <cellStyle name="Normal 24" xfId="433" xr:uid="{00000000-0005-0000-0000-000050030000}"/>
    <cellStyle name="Normal 24 2" xfId="1073" xr:uid="{00000000-0005-0000-0000-000051030000}"/>
    <cellStyle name="Normal 24 3" xfId="1074" xr:uid="{00000000-0005-0000-0000-000052030000}"/>
    <cellStyle name="Normal 25" xfId="434" xr:uid="{00000000-0005-0000-0000-000053030000}"/>
    <cellStyle name="Normal 25 2" xfId="1075" xr:uid="{00000000-0005-0000-0000-000054030000}"/>
    <cellStyle name="Normal 25 3" xfId="1076" xr:uid="{00000000-0005-0000-0000-000055030000}"/>
    <cellStyle name="Normal 26" xfId="435" xr:uid="{00000000-0005-0000-0000-000056030000}"/>
    <cellStyle name="Normal 26 2" xfId="1077" xr:uid="{00000000-0005-0000-0000-000057030000}"/>
    <cellStyle name="Normal 26 3" xfId="1078" xr:uid="{00000000-0005-0000-0000-000058030000}"/>
    <cellStyle name="Normal 27" xfId="436" xr:uid="{00000000-0005-0000-0000-000059030000}"/>
    <cellStyle name="Normal 27 2" xfId="1079" xr:uid="{00000000-0005-0000-0000-00005A030000}"/>
    <cellStyle name="Normal 27 3" xfId="1080" xr:uid="{00000000-0005-0000-0000-00005B030000}"/>
    <cellStyle name="Normal 28" xfId="437" xr:uid="{00000000-0005-0000-0000-00005C030000}"/>
    <cellStyle name="Normal 28 2" xfId="1081" xr:uid="{00000000-0005-0000-0000-00005D030000}"/>
    <cellStyle name="Normal 28 3" xfId="1082" xr:uid="{00000000-0005-0000-0000-00005E030000}"/>
    <cellStyle name="Normal 29" xfId="438" xr:uid="{00000000-0005-0000-0000-00005F030000}"/>
    <cellStyle name="Normal 29 2" xfId="1083" xr:uid="{00000000-0005-0000-0000-000060030000}"/>
    <cellStyle name="Normal 29 3" xfId="1084" xr:uid="{00000000-0005-0000-0000-000061030000}"/>
    <cellStyle name="Normal 3" xfId="4" xr:uid="{00000000-0005-0000-0000-000062030000}"/>
    <cellStyle name="Normal 3 10" xfId="694" xr:uid="{00000000-0005-0000-0000-000063030000}"/>
    <cellStyle name="Normal 3 11" xfId="19" xr:uid="{00000000-0005-0000-0000-000064030000}"/>
    <cellStyle name="Normal 3 2" xfId="14" xr:uid="{00000000-0005-0000-0000-000065030000}"/>
    <cellStyle name="Normal 3 2 2" xfId="18" xr:uid="{00000000-0005-0000-0000-000066030000}"/>
    <cellStyle name="Normal 3 2 2 2" xfId="442" xr:uid="{00000000-0005-0000-0000-000067030000}"/>
    <cellStyle name="Normal 3 2 2 3" xfId="441" xr:uid="{00000000-0005-0000-0000-000068030000}"/>
    <cellStyle name="Normal 3 2 3" xfId="440" xr:uid="{00000000-0005-0000-0000-000069030000}"/>
    <cellStyle name="Normal 3 2 4" xfId="23" xr:uid="{00000000-0005-0000-0000-00006A030000}"/>
    <cellStyle name="Normal 3 2 4 2" xfId="1085" xr:uid="{00000000-0005-0000-0000-00006B030000}"/>
    <cellStyle name="Normal 3 2 5" xfId="701" xr:uid="{00000000-0005-0000-0000-00006C030000}"/>
    <cellStyle name="Normal 3 2 6" xfId="20" xr:uid="{00000000-0005-0000-0000-00006D030000}"/>
    <cellStyle name="Normal 3 3" xfId="443" xr:uid="{00000000-0005-0000-0000-00006E030000}"/>
    <cellStyle name="Normal 3 3 2" xfId="1086" xr:uid="{00000000-0005-0000-0000-00006F030000}"/>
    <cellStyle name="Normal 3 3 3" xfId="1087" xr:uid="{00000000-0005-0000-0000-000070030000}"/>
    <cellStyle name="Normal 3 4" xfId="444" xr:uid="{00000000-0005-0000-0000-000071030000}"/>
    <cellStyle name="Normal 3 4 2" xfId="445" xr:uid="{00000000-0005-0000-0000-000072030000}"/>
    <cellStyle name="Normal 3 4 3" xfId="446" xr:uid="{00000000-0005-0000-0000-000073030000}"/>
    <cellStyle name="Normal 3 4 3 2" xfId="677" xr:uid="{00000000-0005-0000-0000-000074030000}"/>
    <cellStyle name="Normal 3 4 3 2 2" xfId="1009" xr:uid="{00000000-0005-0000-0000-000075030000}"/>
    <cellStyle name="Normal 3 4 3 3" xfId="896" xr:uid="{00000000-0005-0000-0000-000076030000}"/>
    <cellStyle name="Normal 3 5" xfId="447" xr:uid="{00000000-0005-0000-0000-000077030000}"/>
    <cellStyle name="Normal 3 6" xfId="439" xr:uid="{00000000-0005-0000-0000-000078030000}"/>
    <cellStyle name="Normal 3 6 2" xfId="676" xr:uid="{00000000-0005-0000-0000-000079030000}"/>
    <cellStyle name="Normal 3 6 2 2" xfId="1008" xr:uid="{00000000-0005-0000-0000-00007A030000}"/>
    <cellStyle name="Normal 3 6 3" xfId="894" xr:uid="{00000000-0005-0000-0000-00007B030000}"/>
    <cellStyle name="Normal 3 6 4" xfId="1088" xr:uid="{00000000-0005-0000-0000-00007C030000}"/>
    <cellStyle name="Normal 3 7" xfId="25" xr:uid="{00000000-0005-0000-0000-00007D030000}"/>
    <cellStyle name="Normal 3 7 2" xfId="703" xr:uid="{00000000-0005-0000-0000-00007E030000}"/>
    <cellStyle name="Normal 3 8" xfId="653" xr:uid="{00000000-0005-0000-0000-00007F030000}"/>
    <cellStyle name="Normal 3 8 2" xfId="985" xr:uid="{00000000-0005-0000-0000-000080030000}"/>
    <cellStyle name="Normal 3 9" xfId="22" xr:uid="{00000000-0005-0000-0000-000081030000}"/>
    <cellStyle name="Normal 30" xfId="448" xr:uid="{00000000-0005-0000-0000-000082030000}"/>
    <cellStyle name="Normal 30 2" xfId="1089" xr:uid="{00000000-0005-0000-0000-000083030000}"/>
    <cellStyle name="Normal 30 3" xfId="1090" xr:uid="{00000000-0005-0000-0000-000084030000}"/>
    <cellStyle name="Normal 31" xfId="449" xr:uid="{00000000-0005-0000-0000-000085030000}"/>
    <cellStyle name="Normal 31 2" xfId="1091" xr:uid="{00000000-0005-0000-0000-000086030000}"/>
    <cellStyle name="Normal 31 3" xfId="1092" xr:uid="{00000000-0005-0000-0000-000087030000}"/>
    <cellStyle name="Normal 32" xfId="450" xr:uid="{00000000-0005-0000-0000-000088030000}"/>
    <cellStyle name="Normal 32 2" xfId="1093" xr:uid="{00000000-0005-0000-0000-000089030000}"/>
    <cellStyle name="Normal 32 3" xfId="1094" xr:uid="{00000000-0005-0000-0000-00008A030000}"/>
    <cellStyle name="Normal 33" xfId="451" xr:uid="{00000000-0005-0000-0000-00008B030000}"/>
    <cellStyle name="Normal 33 2" xfId="1095" xr:uid="{00000000-0005-0000-0000-00008C030000}"/>
    <cellStyle name="Normal 33 3" xfId="1096" xr:uid="{00000000-0005-0000-0000-00008D030000}"/>
    <cellStyle name="Normal 34" xfId="452" xr:uid="{00000000-0005-0000-0000-00008E030000}"/>
    <cellStyle name="Normal 34 2" xfId="1097" xr:uid="{00000000-0005-0000-0000-00008F030000}"/>
    <cellStyle name="Normal 34 3" xfId="1098" xr:uid="{00000000-0005-0000-0000-000090030000}"/>
    <cellStyle name="Normal 35" xfId="453" xr:uid="{00000000-0005-0000-0000-000091030000}"/>
    <cellStyle name="Normal 35 2" xfId="1099" xr:uid="{00000000-0005-0000-0000-000092030000}"/>
    <cellStyle name="Normal 35 3" xfId="1100" xr:uid="{00000000-0005-0000-0000-000093030000}"/>
    <cellStyle name="Normal 36" xfId="454" xr:uid="{00000000-0005-0000-0000-000094030000}"/>
    <cellStyle name="Normal 36 2" xfId="1101" xr:uid="{00000000-0005-0000-0000-000095030000}"/>
    <cellStyle name="Normal 36 3" xfId="1102" xr:uid="{00000000-0005-0000-0000-000096030000}"/>
    <cellStyle name="Normal 37" xfId="455" xr:uid="{00000000-0005-0000-0000-000097030000}"/>
    <cellStyle name="Normal 37 2" xfId="1103" xr:uid="{00000000-0005-0000-0000-000098030000}"/>
    <cellStyle name="Normal 37 3" xfId="1104" xr:uid="{00000000-0005-0000-0000-000099030000}"/>
    <cellStyle name="Normal 38" xfId="456" xr:uid="{00000000-0005-0000-0000-00009A030000}"/>
    <cellStyle name="Normal 38 2" xfId="1105" xr:uid="{00000000-0005-0000-0000-00009B030000}"/>
    <cellStyle name="Normal 38 3" xfId="1106" xr:uid="{00000000-0005-0000-0000-00009C030000}"/>
    <cellStyle name="Normal 39" xfId="457" xr:uid="{00000000-0005-0000-0000-00009D030000}"/>
    <cellStyle name="Normal 39 2" xfId="1107" xr:uid="{00000000-0005-0000-0000-00009E030000}"/>
    <cellStyle name="Normal 39 3" xfId="1108" xr:uid="{00000000-0005-0000-0000-00009F030000}"/>
    <cellStyle name="Normal 4" xfId="16" xr:uid="{00000000-0005-0000-0000-0000A0030000}"/>
    <cellStyle name="Normal 4 2" xfId="459" xr:uid="{00000000-0005-0000-0000-0000A1030000}"/>
    <cellStyle name="Normal 4 2 2" xfId="460" xr:uid="{00000000-0005-0000-0000-0000A2030000}"/>
    <cellStyle name="Normal 4 2 2 2" xfId="1109" xr:uid="{00000000-0005-0000-0000-0000A3030000}"/>
    <cellStyle name="Normal 4 2 2 3" xfId="1110" xr:uid="{00000000-0005-0000-0000-0000A4030000}"/>
    <cellStyle name="Normal 4 2 3" xfId="1111" xr:uid="{00000000-0005-0000-0000-0000A5030000}"/>
    <cellStyle name="Normal 4 3" xfId="461" xr:uid="{00000000-0005-0000-0000-0000A6030000}"/>
    <cellStyle name="Normal 4 3 2" xfId="1112" xr:uid="{00000000-0005-0000-0000-0000A7030000}"/>
    <cellStyle name="Normal 4 3 3" xfId="1113" xr:uid="{00000000-0005-0000-0000-0000A8030000}"/>
    <cellStyle name="Normal 4 4" xfId="462" xr:uid="{00000000-0005-0000-0000-0000A9030000}"/>
    <cellStyle name="Normal 4 5" xfId="458" xr:uid="{00000000-0005-0000-0000-0000AA030000}"/>
    <cellStyle name="Normal 4 6" xfId="1114" xr:uid="{00000000-0005-0000-0000-0000AB030000}"/>
    <cellStyle name="Normal 4 7" xfId="21" xr:uid="{00000000-0005-0000-0000-0000AC030000}"/>
    <cellStyle name="Normal 40" xfId="463" xr:uid="{00000000-0005-0000-0000-0000AD030000}"/>
    <cellStyle name="Normal 40 2" xfId="1115" xr:uid="{00000000-0005-0000-0000-0000AE030000}"/>
    <cellStyle name="Normal 40 3" xfId="1116" xr:uid="{00000000-0005-0000-0000-0000AF030000}"/>
    <cellStyle name="Normal 41" xfId="464" xr:uid="{00000000-0005-0000-0000-0000B0030000}"/>
    <cellStyle name="Normal 41 2" xfId="1117" xr:uid="{00000000-0005-0000-0000-0000B1030000}"/>
    <cellStyle name="Normal 41 3" xfId="1118" xr:uid="{00000000-0005-0000-0000-0000B2030000}"/>
    <cellStyle name="Normal 42" xfId="465" xr:uid="{00000000-0005-0000-0000-0000B3030000}"/>
    <cellStyle name="Normal 42 2" xfId="1119" xr:uid="{00000000-0005-0000-0000-0000B4030000}"/>
    <cellStyle name="Normal 42 3" xfId="1120" xr:uid="{00000000-0005-0000-0000-0000B5030000}"/>
    <cellStyle name="Normal 43" xfId="466" xr:uid="{00000000-0005-0000-0000-0000B6030000}"/>
    <cellStyle name="Normal 43 2" xfId="1121" xr:uid="{00000000-0005-0000-0000-0000B7030000}"/>
    <cellStyle name="Normal 43 3" xfId="1122" xr:uid="{00000000-0005-0000-0000-0000B8030000}"/>
    <cellStyle name="Normal 44" xfId="467" xr:uid="{00000000-0005-0000-0000-0000B9030000}"/>
    <cellStyle name="Normal 44 2" xfId="1123" xr:uid="{00000000-0005-0000-0000-0000BA030000}"/>
    <cellStyle name="Normal 44 3" xfId="1124" xr:uid="{00000000-0005-0000-0000-0000BB030000}"/>
    <cellStyle name="Normal 45" xfId="468" xr:uid="{00000000-0005-0000-0000-0000BC030000}"/>
    <cellStyle name="Normal 45 2" xfId="1125" xr:uid="{00000000-0005-0000-0000-0000BD030000}"/>
    <cellStyle name="Normal 45 3" xfId="1126" xr:uid="{00000000-0005-0000-0000-0000BE030000}"/>
    <cellStyle name="Normal 46" xfId="469" xr:uid="{00000000-0005-0000-0000-0000BF030000}"/>
    <cellStyle name="Normal 46 2" xfId="1127" xr:uid="{00000000-0005-0000-0000-0000C0030000}"/>
    <cellStyle name="Normal 46 3" xfId="1128" xr:uid="{00000000-0005-0000-0000-0000C1030000}"/>
    <cellStyle name="Normal 47" xfId="470" xr:uid="{00000000-0005-0000-0000-0000C2030000}"/>
    <cellStyle name="Normal 47 2" xfId="1129" xr:uid="{00000000-0005-0000-0000-0000C3030000}"/>
    <cellStyle name="Normal 47 3" xfId="1130" xr:uid="{00000000-0005-0000-0000-0000C4030000}"/>
    <cellStyle name="Normal 48" xfId="471" xr:uid="{00000000-0005-0000-0000-0000C5030000}"/>
    <cellStyle name="Normal 48 2" xfId="1131" xr:uid="{00000000-0005-0000-0000-0000C6030000}"/>
    <cellStyle name="Normal 48 3" xfId="1132" xr:uid="{00000000-0005-0000-0000-0000C7030000}"/>
    <cellStyle name="Normal 49" xfId="472" xr:uid="{00000000-0005-0000-0000-0000C8030000}"/>
    <cellStyle name="Normal 49 2" xfId="473" xr:uid="{00000000-0005-0000-0000-0000C9030000}"/>
    <cellStyle name="Normal 49 2 2" xfId="1133" xr:uid="{00000000-0005-0000-0000-0000CA030000}"/>
    <cellStyle name="Normal 49 2 3" xfId="1134" xr:uid="{00000000-0005-0000-0000-0000CB030000}"/>
    <cellStyle name="Normal 49 3" xfId="1135" xr:uid="{00000000-0005-0000-0000-0000CC030000}"/>
    <cellStyle name="Normal 49 3 2" xfId="1136" xr:uid="{00000000-0005-0000-0000-0000CD030000}"/>
    <cellStyle name="Normal 5" xfId="17" xr:uid="{00000000-0005-0000-0000-0000CE030000}"/>
    <cellStyle name="Normal 5 2" xfId="475" xr:uid="{00000000-0005-0000-0000-0000CF030000}"/>
    <cellStyle name="Normal 5 2 2" xfId="1137" xr:uid="{00000000-0005-0000-0000-0000D0030000}"/>
    <cellStyle name="Normal 5 2 3" xfId="1138" xr:uid="{00000000-0005-0000-0000-0000D1030000}"/>
    <cellStyle name="Normal 5 3" xfId="476" xr:uid="{00000000-0005-0000-0000-0000D2030000}"/>
    <cellStyle name="Normal 5 3 2" xfId="477" xr:uid="{00000000-0005-0000-0000-0000D3030000}"/>
    <cellStyle name="Normal 5 3 3" xfId="1139" xr:uid="{00000000-0005-0000-0000-0000D4030000}"/>
    <cellStyle name="Normal 5 3 4" xfId="1140" xr:uid="{00000000-0005-0000-0000-0000D5030000}"/>
    <cellStyle name="Normal 5 4" xfId="478" xr:uid="{00000000-0005-0000-0000-0000D6030000}"/>
    <cellStyle name="Normal 5 4 2" xfId="479" xr:uid="{00000000-0005-0000-0000-0000D7030000}"/>
    <cellStyle name="Normal 5 4 2 2" xfId="1141" xr:uid="{00000000-0005-0000-0000-0000D8030000}"/>
    <cellStyle name="Normal 5 4 2 3" xfId="1142" xr:uid="{00000000-0005-0000-0000-0000D9030000}"/>
    <cellStyle name="Normal 5 4 3" xfId="1143" xr:uid="{00000000-0005-0000-0000-0000DA030000}"/>
    <cellStyle name="Normal 5 5" xfId="480" xr:uid="{00000000-0005-0000-0000-0000DB030000}"/>
    <cellStyle name="Normal 5 5 2" xfId="1144" xr:uid="{00000000-0005-0000-0000-0000DC030000}"/>
    <cellStyle name="Normal 5 5 3" xfId="1145" xr:uid="{00000000-0005-0000-0000-0000DD030000}"/>
    <cellStyle name="Normal 5 6" xfId="1146" xr:uid="{00000000-0005-0000-0000-0000DE030000}"/>
    <cellStyle name="Normal 5 7" xfId="474" xr:uid="{00000000-0005-0000-0000-0000DF030000}"/>
    <cellStyle name="Normal 50" xfId="481" xr:uid="{00000000-0005-0000-0000-0000E0030000}"/>
    <cellStyle name="Normal 50 2" xfId="1147" xr:uid="{00000000-0005-0000-0000-0000E1030000}"/>
    <cellStyle name="Normal 50 3" xfId="1148" xr:uid="{00000000-0005-0000-0000-0000E2030000}"/>
    <cellStyle name="Normal 51" xfId="482" xr:uid="{00000000-0005-0000-0000-0000E3030000}"/>
    <cellStyle name="Normal 51 2" xfId="1149" xr:uid="{00000000-0005-0000-0000-0000E4030000}"/>
    <cellStyle name="Normal 51 3" xfId="1150" xr:uid="{00000000-0005-0000-0000-0000E5030000}"/>
    <cellStyle name="Normal 52" xfId="483" xr:uid="{00000000-0005-0000-0000-0000E6030000}"/>
    <cellStyle name="Normal 52 2" xfId="1151" xr:uid="{00000000-0005-0000-0000-0000E7030000}"/>
    <cellStyle name="Normal 52 3" xfId="1152" xr:uid="{00000000-0005-0000-0000-0000E8030000}"/>
    <cellStyle name="Normal 53" xfId="484" xr:uid="{00000000-0005-0000-0000-0000E9030000}"/>
    <cellStyle name="Normal 53 2" xfId="1153" xr:uid="{00000000-0005-0000-0000-0000EA030000}"/>
    <cellStyle name="Normal 53 3" xfId="1154" xr:uid="{00000000-0005-0000-0000-0000EB030000}"/>
    <cellStyle name="Normal 54" xfId="485" xr:uid="{00000000-0005-0000-0000-0000EC030000}"/>
    <cellStyle name="Normal 54 2" xfId="1155" xr:uid="{00000000-0005-0000-0000-0000ED030000}"/>
    <cellStyle name="Normal 54 3" xfId="1156" xr:uid="{00000000-0005-0000-0000-0000EE030000}"/>
    <cellStyle name="Normal 55" xfId="486" xr:uid="{00000000-0005-0000-0000-0000EF030000}"/>
    <cellStyle name="Normal 55 2" xfId="487" xr:uid="{00000000-0005-0000-0000-0000F0030000}"/>
    <cellStyle name="Normal 55 2 2" xfId="1157" xr:uid="{00000000-0005-0000-0000-0000F1030000}"/>
    <cellStyle name="Normal 55 2 3" xfId="1158" xr:uid="{00000000-0005-0000-0000-0000F2030000}"/>
    <cellStyle name="Normal 55 3" xfId="1159" xr:uid="{00000000-0005-0000-0000-0000F3030000}"/>
    <cellStyle name="Normal 55 3 2" xfId="1160" xr:uid="{00000000-0005-0000-0000-0000F4030000}"/>
    <cellStyle name="Normal 56" xfId="488" xr:uid="{00000000-0005-0000-0000-0000F5030000}"/>
    <cellStyle name="Normal 56 2" xfId="489" xr:uid="{00000000-0005-0000-0000-0000F6030000}"/>
    <cellStyle name="Normal 56 3" xfId="490" xr:uid="{00000000-0005-0000-0000-0000F7030000}"/>
    <cellStyle name="Normal 56 3 2" xfId="491" xr:uid="{00000000-0005-0000-0000-0000F8030000}"/>
    <cellStyle name="Normal 56 4" xfId="492" xr:uid="{00000000-0005-0000-0000-0000F9030000}"/>
    <cellStyle name="Normal 56 4 2" xfId="678" xr:uid="{00000000-0005-0000-0000-0000FA030000}"/>
    <cellStyle name="Normal 56 4 2 2" xfId="1010" xr:uid="{00000000-0005-0000-0000-0000FB030000}"/>
    <cellStyle name="Normal 56 4 3" xfId="912" xr:uid="{00000000-0005-0000-0000-0000FC030000}"/>
    <cellStyle name="Normal 56 5" xfId="493" xr:uid="{00000000-0005-0000-0000-0000FD030000}"/>
    <cellStyle name="Normal 56 6" xfId="494" xr:uid="{00000000-0005-0000-0000-0000FE030000}"/>
    <cellStyle name="Normal 57" xfId="495" xr:uid="{00000000-0005-0000-0000-0000FF030000}"/>
    <cellStyle name="Normal 58" xfId="496" xr:uid="{00000000-0005-0000-0000-000000040000}"/>
    <cellStyle name="Normal 58 2" xfId="497" xr:uid="{00000000-0005-0000-0000-000001040000}"/>
    <cellStyle name="Normal 58 3" xfId="498" xr:uid="{00000000-0005-0000-0000-000002040000}"/>
    <cellStyle name="Normal 59" xfId="499" xr:uid="{00000000-0005-0000-0000-000003040000}"/>
    <cellStyle name="Normal 59 2" xfId="1161" xr:uid="{00000000-0005-0000-0000-000004040000}"/>
    <cellStyle name="Normal 6" xfId="500" xr:uid="{00000000-0005-0000-0000-000005040000}"/>
    <cellStyle name="Normal 6 2" xfId="501" xr:uid="{00000000-0005-0000-0000-000006040000}"/>
    <cellStyle name="Normal 6 2 2" xfId="1162" xr:uid="{00000000-0005-0000-0000-000007040000}"/>
    <cellStyle name="Normal 6 2 3" xfId="1163" xr:uid="{00000000-0005-0000-0000-000008040000}"/>
    <cellStyle name="Normal 6 3" xfId="502" xr:uid="{00000000-0005-0000-0000-000009040000}"/>
    <cellStyle name="Normal 6 3 2" xfId="503" xr:uid="{00000000-0005-0000-0000-00000A040000}"/>
    <cellStyle name="Normal 6 3 3" xfId="1164" xr:uid="{00000000-0005-0000-0000-00000B040000}"/>
    <cellStyle name="Normal 6 3 4" xfId="1165" xr:uid="{00000000-0005-0000-0000-00000C040000}"/>
    <cellStyle name="Normal 6 4" xfId="504" xr:uid="{00000000-0005-0000-0000-00000D040000}"/>
    <cellStyle name="Normal 6 4 2" xfId="505" xr:uid="{00000000-0005-0000-0000-00000E040000}"/>
    <cellStyle name="Normal 6 4 2 2" xfId="680" xr:uid="{00000000-0005-0000-0000-00000F040000}"/>
    <cellStyle name="Normal 6 4 2 2 2" xfId="1012" xr:uid="{00000000-0005-0000-0000-000010040000}"/>
    <cellStyle name="Normal 6 4 2 3" xfId="917" xr:uid="{00000000-0005-0000-0000-000011040000}"/>
    <cellStyle name="Normal 6 4 3" xfId="506" xr:uid="{00000000-0005-0000-0000-000012040000}"/>
    <cellStyle name="Normal 6 4 3 2" xfId="1166" xr:uid="{00000000-0005-0000-0000-000013040000}"/>
    <cellStyle name="Normal 6 4 4" xfId="679" xr:uid="{00000000-0005-0000-0000-000014040000}"/>
    <cellStyle name="Normal 6 4 4 2" xfId="1011" xr:uid="{00000000-0005-0000-0000-000015040000}"/>
    <cellStyle name="Normal 6 4 5" xfId="916" xr:uid="{00000000-0005-0000-0000-000016040000}"/>
    <cellStyle name="Normal 6 4 5 2" xfId="1167" xr:uid="{00000000-0005-0000-0000-000017040000}"/>
    <cellStyle name="Normal 6 5" xfId="507" xr:uid="{00000000-0005-0000-0000-000018040000}"/>
    <cellStyle name="Normal 6 5 2" xfId="1168" xr:uid="{00000000-0005-0000-0000-000019040000}"/>
    <cellStyle name="Normal 6 6" xfId="508" xr:uid="{00000000-0005-0000-0000-00001A040000}"/>
    <cellStyle name="Normal 6 7" xfId="1169" xr:uid="{00000000-0005-0000-0000-00001B040000}"/>
    <cellStyle name="Normal 60" xfId="509" xr:uid="{00000000-0005-0000-0000-00001C040000}"/>
    <cellStyle name="Normal 61" xfId="510" xr:uid="{00000000-0005-0000-0000-00001D040000}"/>
    <cellStyle name="Normal 62" xfId="652" xr:uid="{00000000-0005-0000-0000-00001E040000}"/>
    <cellStyle name="Normal 62 2" xfId="691" xr:uid="{00000000-0005-0000-0000-00001F040000}"/>
    <cellStyle name="Normal 62 2 2" xfId="1171" xr:uid="{00000000-0005-0000-0000-000020040000}"/>
    <cellStyle name="Normal 62 3" xfId="1170" xr:uid="{00000000-0005-0000-0000-000021040000}"/>
    <cellStyle name="Normal 62 3 2" xfId="1246" xr:uid="{00000000-0005-0000-0000-000022040000}"/>
    <cellStyle name="Normal 63" xfId="1042" xr:uid="{00000000-0005-0000-0000-000023040000}"/>
    <cellStyle name="Normal 63 2" xfId="1245" xr:uid="{00000000-0005-0000-0000-000024040000}"/>
    <cellStyle name="Normal 7" xfId="511" xr:uid="{00000000-0005-0000-0000-000025040000}"/>
    <cellStyle name="Normal 7 10" xfId="1172" xr:uid="{00000000-0005-0000-0000-000026040000}"/>
    <cellStyle name="Normal 7 2" xfId="512" xr:uid="{00000000-0005-0000-0000-000027040000}"/>
    <cellStyle name="Normal 7 2 2" xfId="513" xr:uid="{00000000-0005-0000-0000-000028040000}"/>
    <cellStyle name="Normal 7 2 2 2" xfId="1173" xr:uid="{00000000-0005-0000-0000-000029040000}"/>
    <cellStyle name="Normal 7 2 2 3" xfId="1174" xr:uid="{00000000-0005-0000-0000-00002A040000}"/>
    <cellStyle name="Normal 7 2 3" xfId="514" xr:uid="{00000000-0005-0000-0000-00002B040000}"/>
    <cellStyle name="Normal 7 2 3 2" xfId="515" xr:uid="{00000000-0005-0000-0000-00002C040000}"/>
    <cellStyle name="Normal 7 2 3 2 2" xfId="516" xr:uid="{00000000-0005-0000-0000-00002D040000}"/>
    <cellStyle name="Normal 7 2 3 2 2 2" xfId="1175" xr:uid="{00000000-0005-0000-0000-00002E040000}"/>
    <cellStyle name="Normal 7 2 3 2 3" xfId="517" xr:uid="{00000000-0005-0000-0000-00002F040000}"/>
    <cellStyle name="Normal 7 2 3 2 3 2" xfId="518" xr:uid="{00000000-0005-0000-0000-000030040000}"/>
    <cellStyle name="Normal 7 2 3 2 3 2 2" xfId="1176" xr:uid="{00000000-0005-0000-0000-000031040000}"/>
    <cellStyle name="Normal 7 2 3 2 3 3" xfId="1177" xr:uid="{00000000-0005-0000-0000-000032040000}"/>
    <cellStyle name="Normal 7 2 3 2 4" xfId="519" xr:uid="{00000000-0005-0000-0000-000033040000}"/>
    <cellStyle name="Normal 7 2 3 2 4 2" xfId="1178" xr:uid="{00000000-0005-0000-0000-000034040000}"/>
    <cellStyle name="Normal 7 2 3 2 5" xfId="520" xr:uid="{00000000-0005-0000-0000-000035040000}"/>
    <cellStyle name="Normal 7 2 3 2 6" xfId="1179" xr:uid="{00000000-0005-0000-0000-000036040000}"/>
    <cellStyle name="Normal 7 2 3 3" xfId="521" xr:uid="{00000000-0005-0000-0000-000037040000}"/>
    <cellStyle name="Normal 7 2 4" xfId="522" xr:uid="{00000000-0005-0000-0000-000038040000}"/>
    <cellStyle name="Normal 7 2 4 2" xfId="523" xr:uid="{00000000-0005-0000-0000-000039040000}"/>
    <cellStyle name="Normal 7 2 4 2 2" xfId="1180" xr:uid="{00000000-0005-0000-0000-00003A040000}"/>
    <cellStyle name="Normal 7 2 4 3" xfId="1181" xr:uid="{00000000-0005-0000-0000-00003B040000}"/>
    <cellStyle name="Normal 7 2 5" xfId="524" xr:uid="{00000000-0005-0000-0000-00003C040000}"/>
    <cellStyle name="Normal 7 2 5 2" xfId="1182" xr:uid="{00000000-0005-0000-0000-00003D040000}"/>
    <cellStyle name="Normal 7 2 6" xfId="1183" xr:uid="{00000000-0005-0000-0000-00003E040000}"/>
    <cellStyle name="Normal 7 3" xfId="525" xr:uid="{00000000-0005-0000-0000-00003F040000}"/>
    <cellStyle name="Normal 7 3 2" xfId="526" xr:uid="{00000000-0005-0000-0000-000040040000}"/>
    <cellStyle name="Normal 7 3 2 2" xfId="527" xr:uid="{00000000-0005-0000-0000-000041040000}"/>
    <cellStyle name="Normal 7 3 2 3" xfId="1184" xr:uid="{00000000-0005-0000-0000-000042040000}"/>
    <cellStyle name="Normal 7 3 3" xfId="528" xr:uid="{00000000-0005-0000-0000-000043040000}"/>
    <cellStyle name="Normal 7 3 3 2" xfId="1185" xr:uid="{00000000-0005-0000-0000-000044040000}"/>
    <cellStyle name="Normal 7 4" xfId="529" xr:uid="{00000000-0005-0000-0000-000045040000}"/>
    <cellStyle name="Normal 7 4 2" xfId="530" xr:uid="{00000000-0005-0000-0000-000046040000}"/>
    <cellStyle name="Normal 7 4 3" xfId="531" xr:uid="{00000000-0005-0000-0000-000047040000}"/>
    <cellStyle name="Normal 7 4 3 2" xfId="1186" xr:uid="{00000000-0005-0000-0000-000048040000}"/>
    <cellStyle name="Normal 7 5" xfId="532" xr:uid="{00000000-0005-0000-0000-000049040000}"/>
    <cellStyle name="Normal 7 5 2" xfId="533" xr:uid="{00000000-0005-0000-0000-00004A040000}"/>
    <cellStyle name="Normal 7 5 3" xfId="534" xr:uid="{00000000-0005-0000-0000-00004B040000}"/>
    <cellStyle name="Normal 7 5 3 2" xfId="1187" xr:uid="{00000000-0005-0000-0000-00004C040000}"/>
    <cellStyle name="Normal 7 6" xfId="535" xr:uid="{00000000-0005-0000-0000-00004D040000}"/>
    <cellStyle name="Normal 7 6 2" xfId="536" xr:uid="{00000000-0005-0000-0000-00004E040000}"/>
    <cellStyle name="Normal 7 6 3" xfId="537" xr:uid="{00000000-0005-0000-0000-00004F040000}"/>
    <cellStyle name="Normal 7 6 4" xfId="1188" xr:uid="{00000000-0005-0000-0000-000050040000}"/>
    <cellStyle name="Normal 7 6 4 2" xfId="1189" xr:uid="{00000000-0005-0000-0000-000051040000}"/>
    <cellStyle name="Normal 7 7" xfId="538" xr:uid="{00000000-0005-0000-0000-000052040000}"/>
    <cellStyle name="Normal 7 7 2" xfId="1190" xr:uid="{00000000-0005-0000-0000-000053040000}"/>
    <cellStyle name="Normal 7 7 3" xfId="1191" xr:uid="{00000000-0005-0000-0000-000054040000}"/>
    <cellStyle name="Normal 7 8" xfId="539" xr:uid="{00000000-0005-0000-0000-000055040000}"/>
    <cellStyle name="Normal 7 8 2" xfId="1192" xr:uid="{00000000-0005-0000-0000-000056040000}"/>
    <cellStyle name="Normal 7 9" xfId="540" xr:uid="{00000000-0005-0000-0000-000057040000}"/>
    <cellStyle name="Normal 8" xfId="541" xr:uid="{00000000-0005-0000-0000-000058040000}"/>
    <cellStyle name="Normal 8 2" xfId="542" xr:uid="{00000000-0005-0000-0000-000059040000}"/>
    <cellStyle name="Normal 8 2 2" xfId="543" xr:uid="{00000000-0005-0000-0000-00005A040000}"/>
    <cellStyle name="Normal 8 2 3" xfId="544" xr:uid="{00000000-0005-0000-0000-00005B040000}"/>
    <cellStyle name="Normal 8 3" xfId="545" xr:uid="{00000000-0005-0000-0000-00005C040000}"/>
    <cellStyle name="Normal 8 3 2" xfId="546" xr:uid="{00000000-0005-0000-0000-00005D040000}"/>
    <cellStyle name="Normal 8 3 2 2" xfId="547" xr:uid="{00000000-0005-0000-0000-00005E040000}"/>
    <cellStyle name="Normal 8 3 2 3" xfId="1193" xr:uid="{00000000-0005-0000-0000-00005F040000}"/>
    <cellStyle name="Normal 8 3 2 3 2" xfId="1194" xr:uid="{00000000-0005-0000-0000-000060040000}"/>
    <cellStyle name="Normal 8 3 2 4" xfId="1195" xr:uid="{00000000-0005-0000-0000-000061040000}"/>
    <cellStyle name="Normal 8 4" xfId="548" xr:uid="{00000000-0005-0000-0000-000062040000}"/>
    <cellStyle name="Normal 8 4 2" xfId="549" xr:uid="{00000000-0005-0000-0000-000063040000}"/>
    <cellStyle name="Normal 8 4 3" xfId="1196" xr:uid="{00000000-0005-0000-0000-000064040000}"/>
    <cellStyle name="Normal 8 4 3 2" xfId="1197" xr:uid="{00000000-0005-0000-0000-000065040000}"/>
    <cellStyle name="Normal 8 4 4" xfId="1198" xr:uid="{00000000-0005-0000-0000-000066040000}"/>
    <cellStyle name="Normal 8 5" xfId="1199" xr:uid="{00000000-0005-0000-0000-000067040000}"/>
    <cellStyle name="Normal 8 6" xfId="1200" xr:uid="{00000000-0005-0000-0000-000068040000}"/>
    <cellStyle name="Normal 9" xfId="550" xr:uid="{00000000-0005-0000-0000-000069040000}"/>
    <cellStyle name="Normal 9 2" xfId="551" xr:uid="{00000000-0005-0000-0000-00006A040000}"/>
    <cellStyle name="Normal 9 2 2" xfId="552" xr:uid="{00000000-0005-0000-0000-00006B040000}"/>
    <cellStyle name="Normal 9 2 3" xfId="553" xr:uid="{00000000-0005-0000-0000-00006C040000}"/>
    <cellStyle name="Normal 9 2 3 2" xfId="1201" xr:uid="{00000000-0005-0000-0000-00006D040000}"/>
    <cellStyle name="Normal 9 3" xfId="554" xr:uid="{00000000-0005-0000-0000-00006E040000}"/>
    <cellStyle name="Normal 9 4" xfId="555" xr:uid="{00000000-0005-0000-0000-00006F040000}"/>
    <cellStyle name="Normal 9 5" xfId="556" xr:uid="{00000000-0005-0000-0000-000070040000}"/>
    <cellStyle name="Normal 9 5 2" xfId="1202" xr:uid="{00000000-0005-0000-0000-000071040000}"/>
    <cellStyle name="Normal 9 5 3" xfId="1203" xr:uid="{00000000-0005-0000-0000-000072040000}"/>
    <cellStyle name="Normal 9 6" xfId="1204" xr:uid="{00000000-0005-0000-0000-000073040000}"/>
    <cellStyle name="Normal_AFRPG3" xfId="5" xr:uid="{00000000-0005-0000-0000-000074040000}"/>
    <cellStyle name="Normal_AFRPG41" xfId="6" xr:uid="{00000000-0005-0000-0000-000075040000}"/>
    <cellStyle name="Normal_AFRPG47" xfId="7" xr:uid="{00000000-0005-0000-0000-000076040000}"/>
    <cellStyle name="Normal_AFRPG56" xfId="8" xr:uid="{00000000-0005-0000-0000-000077040000}"/>
    <cellStyle name="Normal_AFRPG59" xfId="9" xr:uid="{00000000-0005-0000-0000-000078040000}"/>
    <cellStyle name="Normal_AFRPG63" xfId="10" xr:uid="{00000000-0005-0000-0000-000079040000}"/>
    <cellStyle name="Normal_AFRPG64" xfId="11" xr:uid="{00000000-0005-0000-0000-00007A040000}"/>
    <cellStyle name="Normal_COVER" xfId="12" xr:uid="{00000000-0005-0000-0000-00007B040000}"/>
    <cellStyle name="Normal_THRESHOLD CALCULATOR v3" xfId="13" xr:uid="{00000000-0005-0000-0000-00007C040000}"/>
    <cellStyle name="Note 2" xfId="557" xr:uid="{00000000-0005-0000-0000-00007D040000}"/>
    <cellStyle name="Note 2 2" xfId="558" xr:uid="{00000000-0005-0000-0000-00007E040000}"/>
    <cellStyle name="Note 2 2 2" xfId="610" xr:uid="{00000000-0005-0000-0000-00007F040000}"/>
    <cellStyle name="Note 2 3" xfId="559" xr:uid="{00000000-0005-0000-0000-000080040000}"/>
    <cellStyle name="Note 2 3 2" xfId="609" xr:uid="{00000000-0005-0000-0000-000081040000}"/>
    <cellStyle name="Note 2 3 2 2" xfId="681" xr:uid="{00000000-0005-0000-0000-000082040000}"/>
    <cellStyle name="Note 2 3 2 2 2" xfId="1013" xr:uid="{00000000-0005-0000-0000-000083040000}"/>
    <cellStyle name="Note 2 3 2 3" xfId="958" xr:uid="{00000000-0005-0000-0000-000084040000}"/>
    <cellStyle name="Note 2 4" xfId="560" xr:uid="{00000000-0005-0000-0000-000085040000}"/>
    <cellStyle name="Note 2 5" xfId="1205" xr:uid="{00000000-0005-0000-0000-000086040000}"/>
    <cellStyle name="Note 2 6" xfId="1206" xr:uid="{00000000-0005-0000-0000-000087040000}"/>
    <cellStyle name="Note 3" xfId="561" xr:uid="{00000000-0005-0000-0000-000088040000}"/>
    <cellStyle name="Note 3 2" xfId="608" xr:uid="{00000000-0005-0000-0000-000089040000}"/>
    <cellStyle name="Note 4" xfId="562" xr:uid="{00000000-0005-0000-0000-00008A040000}"/>
    <cellStyle name="Note 4 2" xfId="607" xr:uid="{00000000-0005-0000-0000-00008B040000}"/>
    <cellStyle name="Note 5" xfId="563" xr:uid="{00000000-0005-0000-0000-00008C040000}"/>
    <cellStyle name="Note 5 2" xfId="606" xr:uid="{00000000-0005-0000-0000-00008D040000}"/>
    <cellStyle name="Note 6" xfId="564" xr:uid="{00000000-0005-0000-0000-00008E040000}"/>
    <cellStyle name="Note 6 2" xfId="605" xr:uid="{00000000-0005-0000-0000-00008F040000}"/>
    <cellStyle name="Output 2" xfId="565" xr:uid="{00000000-0005-0000-0000-000090040000}"/>
    <cellStyle name="Output 2 2" xfId="566" xr:uid="{00000000-0005-0000-0000-000091040000}"/>
    <cellStyle name="Output 2 3" xfId="567" xr:uid="{00000000-0005-0000-0000-000092040000}"/>
    <cellStyle name="Output 2 4" xfId="1207" xr:uid="{00000000-0005-0000-0000-000093040000}"/>
    <cellStyle name="Output 2 5" xfId="1208" xr:uid="{00000000-0005-0000-0000-000094040000}"/>
    <cellStyle name="Output 2 6" xfId="1209" xr:uid="{00000000-0005-0000-0000-000095040000}"/>
    <cellStyle name="Output 3" xfId="568" xr:uid="{00000000-0005-0000-0000-000096040000}"/>
    <cellStyle name="Output 4" xfId="569" xr:uid="{00000000-0005-0000-0000-000097040000}"/>
    <cellStyle name="Percent 10" xfId="570" xr:uid="{00000000-0005-0000-0000-000098040000}"/>
    <cellStyle name="Percent 10 2" xfId="1210" xr:uid="{00000000-0005-0000-0000-000099040000}"/>
    <cellStyle name="Percent 2" xfId="571" xr:uid="{00000000-0005-0000-0000-00009A040000}"/>
    <cellStyle name="Percent 2 2" xfId="572" xr:uid="{00000000-0005-0000-0000-00009B040000}"/>
    <cellStyle name="Percent 2 2 2" xfId="1211" xr:uid="{00000000-0005-0000-0000-00009C040000}"/>
    <cellStyle name="Percent 2 2 3" xfId="1212" xr:uid="{00000000-0005-0000-0000-00009D040000}"/>
    <cellStyle name="Percent 2 3" xfId="573" xr:uid="{00000000-0005-0000-0000-00009E040000}"/>
    <cellStyle name="Percent 2 3 2" xfId="1213" xr:uid="{00000000-0005-0000-0000-00009F040000}"/>
    <cellStyle name="Percent 2 4" xfId="1214" xr:uid="{00000000-0005-0000-0000-0000A0040000}"/>
    <cellStyle name="Percent 3" xfId="574" xr:uid="{00000000-0005-0000-0000-0000A1040000}"/>
    <cellStyle name="Percent 3 2" xfId="575" xr:uid="{00000000-0005-0000-0000-0000A2040000}"/>
    <cellStyle name="Percent 3 2 2" xfId="576" xr:uid="{00000000-0005-0000-0000-0000A3040000}"/>
    <cellStyle name="Percent 3 2 2 2" xfId="1215" xr:uid="{00000000-0005-0000-0000-0000A4040000}"/>
    <cellStyle name="Percent 3 2 2 3" xfId="1216" xr:uid="{00000000-0005-0000-0000-0000A5040000}"/>
    <cellStyle name="Percent 3 2 3" xfId="577" xr:uid="{00000000-0005-0000-0000-0000A6040000}"/>
    <cellStyle name="Percent 3 2 3 2" xfId="1217" xr:uid="{00000000-0005-0000-0000-0000A7040000}"/>
    <cellStyle name="Percent 3 2 3 3" xfId="1218" xr:uid="{00000000-0005-0000-0000-0000A8040000}"/>
    <cellStyle name="Percent 3 2 4" xfId="1219" xr:uid="{00000000-0005-0000-0000-0000A9040000}"/>
    <cellStyle name="Percent 3 2 5" xfId="1220" xr:uid="{00000000-0005-0000-0000-0000AA040000}"/>
    <cellStyle name="Percent 3 3" xfId="578" xr:uid="{00000000-0005-0000-0000-0000AB040000}"/>
    <cellStyle name="Percent 3 3 2" xfId="1221" xr:uid="{00000000-0005-0000-0000-0000AC040000}"/>
    <cellStyle name="Percent 3 3 3" xfId="1222" xr:uid="{00000000-0005-0000-0000-0000AD040000}"/>
    <cellStyle name="Percent 3 4" xfId="579" xr:uid="{00000000-0005-0000-0000-0000AE040000}"/>
    <cellStyle name="Percent 3 5" xfId="1223" xr:uid="{00000000-0005-0000-0000-0000AF040000}"/>
    <cellStyle name="Percent 4" xfId="580" xr:uid="{00000000-0005-0000-0000-0000B0040000}"/>
    <cellStyle name="Percent 4 2" xfId="581" xr:uid="{00000000-0005-0000-0000-0000B1040000}"/>
    <cellStyle name="Percent 4 3" xfId="1224" xr:uid="{00000000-0005-0000-0000-0000B2040000}"/>
    <cellStyle name="Percent 4 4" xfId="1225" xr:uid="{00000000-0005-0000-0000-0000B3040000}"/>
    <cellStyle name="Percent 5" xfId="582" xr:uid="{00000000-0005-0000-0000-0000B4040000}"/>
    <cellStyle name="Percent 5 2" xfId="583" xr:uid="{00000000-0005-0000-0000-0000B5040000}"/>
    <cellStyle name="Percent 5 2 2" xfId="1226" xr:uid="{00000000-0005-0000-0000-0000B6040000}"/>
    <cellStyle name="Percent 5 2 3" xfId="1227" xr:uid="{00000000-0005-0000-0000-0000B7040000}"/>
    <cellStyle name="Percent 5 3" xfId="584" xr:uid="{00000000-0005-0000-0000-0000B8040000}"/>
    <cellStyle name="Percent 5 3 2" xfId="585" xr:uid="{00000000-0005-0000-0000-0000B9040000}"/>
    <cellStyle name="Percent 5 3 2 2" xfId="1228" xr:uid="{00000000-0005-0000-0000-0000BA040000}"/>
    <cellStyle name="Percent 5 3 3" xfId="586" xr:uid="{00000000-0005-0000-0000-0000BB040000}"/>
    <cellStyle name="Percent 5 3 3 2" xfId="587" xr:uid="{00000000-0005-0000-0000-0000BC040000}"/>
    <cellStyle name="Percent 5 3 3 2 2" xfId="1229" xr:uid="{00000000-0005-0000-0000-0000BD040000}"/>
    <cellStyle name="Percent 5 3 3 3" xfId="1230" xr:uid="{00000000-0005-0000-0000-0000BE040000}"/>
    <cellStyle name="Percent 5 3 4" xfId="588" xr:uid="{00000000-0005-0000-0000-0000BF040000}"/>
    <cellStyle name="Percent 5 3 4 2" xfId="1231" xr:uid="{00000000-0005-0000-0000-0000C0040000}"/>
    <cellStyle name="Percent 5 3 5" xfId="589" xr:uid="{00000000-0005-0000-0000-0000C1040000}"/>
    <cellStyle name="Percent 5 3 6" xfId="1232" xr:uid="{00000000-0005-0000-0000-0000C2040000}"/>
    <cellStyle name="Percent 5 4" xfId="590" xr:uid="{00000000-0005-0000-0000-0000C3040000}"/>
    <cellStyle name="Percent 5 4 2" xfId="1233" xr:uid="{00000000-0005-0000-0000-0000C4040000}"/>
    <cellStyle name="Percent 5 5" xfId="591" xr:uid="{00000000-0005-0000-0000-0000C5040000}"/>
    <cellStyle name="Percent 5 6" xfId="1234" xr:uid="{00000000-0005-0000-0000-0000C6040000}"/>
    <cellStyle name="Percent 6" xfId="592" xr:uid="{00000000-0005-0000-0000-0000C7040000}"/>
    <cellStyle name="Percent 6 2" xfId="593" xr:uid="{00000000-0005-0000-0000-0000C8040000}"/>
    <cellStyle name="Percent 6 2 2" xfId="1235" xr:uid="{00000000-0005-0000-0000-0000C9040000}"/>
    <cellStyle name="Percent 6 3" xfId="1236" xr:uid="{00000000-0005-0000-0000-0000CA040000}"/>
    <cellStyle name="Percent 7" xfId="594" xr:uid="{00000000-0005-0000-0000-0000CB040000}"/>
    <cellStyle name="Percent 7 2" xfId="1238" xr:uid="{00000000-0005-0000-0000-0000CC040000}"/>
    <cellStyle name="Percent 7 3" xfId="1237" xr:uid="{00000000-0005-0000-0000-0000CD040000}"/>
    <cellStyle name="Percent 7 3 2" xfId="1247" xr:uid="{00000000-0005-0000-0000-0000CE040000}"/>
    <cellStyle name="Title 2" xfId="24" xr:uid="{00000000-0005-0000-0000-0000CF040000}"/>
    <cellStyle name="Title 3" xfId="1239" xr:uid="{00000000-0005-0000-0000-0000D0040000}"/>
    <cellStyle name="Title 4" xfId="1240" xr:uid="{00000000-0005-0000-0000-0000D1040000}"/>
    <cellStyle name="Total 2" xfId="595" xr:uid="{00000000-0005-0000-0000-0000D2040000}"/>
    <cellStyle name="Total 2 2" xfId="596" xr:uid="{00000000-0005-0000-0000-0000D3040000}"/>
    <cellStyle name="Total 2 3" xfId="597" xr:uid="{00000000-0005-0000-0000-0000D4040000}"/>
    <cellStyle name="Total 2 4" xfId="1241" xr:uid="{00000000-0005-0000-0000-0000D5040000}"/>
    <cellStyle name="Total 2 5" xfId="1242" xr:uid="{00000000-0005-0000-0000-0000D6040000}"/>
    <cellStyle name="Total 2 5 2" xfId="1244" xr:uid="{00000000-0005-0000-0000-0000D7040000}"/>
    <cellStyle name="Total 2 6" xfId="1243" xr:uid="{00000000-0005-0000-0000-0000D8040000}"/>
    <cellStyle name="Total 2 6 2" xfId="1248" xr:uid="{00000000-0005-0000-0000-0000D9040000}"/>
    <cellStyle name="Total 3" xfId="598" xr:uid="{00000000-0005-0000-0000-0000DA040000}"/>
    <cellStyle name="Total 4" xfId="599" xr:uid="{00000000-0005-0000-0000-0000DB040000}"/>
    <cellStyle name="Warning Text 2" xfId="600" xr:uid="{00000000-0005-0000-0000-0000DC040000}"/>
    <cellStyle name="Warning Text 2 2" xfId="601" xr:uid="{00000000-0005-0000-0000-0000DD040000}"/>
    <cellStyle name="Warning Text 2 3" xfId="602" xr:uid="{00000000-0005-0000-0000-0000DE040000}"/>
    <cellStyle name="Warning Text 3" xfId="603" xr:uid="{00000000-0005-0000-0000-0000DF040000}"/>
    <cellStyle name="Warning Text 4" xfId="604" xr:uid="{00000000-0005-0000-0000-0000E004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14080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3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372341</xdr:colOff>
          <xdr:row>2</xdr:row>
          <xdr:rowOff>43296</xdr:rowOff>
        </xdr:from>
        <xdr:to>
          <xdr:col>1</xdr:col>
          <xdr:colOff>1286741</xdr:colOff>
          <xdr:row>6</xdr:row>
          <xdr:rowOff>81396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J24" sqref="J24:S25"/>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1658</v>
      </c>
      <c r="B1" s="45"/>
      <c r="C1" s="45"/>
      <c r="D1" s="46"/>
      <c r="I1" s="1977" t="s">
        <v>425</v>
      </c>
      <c r="J1" s="1978"/>
      <c r="K1" s="1978"/>
      <c r="L1" s="1978"/>
      <c r="M1" s="1978"/>
      <c r="N1" s="1978"/>
      <c r="O1" s="1978"/>
      <c r="P1" s="1978"/>
      <c r="Q1" s="1978"/>
      <c r="R1" s="1978"/>
      <c r="S1" s="1978"/>
    </row>
    <row r="2" spans="1:28" ht="12" customHeight="1">
      <c r="A2" s="47" t="s">
        <v>1656</v>
      </c>
      <c r="D2" s="48"/>
      <c r="I2" s="1979" t="s">
        <v>1036</v>
      </c>
      <c r="J2" s="1978"/>
      <c r="K2" s="1978"/>
      <c r="L2" s="1978"/>
      <c r="M2" s="1978"/>
      <c r="N2" s="1978"/>
      <c r="O2" s="1978"/>
      <c r="P2" s="1978"/>
      <c r="Q2" s="1978"/>
      <c r="R2" s="1978"/>
      <c r="S2" s="1978"/>
    </row>
    <row r="3" spans="1:28" ht="12" customHeight="1">
      <c r="A3" s="155" t="s">
        <v>1657</v>
      </c>
      <c r="B3" s="156"/>
      <c r="C3" s="156"/>
      <c r="D3" s="157"/>
      <c r="I3" s="1979" t="s">
        <v>54</v>
      </c>
      <c r="J3" s="1978"/>
      <c r="K3" s="1978"/>
      <c r="L3" s="1978"/>
      <c r="M3" s="1978"/>
      <c r="N3" s="1978"/>
      <c r="O3" s="1978"/>
      <c r="P3" s="1978"/>
      <c r="Q3" s="1978"/>
      <c r="R3" s="1978"/>
      <c r="S3" s="1978"/>
    </row>
    <row r="4" spans="1:28" ht="12" customHeight="1">
      <c r="A4" s="37"/>
      <c r="I4" s="1979" t="s">
        <v>545</v>
      </c>
      <c r="J4" s="1978"/>
      <c r="K4" s="1978"/>
      <c r="L4" s="1978"/>
      <c r="M4" s="1978"/>
      <c r="N4" s="1978"/>
      <c r="O4" s="1978"/>
      <c r="P4" s="1978"/>
      <c r="Q4" s="1978"/>
      <c r="R4" s="1978"/>
      <c r="S4" s="1978"/>
    </row>
    <row r="5" spans="1:28" ht="14.1" customHeight="1">
      <c r="B5" s="104"/>
      <c r="C5" s="26" t="s">
        <v>966</v>
      </c>
      <c r="D5" s="84"/>
      <c r="E5" s="84"/>
      <c r="H5" s="38"/>
      <c r="I5" s="1987" t="s">
        <v>701</v>
      </c>
      <c r="J5" s="1986"/>
      <c r="K5" s="1986"/>
      <c r="L5" s="1986"/>
      <c r="M5" s="1986"/>
      <c r="N5" s="1986"/>
      <c r="O5" s="1986"/>
      <c r="P5" s="1986"/>
      <c r="Q5" s="1986"/>
      <c r="R5" s="1986"/>
      <c r="S5" s="1986"/>
    </row>
    <row r="6" spans="1:28" ht="14.1" customHeight="1">
      <c r="B6" s="104"/>
      <c r="C6" s="26" t="s">
        <v>967</v>
      </c>
      <c r="D6" s="84"/>
      <c r="E6" s="84"/>
      <c r="I6" s="1985" t="s">
        <v>938</v>
      </c>
      <c r="J6" s="1986"/>
      <c r="K6" s="1986"/>
      <c r="L6" s="1986"/>
      <c r="M6" s="1986"/>
      <c r="N6" s="1986"/>
      <c r="O6" s="1986"/>
      <c r="P6" s="1986"/>
      <c r="Q6" s="1986"/>
      <c r="R6" s="1986"/>
      <c r="S6" s="1986"/>
    </row>
    <row r="7" spans="1:28" ht="12.2" customHeight="1">
      <c r="I7" s="1980">
        <v>43281</v>
      </c>
      <c r="J7" s="1981"/>
      <c r="K7" s="1981"/>
      <c r="L7" s="1981"/>
      <c r="M7" s="1981"/>
      <c r="N7" s="1981"/>
      <c r="O7" s="1981"/>
      <c r="P7" s="1981"/>
      <c r="Q7" s="1981"/>
      <c r="R7" s="1981"/>
      <c r="S7" s="1981"/>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1982" t="s">
        <v>695</v>
      </c>
      <c r="J9" s="1983"/>
      <c r="K9" s="1983"/>
      <c r="L9" s="1983"/>
      <c r="M9" s="1983"/>
      <c r="N9" s="1983"/>
      <c r="O9" s="1983"/>
      <c r="P9" s="1983"/>
      <c r="Q9" s="1983"/>
      <c r="R9" s="1983"/>
      <c r="S9" s="1984"/>
      <c r="T9" s="1998" t="s">
        <v>554</v>
      </c>
      <c r="U9" s="1999"/>
      <c r="V9" s="1999"/>
      <c r="W9" s="1999"/>
      <c r="X9" s="1999"/>
      <c r="Y9" s="1999"/>
      <c r="Z9" s="1999"/>
      <c r="AA9" s="2000"/>
    </row>
    <row r="10" spans="1:28" ht="13.5" customHeight="1">
      <c r="A10" s="2005" t="s">
        <v>696</v>
      </c>
      <c r="B10" s="2006"/>
      <c r="C10" s="2006"/>
      <c r="D10" s="2006"/>
      <c r="E10" s="2006"/>
      <c r="F10" s="2006"/>
      <c r="G10" s="2006"/>
      <c r="H10" s="2007"/>
      <c r="I10" s="29"/>
      <c r="J10" s="30"/>
      <c r="K10" s="28"/>
      <c r="R10" s="30"/>
      <c r="S10" s="30"/>
      <c r="T10" s="2001"/>
      <c r="U10" s="1986"/>
      <c r="V10" s="1986"/>
      <c r="W10" s="1986"/>
      <c r="X10" s="1986"/>
      <c r="Y10" s="1986"/>
      <c r="Z10" s="1986"/>
      <c r="AA10" s="1992"/>
    </row>
    <row r="11" spans="1:28" ht="14.25" customHeight="1">
      <c r="A11" s="2008" t="s">
        <v>1012</v>
      </c>
      <c r="B11" s="2009"/>
      <c r="C11" s="2009"/>
      <c r="D11" s="2009"/>
      <c r="E11" s="2009"/>
      <c r="F11" s="2009"/>
      <c r="G11" s="2009"/>
      <c r="H11" s="2010"/>
      <c r="I11" s="27"/>
      <c r="J11" s="74"/>
      <c r="K11" s="27"/>
      <c r="O11" s="148" t="s">
        <v>2036</v>
      </c>
      <c r="P11" s="100" t="s">
        <v>210</v>
      </c>
      <c r="Q11" s="30"/>
      <c r="R11" s="28"/>
      <c r="S11" s="27"/>
      <c r="T11" s="2002"/>
      <c r="U11" s="2003"/>
      <c r="V11" s="2003"/>
      <c r="W11" s="2003"/>
      <c r="X11" s="2003"/>
      <c r="Y11" s="2003"/>
      <c r="Z11" s="2003"/>
      <c r="AA11" s="2004"/>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2012">
        <v>47098013002</v>
      </c>
      <c r="B13" s="2013"/>
      <c r="C13" s="2013"/>
      <c r="D13" s="2013"/>
      <c r="E13" s="2013"/>
      <c r="F13" s="2013"/>
      <c r="G13" s="2013"/>
      <c r="H13" s="2014"/>
      <c r="I13" s="31"/>
      <c r="J13" s="30"/>
      <c r="K13" s="28"/>
      <c r="L13" s="30"/>
      <c r="M13" s="30"/>
      <c r="N13" s="30"/>
      <c r="O13" s="30"/>
      <c r="P13" s="30"/>
      <c r="Q13" s="30"/>
      <c r="R13" s="30"/>
      <c r="S13" s="30"/>
      <c r="T13" s="2017" t="s">
        <v>2038</v>
      </c>
      <c r="U13" s="2018"/>
      <c r="V13" s="2018"/>
      <c r="W13" s="2018"/>
      <c r="X13" s="2018"/>
      <c r="Y13" s="2019"/>
      <c r="Z13" s="2019"/>
      <c r="AA13" s="2020"/>
    </row>
    <row r="14" spans="1:28" ht="14.1" customHeight="1">
      <c r="A14" s="85" t="s">
        <v>737</v>
      </c>
      <c r="B14" s="76"/>
      <c r="C14" s="76"/>
      <c r="D14" s="76"/>
      <c r="E14" s="76"/>
      <c r="F14" s="76"/>
      <c r="G14" s="76"/>
      <c r="H14" s="53"/>
      <c r="I14" s="116"/>
      <c r="S14" s="48"/>
      <c r="T14" s="85" t="s">
        <v>1375</v>
      </c>
      <c r="U14" s="51"/>
      <c r="V14" s="51"/>
      <c r="W14" s="51"/>
      <c r="X14" s="51"/>
      <c r="Y14" s="45"/>
      <c r="Z14" s="45"/>
      <c r="AA14" s="46"/>
    </row>
    <row r="15" spans="1:28" ht="13.5" customHeight="1">
      <c r="A15" s="2011" t="s">
        <v>2039</v>
      </c>
      <c r="B15" s="2015"/>
      <c r="C15" s="2015"/>
      <c r="D15" s="2015"/>
      <c r="E15" s="2015"/>
      <c r="F15" s="2015"/>
      <c r="G15" s="2015"/>
      <c r="H15" s="2016"/>
      <c r="T15" s="2021" t="s">
        <v>2040</v>
      </c>
      <c r="U15" s="1965"/>
      <c r="V15" s="1965"/>
      <c r="W15" s="1965"/>
      <c r="X15" s="1965"/>
      <c r="Y15" s="2022"/>
      <c r="Z15" s="2022"/>
      <c r="AA15" s="2023"/>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71" t="s">
        <v>2158</v>
      </c>
      <c r="B17" s="1972"/>
      <c r="C17" s="1972"/>
      <c r="D17" s="1972"/>
      <c r="E17" s="1972"/>
      <c r="F17" s="1972"/>
      <c r="G17" s="1972"/>
      <c r="H17" s="1997"/>
      <c r="T17" s="2028" t="s">
        <v>2045</v>
      </c>
      <c r="U17" s="2029"/>
      <c r="V17" s="2029"/>
      <c r="W17" s="2029"/>
      <c r="X17" s="2029"/>
      <c r="Y17" s="2029"/>
      <c r="Z17" s="2029"/>
      <c r="AA17" s="2030"/>
    </row>
    <row r="18" spans="1:27" ht="13.5" customHeight="1">
      <c r="A18" s="85" t="s">
        <v>551</v>
      </c>
      <c r="B18" s="76"/>
      <c r="C18" s="72"/>
      <c r="D18" s="76"/>
      <c r="E18" s="76"/>
      <c r="F18" s="76"/>
      <c r="G18" s="76"/>
      <c r="H18" s="56"/>
      <c r="I18" s="1996" t="s">
        <v>697</v>
      </c>
      <c r="J18" s="1947"/>
      <c r="K18" s="1947"/>
      <c r="L18" s="1947"/>
      <c r="M18" s="1947"/>
      <c r="N18" s="1947"/>
      <c r="O18" s="1947"/>
      <c r="P18" s="1947"/>
      <c r="Q18" s="1947"/>
      <c r="R18" s="1947"/>
      <c r="S18" s="1948"/>
      <c r="T18" s="85" t="s">
        <v>735</v>
      </c>
      <c r="U18" s="51"/>
      <c r="V18" s="72"/>
      <c r="W18" s="50"/>
      <c r="X18" s="85" t="s">
        <v>284</v>
      </c>
      <c r="Y18" s="81"/>
      <c r="Z18" s="159" t="s">
        <v>698</v>
      </c>
      <c r="AA18" s="46"/>
    </row>
    <row r="19" spans="1:27" ht="13.5" customHeight="1">
      <c r="A19" s="2011" t="s">
        <v>2042</v>
      </c>
      <c r="B19" s="1957"/>
      <c r="C19" s="1957"/>
      <c r="D19" s="1957"/>
      <c r="E19" s="1957"/>
      <c r="F19" s="1957"/>
      <c r="G19" s="1957"/>
      <c r="H19" s="1937"/>
      <c r="I19" s="30"/>
      <c r="J19" s="99"/>
      <c r="K19" s="40"/>
      <c r="L19" s="38"/>
      <c r="M19" s="112" t="s">
        <v>333</v>
      </c>
      <c r="P19" s="27"/>
      <c r="Q19" s="27"/>
      <c r="R19" s="27"/>
      <c r="S19" s="31"/>
      <c r="T19" s="2011" t="s">
        <v>2046</v>
      </c>
      <c r="U19" s="1936"/>
      <c r="V19" s="1936"/>
      <c r="W19" s="1937"/>
      <c r="X19" s="2026" t="s">
        <v>2047</v>
      </c>
      <c r="Y19" s="2027"/>
      <c r="Z19" s="2024">
        <v>61081</v>
      </c>
      <c r="AA19" s="2025"/>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35" t="s">
        <v>2043</v>
      </c>
      <c r="B21" s="1936"/>
      <c r="C21" s="1936"/>
      <c r="D21" s="1936"/>
      <c r="E21" s="1936"/>
      <c r="F21" s="1936"/>
      <c r="G21" s="1936"/>
      <c r="H21" s="1937"/>
      <c r="I21" s="1991" t="s">
        <v>699</v>
      </c>
      <c r="J21" s="1986"/>
      <c r="K21" s="1986"/>
      <c r="L21" s="1986"/>
      <c r="M21" s="1986"/>
      <c r="N21" s="1986"/>
      <c r="O21" s="1986"/>
      <c r="P21" s="1986"/>
      <c r="Q21" s="1986"/>
      <c r="R21" s="1986"/>
      <c r="S21" s="1992"/>
      <c r="T21" s="2035" t="s">
        <v>2048</v>
      </c>
      <c r="U21" s="2036"/>
      <c r="V21" s="2036"/>
      <c r="W21" s="2036"/>
      <c r="X21" s="2041" t="s">
        <v>2049</v>
      </c>
      <c r="Y21" s="2042"/>
      <c r="Z21" s="2042"/>
      <c r="AA21" s="2043"/>
    </row>
    <row r="22" spans="1:27" ht="13.5" customHeight="1">
      <c r="A22" s="87" t="s">
        <v>552</v>
      </c>
      <c r="B22" s="59"/>
      <c r="C22" s="59"/>
      <c r="D22" s="59"/>
      <c r="E22" s="59"/>
      <c r="F22" s="59"/>
      <c r="G22" s="59"/>
      <c r="H22" s="60"/>
      <c r="I22" s="1993" t="s">
        <v>1483</v>
      </c>
      <c r="J22" s="1994"/>
      <c r="K22" s="1994"/>
      <c r="L22" s="1994"/>
      <c r="M22" s="1994"/>
      <c r="N22" s="1994"/>
      <c r="O22" s="1994"/>
      <c r="P22" s="1994"/>
      <c r="Q22" s="1994"/>
      <c r="R22" s="1994"/>
      <c r="S22" s="1995"/>
      <c r="T22" s="85" t="s">
        <v>1575</v>
      </c>
      <c r="U22" s="51"/>
      <c r="V22" s="72"/>
      <c r="W22" s="51"/>
      <c r="X22" s="160" t="s">
        <v>1364</v>
      </c>
      <c r="Z22" s="45"/>
      <c r="AA22" s="46"/>
    </row>
    <row r="23" spans="1:27" ht="13.5" customHeight="1">
      <c r="A23" s="1988" t="s">
        <v>2044</v>
      </c>
      <c r="B23" s="1989"/>
      <c r="C23" s="1989"/>
      <c r="D23" s="1989"/>
      <c r="E23" s="1989"/>
      <c r="F23" s="1989"/>
      <c r="G23" s="1989"/>
      <c r="H23" s="1990"/>
      <c r="T23" s="1971" t="s">
        <v>2050</v>
      </c>
      <c r="U23" s="2034"/>
      <c r="V23" s="2034"/>
      <c r="W23" s="2034"/>
      <c r="X23" s="2038">
        <v>43434</v>
      </c>
      <c r="Y23" s="2039"/>
      <c r="Z23" s="2039"/>
      <c r="AA23" s="2040"/>
    </row>
    <row r="24" spans="1:27" ht="14.1" customHeight="1">
      <c r="A24" s="88" t="s">
        <v>698</v>
      </c>
      <c r="B24" s="49"/>
      <c r="C24" s="49"/>
      <c r="D24" s="49"/>
      <c r="E24" s="49"/>
      <c r="F24" s="49"/>
      <c r="G24" s="49"/>
      <c r="H24" s="61"/>
      <c r="J24" s="1958" t="str">
        <f>IF(B5="x",IF(AUDITCHECK!D29="AFR form Incomplete.","",IF(AUDITCHECK!D29="Deficit reduction plan is required.","School District must complete a deficit reduction plan in the 2018-2019 Budget",)),"")</f>
        <v/>
      </c>
      <c r="K24" s="1958"/>
      <c r="L24" s="1958"/>
      <c r="M24" s="1958"/>
      <c r="N24" s="1958"/>
      <c r="O24" s="1958"/>
      <c r="P24" s="1958"/>
      <c r="Q24" s="1958"/>
      <c r="R24" s="1958"/>
      <c r="S24" s="1959"/>
      <c r="T24" s="105" t="s">
        <v>552</v>
      </c>
      <c r="U24" s="106"/>
      <c r="V24" s="106"/>
      <c r="W24" s="106"/>
      <c r="X24" s="107"/>
      <c r="Y24" s="107"/>
      <c r="Z24" s="107"/>
      <c r="AA24" s="108"/>
    </row>
    <row r="25" spans="1:27" ht="14.1" customHeight="1">
      <c r="A25" s="1935">
        <v>61071</v>
      </c>
      <c r="B25" s="1936"/>
      <c r="C25" s="1936"/>
      <c r="D25" s="1936"/>
      <c r="E25" s="1936"/>
      <c r="F25" s="1936"/>
      <c r="G25" s="1936"/>
      <c r="H25" s="1937"/>
      <c r="I25" s="113"/>
      <c r="J25" s="1960"/>
      <c r="K25" s="1960"/>
      <c r="L25" s="1960"/>
      <c r="M25" s="1960"/>
      <c r="N25" s="1960"/>
      <c r="O25" s="1960"/>
      <c r="P25" s="1960"/>
      <c r="Q25" s="1960"/>
      <c r="R25" s="1960"/>
      <c r="S25" s="1961"/>
      <c r="T25" s="2031" t="s">
        <v>2051</v>
      </c>
      <c r="U25" s="2032"/>
      <c r="V25" s="2032"/>
      <c r="W25" s="2032"/>
      <c r="X25" s="2032"/>
      <c r="Y25" s="2032"/>
      <c r="Z25" s="2032"/>
      <c r="AA25" s="2033"/>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1946" t="s">
        <v>1570</v>
      </c>
      <c r="J27" s="1947"/>
      <c r="K27" s="1947"/>
      <c r="L27" s="1947"/>
      <c r="M27" s="1947"/>
      <c r="N27" s="1947"/>
      <c r="O27" s="1947"/>
      <c r="P27" s="1947"/>
      <c r="Q27" s="1947"/>
      <c r="R27" s="1947"/>
      <c r="S27" s="1948"/>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t="s">
        <v>2036</v>
      </c>
      <c r="C29" s="124" t="s">
        <v>874</v>
      </c>
      <c r="D29" s="114"/>
      <c r="E29" s="136"/>
      <c r="F29" s="141" t="s">
        <v>1362</v>
      </c>
      <c r="G29" s="114"/>
      <c r="I29" s="54"/>
      <c r="J29" s="148" t="s">
        <v>2036</v>
      </c>
      <c r="K29" s="28" t="s">
        <v>597</v>
      </c>
      <c r="L29" s="102"/>
      <c r="M29" s="40" t="s">
        <v>101</v>
      </c>
      <c r="N29" s="32" t="s">
        <v>1583</v>
      </c>
      <c r="O29" s="32"/>
      <c r="P29" s="32"/>
      <c r="Q29" s="32"/>
      <c r="R29" s="32"/>
      <c r="S29" s="123"/>
      <c r="T29" s="6"/>
      <c r="U29" s="6"/>
      <c r="V29" s="6"/>
      <c r="W29" s="6"/>
      <c r="X29" s="6"/>
      <c r="Y29" s="6"/>
      <c r="Z29" s="6"/>
      <c r="AA29" s="132"/>
    </row>
    <row r="30" spans="1:27" ht="13.5" customHeight="1">
      <c r="A30" s="153"/>
      <c r="B30" s="136" t="s">
        <v>2036</v>
      </c>
      <c r="C30" s="124" t="s">
        <v>1226</v>
      </c>
      <c r="D30" s="28"/>
      <c r="E30" s="28"/>
      <c r="F30" s="140"/>
      <c r="G30" s="114"/>
      <c r="H30" s="114"/>
      <c r="I30" s="54"/>
      <c r="J30" s="148" t="s">
        <v>2036</v>
      </c>
      <c r="K30" s="28" t="s">
        <v>597</v>
      </c>
      <c r="L30" s="102"/>
      <c r="M30" s="40" t="s">
        <v>101</v>
      </c>
      <c r="N30" s="32" t="s">
        <v>1571</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2036</v>
      </c>
      <c r="K31" s="40" t="s">
        <v>940</v>
      </c>
      <c r="L31" s="102"/>
      <c r="M31" s="40" t="s">
        <v>101</v>
      </c>
      <c r="N31" s="32" t="s">
        <v>1654</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57"/>
      <c r="Q35" s="1936"/>
      <c r="R35" s="1936"/>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71" t="s">
        <v>2052</v>
      </c>
      <c r="B38" s="1972"/>
      <c r="C38" s="1972"/>
      <c r="D38" s="1972"/>
      <c r="E38" s="1972"/>
      <c r="F38" s="1936"/>
      <c r="G38" s="1936"/>
      <c r="H38" s="1937"/>
      <c r="I38" s="1964"/>
      <c r="J38" s="1965"/>
      <c r="K38" s="1965"/>
      <c r="L38" s="1965"/>
      <c r="M38" s="1965"/>
      <c r="N38" s="1965"/>
      <c r="O38" s="1965"/>
      <c r="P38" s="1966"/>
      <c r="Q38" s="1966"/>
      <c r="R38" s="1966"/>
      <c r="S38" s="1967"/>
      <c r="T38" s="2021"/>
      <c r="U38" s="1965"/>
      <c r="V38" s="1965"/>
      <c r="W38" s="1965"/>
      <c r="X38" s="1966"/>
      <c r="Y38" s="1966"/>
      <c r="Z38" s="1966"/>
      <c r="AA38" s="1967"/>
    </row>
    <row r="39" spans="1:27" ht="12" customHeight="1">
      <c r="A39" s="1941" t="s">
        <v>552</v>
      </c>
      <c r="B39" s="1942"/>
      <c r="C39" s="72"/>
      <c r="D39" s="69"/>
      <c r="E39" s="69"/>
      <c r="F39" s="79"/>
      <c r="G39" s="69"/>
      <c r="H39" s="56"/>
      <c r="I39" s="1941" t="s">
        <v>552</v>
      </c>
      <c r="J39" s="1942"/>
      <c r="K39" s="1942"/>
      <c r="L39" s="1942"/>
      <c r="M39" s="1942"/>
      <c r="N39" s="67"/>
      <c r="O39" s="72"/>
      <c r="P39" s="72"/>
      <c r="Q39" s="78"/>
      <c r="R39" s="72"/>
      <c r="S39" s="56"/>
      <c r="T39" s="72" t="s">
        <v>552</v>
      </c>
      <c r="U39" s="51"/>
      <c r="V39" s="72"/>
      <c r="W39" s="50"/>
      <c r="X39" s="78"/>
      <c r="Y39" s="45"/>
      <c r="Z39" s="45"/>
      <c r="AA39" s="46"/>
    </row>
    <row r="40" spans="1:27" ht="13.5" customHeight="1">
      <c r="A40" s="1949" t="s">
        <v>2044</v>
      </c>
      <c r="B40" s="1950"/>
      <c r="C40" s="1951"/>
      <c r="D40" s="1951"/>
      <c r="E40" s="1951"/>
      <c r="F40" s="1952"/>
      <c r="G40" s="1952"/>
      <c r="H40" s="1953"/>
      <c r="I40" s="1974"/>
      <c r="J40" s="1975"/>
      <c r="K40" s="1975"/>
      <c r="L40" s="1975"/>
      <c r="M40" s="1975"/>
      <c r="N40" s="1975"/>
      <c r="O40" s="1975"/>
      <c r="P40" s="1975"/>
      <c r="Q40" s="1975"/>
      <c r="R40" s="1975"/>
      <c r="S40" s="1976"/>
      <c r="T40" s="1974"/>
      <c r="U40" s="2037"/>
      <c r="V40" s="1975"/>
      <c r="W40" s="1975"/>
      <c r="X40" s="1975"/>
      <c r="Y40" s="1975"/>
      <c r="Z40" s="1975"/>
      <c r="AA40" s="1976"/>
    </row>
    <row r="41" spans="1:27" ht="11.6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1963" t="s">
        <v>2053</v>
      </c>
      <c r="B42" s="1955"/>
      <c r="C42" s="1956"/>
      <c r="D42" s="1954" t="s">
        <v>2054</v>
      </c>
      <c r="E42" s="1955"/>
      <c r="F42" s="1955"/>
      <c r="G42" s="1955"/>
      <c r="H42" s="1956"/>
      <c r="I42" s="1938"/>
      <c r="J42" s="1939"/>
      <c r="K42" s="1939"/>
      <c r="L42" s="1939"/>
      <c r="M42" s="1939"/>
      <c r="N42" s="1939"/>
      <c r="O42" s="1940"/>
      <c r="P42" s="1973"/>
      <c r="Q42" s="1939"/>
      <c r="R42" s="1939"/>
      <c r="S42" s="1940"/>
      <c r="T42" s="1938"/>
      <c r="U42" s="1939"/>
      <c r="V42" s="1939"/>
      <c r="W42" s="1940"/>
      <c r="X42" s="1973"/>
      <c r="Y42" s="1939"/>
      <c r="Z42" s="1939"/>
      <c r="AA42" s="1940"/>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1968"/>
      <c r="B44" s="1969"/>
      <c r="C44" s="1969"/>
      <c r="D44" s="1969"/>
      <c r="E44" s="1969"/>
      <c r="F44" s="1969"/>
      <c r="G44" s="1969"/>
      <c r="H44" s="1970"/>
      <c r="I44" s="1943"/>
      <c r="J44" s="1944"/>
      <c r="K44" s="1944"/>
      <c r="L44" s="1944"/>
      <c r="M44" s="1944"/>
      <c r="N44" s="1944"/>
      <c r="O44" s="1944"/>
      <c r="P44" s="1944"/>
      <c r="Q44" s="1944"/>
      <c r="R44" s="1944"/>
      <c r="S44" s="1945"/>
      <c r="T44" s="1943"/>
      <c r="U44" s="1962"/>
      <c r="V44" s="1962"/>
      <c r="W44" s="1962"/>
      <c r="X44" s="1962"/>
      <c r="Y44" s="1962"/>
      <c r="Z44" s="1944"/>
      <c r="AA44" s="1945"/>
    </row>
    <row r="45" spans="1:27" ht="13.5" customHeight="1">
      <c r="A45" s="41" t="s">
        <v>195</v>
      </c>
      <c r="Q45" s="41" t="s">
        <v>1470</v>
      </c>
      <c r="R45" s="41"/>
      <c r="S45" s="41"/>
      <c r="T45" s="147"/>
      <c r="U45" s="41"/>
      <c r="V45" s="41"/>
      <c r="W45" s="41"/>
      <c r="X45" s="41"/>
      <c r="Y45" s="41"/>
      <c r="Z45" s="41"/>
      <c r="AA45" s="41"/>
    </row>
    <row r="46" spans="1:27" ht="10.5" customHeight="1">
      <c r="A46" s="42" t="s">
        <v>1659</v>
      </c>
      <c r="D46" s="41"/>
      <c r="E46" s="41"/>
      <c r="F46" s="41"/>
      <c r="G46" s="41"/>
      <c r="Q46" s="29" t="s">
        <v>1471</v>
      </c>
      <c r="R46" s="41"/>
      <c r="S46" s="41"/>
      <c r="T46" s="41"/>
      <c r="U46" s="41"/>
      <c r="V46" s="41"/>
      <c r="W46" s="41"/>
      <c r="X46" s="41"/>
      <c r="Y46" s="41"/>
      <c r="Z46" s="41"/>
      <c r="AA46" s="41"/>
    </row>
    <row r="47" spans="1:27">
      <c r="A47" s="137"/>
      <c r="Q47" s="41" t="s">
        <v>2026</v>
      </c>
      <c r="R47" s="41"/>
      <c r="S47" s="41"/>
      <c r="T47" s="41"/>
      <c r="U47" s="41"/>
      <c r="V47" s="41"/>
      <c r="W47" s="41"/>
      <c r="X47" s="41"/>
      <c r="Y47" s="41"/>
      <c r="Z47" s="41"/>
      <c r="AA47" s="41"/>
    </row>
    <row r="48" spans="1:27">
      <c r="Q48" s="41" t="s">
        <v>2027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22" zoomScale="110" zoomScaleNormal="110" workbookViewId="0">
      <selection activeCell="I21" sqref="I21:S2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1930</v>
      </c>
      <c r="C4" s="162" t="s">
        <v>1231</v>
      </c>
      <c r="D4" s="169" t="s">
        <v>10</v>
      </c>
      <c r="E4" s="170" t="s">
        <v>22</v>
      </c>
    </row>
    <row r="5" spans="1:5">
      <c r="A5" s="168" t="s">
        <v>1932</v>
      </c>
      <c r="C5" s="162" t="s">
        <v>1231</v>
      </c>
      <c r="D5" s="169" t="s">
        <v>10</v>
      </c>
      <c r="E5" s="170" t="s">
        <v>22</v>
      </c>
    </row>
    <row r="6" spans="1:5">
      <c r="A6" s="168" t="s">
        <v>1931</v>
      </c>
      <c r="C6" s="162" t="s">
        <v>1231</v>
      </c>
      <c r="D6" s="167" t="s">
        <v>11</v>
      </c>
      <c r="E6" s="170" t="s">
        <v>998</v>
      </c>
    </row>
    <row r="7" spans="1:5">
      <c r="A7" s="168" t="s">
        <v>1933</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1934</v>
      </c>
      <c r="C11" s="162" t="s">
        <v>1231</v>
      </c>
      <c r="D11" s="169" t="s">
        <v>14</v>
      </c>
      <c r="E11" s="170" t="s">
        <v>1218</v>
      </c>
    </row>
    <row r="12" spans="1:5">
      <c r="B12" s="169" t="s">
        <v>1935</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1936</v>
      </c>
      <c r="C15" s="162" t="s">
        <v>1231</v>
      </c>
      <c r="D15" s="169" t="s">
        <v>17</v>
      </c>
      <c r="E15" s="170" t="s">
        <v>657</v>
      </c>
    </row>
    <row r="16" spans="1:5">
      <c r="A16" s="172"/>
      <c r="B16" s="162" t="s">
        <v>1937</v>
      </c>
      <c r="C16" s="162" t="s">
        <v>1231</v>
      </c>
      <c r="D16" s="169" t="s">
        <v>702</v>
      </c>
      <c r="E16" s="170" t="s">
        <v>1100</v>
      </c>
    </row>
    <row r="17" spans="1:5">
      <c r="B17" s="167" t="s">
        <v>1045</v>
      </c>
      <c r="C17" s="162" t="s">
        <v>1231</v>
      </c>
    </row>
    <row r="18" spans="1:5">
      <c r="B18" s="167" t="s">
        <v>1943</v>
      </c>
      <c r="D18" s="169" t="s">
        <v>18</v>
      </c>
      <c r="E18" s="170" t="s">
        <v>1101</v>
      </c>
    </row>
    <row r="19" spans="1:5">
      <c r="A19" s="168" t="s">
        <v>1161</v>
      </c>
      <c r="C19" s="162" t="s">
        <v>1231</v>
      </c>
      <c r="D19" s="169"/>
      <c r="E19" s="171"/>
    </row>
    <row r="20" spans="1:5">
      <c r="B20" s="167" t="s">
        <v>1938</v>
      </c>
      <c r="C20" s="162" t="s">
        <v>1231</v>
      </c>
      <c r="D20" s="169" t="s">
        <v>19</v>
      </c>
      <c r="E20" s="170" t="s">
        <v>53</v>
      </c>
    </row>
    <row r="21" spans="1:5">
      <c r="B21" s="167" t="s">
        <v>1939</v>
      </c>
      <c r="C21" s="162" t="s">
        <v>1231</v>
      </c>
      <c r="D21" s="169" t="s">
        <v>20</v>
      </c>
      <c r="E21" s="170" t="s">
        <v>1680</v>
      </c>
    </row>
    <row r="22" spans="1:5">
      <c r="A22" s="168"/>
      <c r="B22" s="162" t="s">
        <v>1927</v>
      </c>
      <c r="C22" s="162" t="s">
        <v>1231</v>
      </c>
      <c r="D22" s="167" t="s">
        <v>1929</v>
      </c>
      <c r="E22" s="1785" t="s">
        <v>1681</v>
      </c>
    </row>
    <row r="23" spans="1:5">
      <c r="A23" s="168"/>
      <c r="B23" s="162" t="s">
        <v>1928</v>
      </c>
      <c r="D23" s="167" t="s">
        <v>658</v>
      </c>
      <c r="E23" s="1785" t="s">
        <v>1016</v>
      </c>
    </row>
    <row r="24" spans="1:5">
      <c r="A24" s="168" t="s">
        <v>1679</v>
      </c>
      <c r="C24" s="162" t="s">
        <v>1231</v>
      </c>
      <c r="D24" s="167" t="s">
        <v>1439</v>
      </c>
      <c r="E24" s="170" t="s">
        <v>1017</v>
      </c>
    </row>
    <row r="25" spans="1:5">
      <c r="A25" s="168" t="s">
        <v>1940</v>
      </c>
      <c r="C25" s="162" t="s">
        <v>1231</v>
      </c>
      <c r="D25" s="169" t="s">
        <v>21</v>
      </c>
      <c r="E25" s="170" t="s">
        <v>1102</v>
      </c>
    </row>
    <row r="26" spans="1:5">
      <c r="A26" s="168" t="s">
        <v>1941</v>
      </c>
      <c r="C26" s="162" t="s">
        <v>1231</v>
      </c>
      <c r="D26" s="169" t="s">
        <v>584</v>
      </c>
      <c r="E26" s="170" t="s">
        <v>1103</v>
      </c>
    </row>
    <row r="27" spans="1:5">
      <c r="A27" s="168" t="s">
        <v>1942</v>
      </c>
      <c r="C27" s="162" t="s">
        <v>1231</v>
      </c>
      <c r="D27" s="169" t="s">
        <v>578</v>
      </c>
      <c r="E27" s="170" t="s">
        <v>704</v>
      </c>
    </row>
    <row r="28" spans="1:5">
      <c r="A28" s="168" t="s">
        <v>1944</v>
      </c>
      <c r="D28" s="169" t="s">
        <v>705</v>
      </c>
      <c r="E28" s="170" t="s">
        <v>1412</v>
      </c>
    </row>
    <row r="29" spans="1:5">
      <c r="A29" s="168" t="s">
        <v>1945</v>
      </c>
      <c r="D29" s="169" t="s">
        <v>1440</v>
      </c>
      <c r="E29" s="170" t="s">
        <v>1421</v>
      </c>
    </row>
    <row r="30" spans="1:5">
      <c r="A30" s="173" t="s">
        <v>1946</v>
      </c>
      <c r="C30" s="162" t="s">
        <v>1231</v>
      </c>
      <c r="D30" s="169" t="s">
        <v>42</v>
      </c>
      <c r="E30" s="170" t="s">
        <v>1039</v>
      </c>
    </row>
    <row r="31" spans="1:5">
      <c r="A31" s="168" t="s">
        <v>1581</v>
      </c>
      <c r="C31" s="162" t="s">
        <v>1231</v>
      </c>
      <c r="D31" s="167"/>
      <c r="E31" s="171"/>
    </row>
    <row r="32" spans="1:5">
      <c r="B32" s="167" t="s">
        <v>1947</v>
      </c>
      <c r="C32" s="162" t="s">
        <v>1231</v>
      </c>
      <c r="D32" s="169" t="s">
        <v>1582</v>
      </c>
      <c r="E32" s="170" t="s">
        <v>1441</v>
      </c>
    </row>
    <row r="33" spans="1:5">
      <c r="A33" s="172"/>
      <c r="D33" s="169"/>
      <c r="E33" s="171"/>
    </row>
    <row r="34" spans="1:5">
      <c r="A34" s="172"/>
      <c r="D34" s="169"/>
      <c r="E34" s="171"/>
    </row>
    <row r="35" spans="1:5" ht="15.75" customHeight="1" thickBot="1">
      <c r="A35" s="2047" t="s">
        <v>1125</v>
      </c>
      <c r="B35" s="2047"/>
      <c r="C35" s="2047"/>
      <c r="D35" s="2047"/>
      <c r="E35" s="204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44" t="s">
        <v>715</v>
      </c>
      <c r="B40" s="2044"/>
      <c r="C40" s="2044"/>
      <c r="D40" s="2044"/>
      <c r="E40" s="2044"/>
    </row>
    <row r="41" spans="1:5">
      <c r="A41" s="2045" t="s">
        <v>1678</v>
      </c>
      <c r="B41" s="2045"/>
      <c r="C41" s="2045"/>
      <c r="D41" s="2045"/>
      <c r="E41" s="2045"/>
    </row>
    <row r="42" spans="1:5" ht="12.95" customHeight="1">
      <c r="A42" s="2046" t="s">
        <v>1080</v>
      </c>
      <c r="B42" s="2046"/>
      <c r="C42" s="2046"/>
      <c r="D42" s="2046"/>
      <c r="E42" s="2046"/>
    </row>
    <row r="43" spans="1:5" ht="6.75" customHeight="1">
      <c r="A43" s="167"/>
      <c r="B43" s="176"/>
    </row>
    <row r="44" spans="1:5">
      <c r="A44" s="185" t="s">
        <v>1040</v>
      </c>
      <c r="B44" s="186" t="s">
        <v>1977</v>
      </c>
    </row>
    <row r="45" spans="1:5" ht="6.75" customHeight="1">
      <c r="A45" s="187"/>
      <c r="B45" s="186"/>
    </row>
    <row r="46" spans="1:5">
      <c r="A46" s="185" t="s">
        <v>1041</v>
      </c>
      <c r="B46" s="169" t="s">
        <v>1683</v>
      </c>
    </row>
    <row r="47" spans="1:5" ht="9.75" customHeight="1">
      <c r="A47" s="189"/>
      <c r="B47" s="188"/>
    </row>
    <row r="48" spans="1:5">
      <c r="A48" s="169" t="s">
        <v>1682</v>
      </c>
      <c r="B48" s="169" t="s">
        <v>1687</v>
      </c>
      <c r="C48" s="177"/>
    </row>
    <row r="49" spans="1:3" ht="9.75" customHeight="1">
      <c r="A49" s="188"/>
      <c r="B49" s="188"/>
      <c r="C49" s="177"/>
    </row>
    <row r="50" spans="1:3">
      <c r="A50" s="200" t="s">
        <v>1684</v>
      </c>
      <c r="B50" s="198" t="s">
        <v>1688</v>
      </c>
    </row>
    <row r="51" spans="1:3">
      <c r="B51" s="169" t="s">
        <v>1835</v>
      </c>
    </row>
    <row r="52" spans="1:3">
      <c r="A52" s="190"/>
      <c r="B52" s="188" t="s">
        <v>1855</v>
      </c>
    </row>
    <row r="53" spans="1:3" ht="4.5" customHeight="1">
      <c r="A53" s="190"/>
      <c r="B53" s="190"/>
    </row>
    <row r="54" spans="1:3">
      <c r="A54" s="190"/>
      <c r="B54" s="201" t="s">
        <v>1685</v>
      </c>
    </row>
    <row r="55" spans="1:3" ht="8.25" customHeight="1">
      <c r="A55" s="190"/>
      <c r="B55" s="191"/>
    </row>
    <row r="56" spans="1:3">
      <c r="A56" s="192"/>
      <c r="B56" s="169" t="s">
        <v>1836</v>
      </c>
    </row>
    <row r="57" spans="1:3">
      <c r="A57" s="193"/>
      <c r="B57" s="190" t="s">
        <v>1838</v>
      </c>
    </row>
    <row r="58" spans="1:3">
      <c r="A58" s="194"/>
      <c r="B58" s="190" t="s">
        <v>1839</v>
      </c>
    </row>
    <row r="59" spans="1:3">
      <c r="A59" s="195"/>
      <c r="B59" s="1437" t="s">
        <v>1840</v>
      </c>
    </row>
    <row r="60" spans="1:3">
      <c r="A60" s="196"/>
      <c r="B60" s="1437" t="s">
        <v>1841</v>
      </c>
    </row>
    <row r="61" spans="1:3" ht="6" customHeight="1">
      <c r="A61" s="197"/>
      <c r="B61" s="189"/>
    </row>
    <row r="62" spans="1:3">
      <c r="A62" s="169" t="s">
        <v>1686</v>
      </c>
      <c r="B62" s="198" t="s">
        <v>1837</v>
      </c>
    </row>
    <row r="63" spans="1:3">
      <c r="A63" s="188"/>
      <c r="B63" s="169" t="s">
        <v>1852</v>
      </c>
    </row>
    <row r="64" spans="1:3">
      <c r="A64" s="195"/>
      <c r="B64" s="1439" t="s">
        <v>1842</v>
      </c>
    </row>
    <row r="65" spans="1:9">
      <c r="A65" s="188"/>
      <c r="B65" s="169" t="s">
        <v>1853</v>
      </c>
    </row>
    <row r="66" spans="1:9">
      <c r="A66" s="190"/>
      <c r="B66" s="190" t="s">
        <v>1843</v>
      </c>
    </row>
    <row r="67" spans="1:9" ht="12" customHeight="1">
      <c r="A67" s="188"/>
      <c r="B67" s="169" t="s">
        <v>1854</v>
      </c>
    </row>
    <row r="68" spans="1:9">
      <c r="A68" s="189"/>
      <c r="B68" s="190" t="s">
        <v>1844</v>
      </c>
    </row>
    <row r="69" spans="1:9">
      <c r="A69" s="190"/>
      <c r="B69" s="188" t="s">
        <v>1845</v>
      </c>
    </row>
    <row r="70" spans="1:9" ht="13.5" customHeight="1">
      <c r="A70" s="190"/>
      <c r="B70" s="188" t="s">
        <v>1846</v>
      </c>
    </row>
    <row r="71" spans="1:9" ht="12" customHeight="1">
      <c r="A71" s="192"/>
      <c r="B71" s="1438" t="s">
        <v>1689</v>
      </c>
    </row>
    <row r="72" spans="1:9" ht="9.1999999999999993" customHeight="1">
      <c r="A72" s="192"/>
      <c r="B72" s="199"/>
    </row>
    <row r="73" spans="1:9">
      <c r="A73" s="189" t="s">
        <v>1690</v>
      </c>
      <c r="B73" s="169" t="s">
        <v>1848</v>
      </c>
    </row>
    <row r="74" spans="1:9">
      <c r="A74" s="189"/>
      <c r="B74" s="169" t="s">
        <v>1847</v>
      </c>
    </row>
    <row r="75" spans="1:9" ht="8.25" customHeight="1">
      <c r="A75" s="189"/>
      <c r="B75" s="189"/>
    </row>
    <row r="76" spans="1:9" ht="12.2" customHeight="1">
      <c r="A76" s="189" t="s">
        <v>1691</v>
      </c>
      <c r="B76" s="198" t="s">
        <v>1849</v>
      </c>
    </row>
    <row r="77" spans="1:9" ht="12.2" customHeight="1">
      <c r="A77" s="190"/>
      <c r="B77" s="169" t="s">
        <v>1692</v>
      </c>
      <c r="C77" s="179"/>
      <c r="D77" s="180"/>
      <c r="E77" s="181"/>
      <c r="F77" s="181"/>
      <c r="G77" s="181"/>
      <c r="H77" s="181"/>
      <c r="I77" s="181"/>
    </row>
    <row r="78" spans="1:9" ht="11.25" customHeight="1">
      <c r="A78" s="190"/>
      <c r="B78" s="190" t="s">
        <v>1851</v>
      </c>
      <c r="C78" s="179"/>
      <c r="D78" s="182"/>
      <c r="E78" s="182"/>
      <c r="F78" s="182"/>
      <c r="G78" s="182"/>
      <c r="H78" s="182"/>
      <c r="I78" s="181"/>
    </row>
    <row r="79" spans="1:9" ht="12.2" customHeight="1">
      <c r="A79" s="190"/>
      <c r="B79" s="169" t="s">
        <v>1693</v>
      </c>
      <c r="C79" s="179"/>
      <c r="D79" s="182"/>
      <c r="E79" s="182"/>
      <c r="F79" s="182"/>
      <c r="G79" s="182"/>
      <c r="H79" s="182"/>
      <c r="I79" s="181"/>
    </row>
    <row r="80" spans="1:9" ht="11.25" customHeight="1">
      <c r="A80" s="189"/>
      <c r="B80" s="190" t="s">
        <v>1850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9" colorId="8" zoomScale="110" zoomScaleNormal="110" workbookViewId="0">
      <selection activeCell="D118" sqref="D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48" t="s">
        <v>1230</v>
      </c>
      <c r="B2" s="2048"/>
      <c r="C2" s="2048"/>
      <c r="D2" s="2048"/>
      <c r="E2" s="2048"/>
      <c r="F2" s="2048"/>
      <c r="G2" s="2048"/>
      <c r="H2" s="2048"/>
      <c r="I2" s="2048"/>
      <c r="J2" s="2048"/>
    </row>
    <row r="3" spans="1:11" s="181" customFormat="1" ht="17.25" customHeight="1">
      <c r="A3" s="207"/>
      <c r="B3" s="207"/>
      <c r="C3" s="208"/>
      <c r="D3" s="209"/>
      <c r="E3" s="210"/>
    </row>
    <row r="4" spans="1:11">
      <c r="A4" s="344" t="s">
        <v>1707</v>
      </c>
      <c r="B4" s="344"/>
      <c r="C4" s="344"/>
      <c r="D4" s="344"/>
      <c r="E4" s="344"/>
      <c r="F4" s="344"/>
      <c r="G4" s="344"/>
      <c r="H4" s="344"/>
      <c r="I4" s="344"/>
      <c r="J4" s="344"/>
      <c r="K4" s="344"/>
    </row>
    <row r="5" spans="1:11">
      <c r="A5" s="237" t="s">
        <v>1708</v>
      </c>
      <c r="B5" s="344"/>
      <c r="C5" s="344"/>
      <c r="D5" s="344"/>
      <c r="E5" s="344"/>
      <c r="F5" s="344"/>
      <c r="G5" s="344"/>
      <c r="H5" s="344"/>
      <c r="I5" s="344"/>
      <c r="J5" s="344"/>
      <c r="K5" s="344"/>
    </row>
    <row r="6" spans="1:11" ht="16.7"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1618</v>
      </c>
    </row>
    <row r="10" spans="1:11" s="181" customFormat="1">
      <c r="A10" s="222"/>
      <c r="B10" s="223"/>
      <c r="C10" s="224"/>
      <c r="D10" s="225" t="s">
        <v>1694</v>
      </c>
    </row>
    <row r="11" spans="1:11" s="181" customFormat="1">
      <c r="A11" s="219"/>
      <c r="B11" s="226"/>
      <c r="C11" s="227">
        <v>2</v>
      </c>
      <c r="D11" s="228" t="s">
        <v>1695</v>
      </c>
    </row>
    <row r="12" spans="1:11" s="181" customFormat="1" hidden="1">
      <c r="A12" s="219"/>
      <c r="B12" s="229"/>
      <c r="C12" s="227"/>
      <c r="D12" s="230"/>
    </row>
    <row r="13" spans="1:11" s="181" customFormat="1">
      <c r="A13" s="219"/>
      <c r="B13" s="226"/>
      <c r="C13" s="227">
        <v>3</v>
      </c>
      <c r="D13" s="228" t="s">
        <v>1696</v>
      </c>
    </row>
    <row r="14" spans="1:11" s="181" customFormat="1">
      <c r="A14" s="219"/>
      <c r="B14" s="226"/>
      <c r="C14" s="227">
        <v>4</v>
      </c>
      <c r="D14" s="228" t="s">
        <v>1697</v>
      </c>
    </row>
    <row r="15" spans="1:11" s="181" customFormat="1">
      <c r="A15" s="219"/>
      <c r="B15" s="226"/>
      <c r="C15" s="227">
        <v>5</v>
      </c>
      <c r="D15" s="231" t="s">
        <v>1026</v>
      </c>
    </row>
    <row r="16" spans="1:11" s="181" customFormat="1">
      <c r="A16" s="219"/>
      <c r="B16" s="226"/>
      <c r="C16" s="227">
        <v>6</v>
      </c>
      <c r="D16" s="231" t="s">
        <v>1513</v>
      </c>
    </row>
    <row r="17" spans="1:4" s="181" customFormat="1" ht="6" hidden="1" customHeight="1">
      <c r="A17" s="219"/>
      <c r="B17" s="229"/>
      <c r="C17" s="227"/>
      <c r="D17" s="232"/>
    </row>
    <row r="18" spans="1:4" s="181" customFormat="1" ht="12" customHeight="1">
      <c r="A18" s="219"/>
      <c r="B18" s="226"/>
      <c r="C18" s="227">
        <v>7</v>
      </c>
      <c r="D18" s="231" t="s">
        <v>1512</v>
      </c>
    </row>
    <row r="19" spans="1:4" s="181" customFormat="1" hidden="1">
      <c r="A19" s="219"/>
      <c r="B19" s="229"/>
      <c r="C19" s="227"/>
      <c r="D19" s="232"/>
    </row>
    <row r="20" spans="1:4" s="181" customFormat="1">
      <c r="A20" s="219"/>
      <c r="B20" s="226"/>
      <c r="C20" s="227">
        <v>8</v>
      </c>
      <c r="D20" s="231" t="s">
        <v>1698</v>
      </c>
    </row>
    <row r="21" spans="1:4" s="181" customFormat="1">
      <c r="A21" s="219"/>
      <c r="B21" s="229"/>
      <c r="C21" s="227"/>
      <c r="D21" s="233" t="s">
        <v>1615</v>
      </c>
    </row>
    <row r="22" spans="1:4" s="181" customFormat="1">
      <c r="A22" s="219"/>
      <c r="B22" s="226"/>
      <c r="C22" s="227">
        <v>9</v>
      </c>
      <c r="D22" s="231" t="s">
        <v>1699</v>
      </c>
    </row>
    <row r="23" spans="1:4" s="181" customFormat="1">
      <c r="A23" s="219"/>
      <c r="B23" s="234"/>
      <c r="C23" s="227"/>
      <c r="D23" s="235" t="s">
        <v>1616</v>
      </c>
    </row>
    <row r="24" spans="1:4" s="181" customFormat="1">
      <c r="A24" s="219"/>
      <c r="B24" s="226"/>
      <c r="C24" s="227">
        <v>10</v>
      </c>
      <c r="D24" s="231" t="s">
        <v>1700</v>
      </c>
    </row>
    <row r="25" spans="1:4" s="181" customFormat="1">
      <c r="A25" s="219"/>
      <c r="B25" s="226"/>
      <c r="C25" s="227">
        <v>11</v>
      </c>
      <c r="D25" s="231" t="s">
        <v>1701</v>
      </c>
    </row>
    <row r="26" spans="1:4" s="181" customFormat="1">
      <c r="A26" s="219"/>
      <c r="B26" s="234"/>
      <c r="C26" s="227"/>
      <c r="D26" s="235" t="s">
        <v>1617</v>
      </c>
    </row>
    <row r="27" spans="1:4" s="181" customFormat="1">
      <c r="A27" s="219"/>
      <c r="B27" s="226"/>
      <c r="C27" s="227">
        <v>12</v>
      </c>
      <c r="D27" s="231" t="s">
        <v>1619</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1702</v>
      </c>
    </row>
    <row r="31" spans="1:4" s="181" customFormat="1">
      <c r="A31" s="219"/>
      <c r="B31" s="226"/>
      <c r="C31" s="227">
        <v>14</v>
      </c>
      <c r="D31" s="231" t="s">
        <v>1660</v>
      </c>
    </row>
    <row r="32" spans="1:4" s="181" customFormat="1">
      <c r="A32" s="219"/>
      <c r="B32" s="236"/>
      <c r="C32" s="227"/>
      <c r="D32" s="237" t="s">
        <v>1857</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62" t="s">
        <v>1703</v>
      </c>
      <c r="B35" s="2063"/>
      <c r="C35" s="2063"/>
      <c r="D35" s="2063"/>
      <c r="E35" s="2064"/>
      <c r="F35" s="2064"/>
      <c r="G35" s="2064"/>
      <c r="H35" s="2064"/>
      <c r="I35" s="2064"/>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1704</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1705</v>
      </c>
    </row>
    <row r="43" spans="1:9" s="181" customFormat="1">
      <c r="A43" s="219"/>
      <c r="B43" s="229"/>
      <c r="C43" s="227"/>
      <c r="D43" s="240" t="s">
        <v>1706</v>
      </c>
    </row>
    <row r="44" spans="1:9" s="181" customFormat="1">
      <c r="A44" s="219"/>
      <c r="B44" s="226"/>
      <c r="C44" s="227">
        <v>18</v>
      </c>
      <c r="D44" s="242" t="s">
        <v>319</v>
      </c>
    </row>
    <row r="45" spans="1:9" s="181" customFormat="1">
      <c r="A45" s="219"/>
      <c r="B45" s="229"/>
      <c r="C45" s="227"/>
      <c r="D45" s="240" t="s">
        <v>197</v>
      </c>
    </row>
    <row r="46" spans="1:9" s="181" customFormat="1" ht="16.7" customHeight="1">
      <c r="A46" s="219"/>
      <c r="B46" s="229"/>
      <c r="C46" s="227"/>
      <c r="D46" s="239"/>
    </row>
    <row r="47" spans="1:9" s="181" customFormat="1">
      <c r="A47" s="2062" t="s">
        <v>331</v>
      </c>
      <c r="B47" s="2065"/>
      <c r="C47" s="2065"/>
      <c r="D47" s="2065"/>
      <c r="E47" s="2066"/>
      <c r="F47" s="2066"/>
      <c r="G47" s="2066"/>
      <c r="H47" s="2066"/>
      <c r="I47" s="2066"/>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1709</v>
      </c>
    </row>
    <row r="51" spans="1:10">
      <c r="B51" s="244"/>
      <c r="C51" s="245">
        <v>21</v>
      </c>
      <c r="D51" s="218" t="s">
        <v>1109</v>
      </c>
    </row>
    <row r="52" spans="1:10">
      <c r="B52" s="246"/>
      <c r="C52" s="245"/>
      <c r="D52" s="240" t="s">
        <v>895</v>
      </c>
    </row>
    <row r="53" spans="1:10" s="181" customFormat="1" ht="15.75" customHeight="1">
      <c r="A53" s="219"/>
      <c r="B53" s="220"/>
      <c r="C53" s="179">
        <v>22</v>
      </c>
      <c r="D53" s="247" t="s">
        <v>1516</v>
      </c>
      <c r="E53" s="248"/>
      <c r="F53" s="249"/>
      <c r="G53" s="249" t="s">
        <v>1515</v>
      </c>
      <c r="H53" s="250"/>
      <c r="I53" s="237" t="s">
        <v>1541</v>
      </c>
    </row>
    <row r="54" spans="1:10" s="181" customFormat="1">
      <c r="A54" s="219"/>
      <c r="B54" s="220" t="s">
        <v>2036</v>
      </c>
      <c r="C54" s="179">
        <v>23</v>
      </c>
      <c r="D54" s="243" t="s">
        <v>1408</v>
      </c>
      <c r="E54" s="248"/>
      <c r="F54" s="249"/>
    </row>
    <row r="55" spans="1:10" s="181" customFormat="1">
      <c r="A55" s="214"/>
      <c r="B55" s="251"/>
      <c r="C55" s="251"/>
      <c r="D55" s="231" t="s">
        <v>1856</v>
      </c>
      <c r="E55" s="252"/>
      <c r="F55" s="252"/>
      <c r="G55" s="252"/>
      <c r="H55" s="252"/>
      <c r="I55" s="252"/>
    </row>
    <row r="56" spans="1:10" s="181" customFormat="1">
      <c r="A56" s="214"/>
      <c r="B56" s="251"/>
      <c r="E56" s="252"/>
      <c r="F56" s="252"/>
      <c r="G56" s="252"/>
      <c r="H56" s="252"/>
      <c r="I56" s="252"/>
    </row>
    <row r="57" spans="1:10" s="181" customFormat="1" ht="12.95" customHeight="1">
      <c r="A57" s="253"/>
      <c r="B57" s="2069" t="s">
        <v>2055</v>
      </c>
      <c r="C57" s="2070"/>
      <c r="D57" s="2070"/>
      <c r="E57" s="2070"/>
      <c r="F57" s="2070"/>
      <c r="G57" s="2070"/>
      <c r="H57" s="2070"/>
      <c r="I57" s="2070"/>
      <c r="J57" s="2071"/>
    </row>
    <row r="58" spans="1:10" s="181" customFormat="1">
      <c r="A58" s="253"/>
      <c r="B58" s="2072"/>
      <c r="C58" s="2073"/>
      <c r="D58" s="2073"/>
      <c r="E58" s="2073"/>
      <c r="F58" s="2073"/>
      <c r="G58" s="2073"/>
      <c r="H58" s="2073"/>
      <c r="I58" s="2073"/>
      <c r="J58" s="2074"/>
    </row>
    <row r="59" spans="1:10" s="181" customFormat="1">
      <c r="A59" s="253"/>
      <c r="B59" s="2072"/>
      <c r="C59" s="2073"/>
      <c r="D59" s="2073"/>
      <c r="E59" s="2073"/>
      <c r="F59" s="2073"/>
      <c r="G59" s="2073"/>
      <c r="H59" s="2073"/>
      <c r="I59" s="2073"/>
      <c r="J59" s="2074"/>
    </row>
    <row r="60" spans="1:10" s="181" customFormat="1">
      <c r="A60" s="253"/>
      <c r="B60" s="2072"/>
      <c r="C60" s="2073"/>
      <c r="D60" s="2073"/>
      <c r="E60" s="2073"/>
      <c r="F60" s="2073"/>
      <c r="G60" s="2073"/>
      <c r="H60" s="2073"/>
      <c r="I60" s="2073"/>
      <c r="J60" s="2074"/>
    </row>
    <row r="61" spans="1:10" s="181" customFormat="1">
      <c r="A61" s="253"/>
      <c r="B61" s="2072"/>
      <c r="C61" s="2073"/>
      <c r="D61" s="2073"/>
      <c r="E61" s="2073"/>
      <c r="F61" s="2073"/>
      <c r="G61" s="2073"/>
      <c r="H61" s="2073"/>
      <c r="I61" s="2073"/>
      <c r="J61" s="2074"/>
    </row>
    <row r="62" spans="1:10" s="181" customFormat="1">
      <c r="A62" s="253"/>
      <c r="B62" s="2072"/>
      <c r="C62" s="2073"/>
      <c r="D62" s="2073"/>
      <c r="E62" s="2073"/>
      <c r="F62" s="2073"/>
      <c r="G62" s="2073"/>
      <c r="H62" s="2073"/>
      <c r="I62" s="2073"/>
      <c r="J62" s="2074"/>
    </row>
    <row r="63" spans="1:10" s="181" customFormat="1">
      <c r="A63" s="253"/>
      <c r="B63" s="2072"/>
      <c r="C63" s="2073"/>
      <c r="D63" s="2073"/>
      <c r="E63" s="2073"/>
      <c r="F63" s="2073"/>
      <c r="G63" s="2073"/>
      <c r="H63" s="2073"/>
      <c r="I63" s="2073"/>
      <c r="J63" s="2074"/>
    </row>
    <row r="64" spans="1:10" s="181" customFormat="1">
      <c r="A64" s="253"/>
      <c r="B64" s="2072"/>
      <c r="C64" s="2073"/>
      <c r="D64" s="2073"/>
      <c r="E64" s="2073"/>
      <c r="F64" s="2073"/>
      <c r="G64" s="2073"/>
      <c r="H64" s="2073"/>
      <c r="I64" s="2073"/>
      <c r="J64" s="2074"/>
    </row>
    <row r="65" spans="1:10" s="181" customFormat="1">
      <c r="A65" s="253"/>
      <c r="B65" s="2072"/>
      <c r="C65" s="2073"/>
      <c r="D65" s="2073"/>
      <c r="E65" s="2073"/>
      <c r="F65" s="2073"/>
      <c r="G65" s="2073"/>
      <c r="H65" s="2073"/>
      <c r="I65" s="2073"/>
      <c r="J65" s="2074"/>
    </row>
    <row r="66" spans="1:10" s="181" customFormat="1">
      <c r="A66" s="253"/>
      <c r="B66" s="2072"/>
      <c r="C66" s="2073"/>
      <c r="D66" s="2073"/>
      <c r="E66" s="2073"/>
      <c r="F66" s="2073"/>
      <c r="G66" s="2073"/>
      <c r="H66" s="2073"/>
      <c r="I66" s="2073"/>
      <c r="J66" s="2074"/>
    </row>
    <row r="67" spans="1:10" s="181" customFormat="1" ht="9.1999999999999993" customHeight="1">
      <c r="A67" s="254"/>
      <c r="B67" s="2075"/>
      <c r="C67" s="2076"/>
      <c r="D67" s="2076"/>
      <c r="E67" s="2076"/>
      <c r="F67" s="2076"/>
      <c r="G67" s="2076"/>
      <c r="H67" s="2076"/>
      <c r="I67" s="2076"/>
      <c r="J67" s="2077"/>
    </row>
    <row r="68" spans="1:10" s="181" customFormat="1" ht="9.1999999999999993" customHeight="1">
      <c r="A68" s="219"/>
      <c r="B68" s="255"/>
      <c r="C68" s="256"/>
      <c r="D68" s="256"/>
      <c r="E68" s="256"/>
      <c r="F68" s="256"/>
      <c r="G68" s="256"/>
      <c r="H68" s="256"/>
    </row>
    <row r="69" spans="1:10" s="181" customFormat="1" ht="16.7" customHeight="1">
      <c r="A69" s="219"/>
      <c r="B69" s="255"/>
      <c r="C69" s="256"/>
      <c r="D69" s="256"/>
      <c r="E69" s="256"/>
      <c r="F69" s="256"/>
      <c r="G69" s="256"/>
      <c r="H69" s="256"/>
    </row>
    <row r="70" spans="1:10" s="181" customFormat="1">
      <c r="A70" s="2062" t="s">
        <v>1369</v>
      </c>
      <c r="B70" s="2065"/>
      <c r="C70" s="2065"/>
      <c r="D70" s="2065"/>
      <c r="E70" s="2066"/>
      <c r="F70" s="2066"/>
      <c r="G70" s="2066"/>
      <c r="H70" s="2066"/>
      <c r="I70" s="2066"/>
    </row>
    <row r="71" spans="1:10" s="181" customFormat="1">
      <c r="A71" s="219"/>
      <c r="C71" s="257"/>
      <c r="D71" s="258" t="s">
        <v>1368</v>
      </c>
      <c r="E71" s="256"/>
      <c r="F71" s="256"/>
      <c r="G71" s="256"/>
      <c r="H71" s="256"/>
    </row>
    <row r="72" spans="1:10" s="181" customFormat="1" ht="5.25" customHeight="1">
      <c r="B72" s="255"/>
      <c r="C72" s="256"/>
      <c r="D72" s="256"/>
      <c r="E72" s="256"/>
      <c r="F72" s="256"/>
      <c r="G72" s="256"/>
      <c r="H72" s="256"/>
    </row>
    <row r="73" spans="1:10" s="181" customFormat="1">
      <c r="A73" s="259" t="s">
        <v>2030</v>
      </c>
      <c r="B73" s="255"/>
      <c r="C73" s="256"/>
      <c r="D73" s="256"/>
      <c r="E73" s="256"/>
      <c r="F73" s="256"/>
      <c r="G73" s="256"/>
      <c r="H73" s="256"/>
    </row>
    <row r="74" spans="1:10" s="181" customFormat="1">
      <c r="A74" s="259" t="s">
        <v>1476</v>
      </c>
      <c r="B74" s="255"/>
      <c r="C74" s="256"/>
      <c r="D74" s="256"/>
      <c r="E74" s="256"/>
      <c r="F74" s="256"/>
      <c r="G74" s="256"/>
      <c r="H74" s="256"/>
    </row>
    <row r="75" spans="1:10" s="181" customFormat="1">
      <c r="A75" s="259" t="s">
        <v>1661</v>
      </c>
      <c r="B75" s="255"/>
      <c r="C75" s="256"/>
      <c r="D75" s="256"/>
      <c r="E75" s="256"/>
      <c r="F75" s="256"/>
      <c r="G75" s="256"/>
      <c r="H75" s="256"/>
    </row>
    <row r="76" spans="1:10" s="181" customFormat="1" ht="18.75" customHeight="1">
      <c r="A76" s="239" t="s">
        <v>1477</v>
      </c>
      <c r="B76" s="255"/>
      <c r="C76" s="256"/>
      <c r="D76" s="256"/>
      <c r="E76" s="256"/>
      <c r="F76" s="256"/>
      <c r="G76" s="256"/>
      <c r="H76" s="256"/>
    </row>
    <row r="77" spans="1:10" s="181" customFormat="1">
      <c r="C77" s="179">
        <v>24</v>
      </c>
      <c r="D77" s="247" t="s">
        <v>1717</v>
      </c>
      <c r="G77" s="297" t="s">
        <v>1980</v>
      </c>
      <c r="I77" s="1786"/>
      <c r="J77" s="261"/>
    </row>
    <row r="78" spans="1:10" s="181" customFormat="1" ht="6" customHeight="1">
      <c r="A78" s="219"/>
      <c r="B78" s="262"/>
      <c r="C78" s="179"/>
      <c r="D78" s="247"/>
      <c r="E78" s="248"/>
      <c r="F78" s="249"/>
    </row>
    <row r="79" spans="1:10" s="181" customFormat="1">
      <c r="A79" s="219"/>
      <c r="B79" s="262"/>
      <c r="C79" s="179">
        <v>25</v>
      </c>
      <c r="D79" s="247" t="s">
        <v>1715</v>
      </c>
      <c r="E79" s="248"/>
      <c r="F79" s="249"/>
    </row>
    <row r="80" spans="1:10" s="181" customFormat="1">
      <c r="A80" s="219"/>
      <c r="B80" s="262"/>
      <c r="C80" s="179"/>
      <c r="D80" s="247" t="s">
        <v>1716</v>
      </c>
      <c r="E80" s="248"/>
      <c r="F80" s="249"/>
    </row>
    <row r="81" spans="1:10" s="181" customFormat="1">
      <c r="A81" s="219"/>
      <c r="B81" s="262"/>
    </row>
    <row r="82" spans="1:10" s="181" customFormat="1" ht="12.95" customHeight="1">
      <c r="A82" s="219"/>
      <c r="B82" s="262"/>
      <c r="C82" s="247"/>
    </row>
    <row r="83" spans="1:10" s="181" customFormat="1" ht="12.95" customHeight="1" thickBot="1">
      <c r="A83" s="2067" t="s">
        <v>1366</v>
      </c>
      <c r="B83" s="2067"/>
      <c r="C83" s="2067"/>
      <c r="D83" s="2068"/>
      <c r="E83" s="263" t="s">
        <v>1403</v>
      </c>
      <c r="F83" s="263" t="s">
        <v>1404</v>
      </c>
      <c r="G83" s="263" t="s">
        <v>1405</v>
      </c>
      <c r="H83" s="263" t="s">
        <v>1406</v>
      </c>
      <c r="I83" s="263" t="s">
        <v>1407</v>
      </c>
      <c r="J83" s="264" t="s">
        <v>158</v>
      </c>
    </row>
    <row r="84" spans="1:10" s="181" customFormat="1" ht="13.5" customHeight="1" thickTop="1">
      <c r="A84" s="265" t="s">
        <v>1498</v>
      </c>
      <c r="B84" s="266"/>
      <c r="C84" s="267"/>
      <c r="D84" s="268"/>
      <c r="E84" s="269"/>
      <c r="F84" s="269"/>
      <c r="G84" s="269"/>
      <c r="H84" s="269"/>
      <c r="I84" s="269"/>
      <c r="J84" s="270"/>
    </row>
    <row r="85" spans="1:10" s="181" customFormat="1" ht="13.5" customHeight="1">
      <c r="A85" s="271" t="s">
        <v>2028</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1367</v>
      </c>
      <c r="B87" s="283"/>
      <c r="C87" s="284"/>
      <c r="D87" s="281"/>
      <c r="E87" s="269"/>
      <c r="F87" s="269"/>
      <c r="G87" s="269"/>
      <c r="H87" s="269"/>
      <c r="I87" s="269"/>
      <c r="J87" s="270"/>
    </row>
    <row r="88" spans="1:10" s="181" customFormat="1" ht="13.5" customHeight="1">
      <c r="A88" s="285" t="s">
        <v>2028</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1710</v>
      </c>
      <c r="C92" s="179"/>
      <c r="E92" s="260"/>
      <c r="F92" s="296"/>
      <c r="H92" s="297"/>
    </row>
    <row r="93" spans="1:10" s="181" customFormat="1" ht="16.7" customHeight="1">
      <c r="A93" s="219"/>
      <c r="B93" s="298" t="s">
        <v>2029</v>
      </c>
      <c r="C93" s="179"/>
      <c r="E93" s="260"/>
      <c r="F93" s="296"/>
      <c r="H93" s="297"/>
    </row>
    <row r="94" spans="1:10" s="181" customFormat="1">
      <c r="A94" s="299" t="s">
        <v>1377</v>
      </c>
      <c r="B94" s="300"/>
      <c r="C94" s="300"/>
      <c r="D94" s="301"/>
      <c r="E94" s="302"/>
      <c r="F94" s="303"/>
      <c r="G94" s="304"/>
      <c r="H94" s="305"/>
      <c r="I94" s="306"/>
    </row>
    <row r="95" spans="1:10" s="181" customFormat="1">
      <c r="A95" s="307"/>
      <c r="B95" s="308" t="s">
        <v>1711</v>
      </c>
      <c r="C95" s="309"/>
      <c r="D95" s="310"/>
      <c r="E95" s="304"/>
      <c r="F95" s="304"/>
      <c r="G95" s="304"/>
      <c r="H95" s="304"/>
      <c r="I95" s="304"/>
    </row>
    <row r="96" spans="1:10" s="181" customFormat="1">
      <c r="A96" s="307" t="s">
        <v>1231</v>
      </c>
      <c r="B96" s="345" t="s">
        <v>1713</v>
      </c>
      <c r="C96" s="309"/>
      <c r="D96" s="311"/>
      <c r="E96" s="311"/>
      <c r="F96" s="311"/>
      <c r="G96" s="311"/>
      <c r="H96" s="311"/>
      <c r="I96" s="304"/>
    </row>
    <row r="97" spans="1:9" s="181" customFormat="1">
      <c r="A97" s="307"/>
      <c r="B97" s="308" t="s">
        <v>1712</v>
      </c>
      <c r="C97" s="309"/>
      <c r="D97" s="311"/>
      <c r="E97" s="311"/>
      <c r="F97" s="311"/>
      <c r="G97" s="311"/>
      <c r="H97" s="311"/>
      <c r="I97" s="304"/>
    </row>
    <row r="98" spans="1:9" s="181" customFormat="1">
      <c r="A98" s="308"/>
      <c r="B98" s="312" t="s">
        <v>1714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49"/>
      <c r="C102" s="2050"/>
      <c r="D102" s="2050"/>
      <c r="E102" s="2050"/>
      <c r="F102" s="2050"/>
      <c r="G102" s="2050"/>
      <c r="H102" s="2050"/>
      <c r="I102" s="2051"/>
    </row>
    <row r="103" spans="1:9" s="181" customFormat="1" ht="11.25" customHeight="1">
      <c r="A103" s="316"/>
      <c r="B103" s="2052"/>
      <c r="C103" s="2053"/>
      <c r="D103" s="2053"/>
      <c r="E103" s="2053"/>
      <c r="F103" s="2053"/>
      <c r="G103" s="2053"/>
      <c r="H103" s="2053"/>
      <c r="I103" s="2054"/>
    </row>
    <row r="104" spans="1:9" s="181" customFormat="1" ht="11.25" customHeight="1">
      <c r="A104" s="316"/>
      <c r="B104" s="2052"/>
      <c r="C104" s="2053"/>
      <c r="D104" s="2053"/>
      <c r="E104" s="2053"/>
      <c r="F104" s="2053"/>
      <c r="G104" s="2053"/>
      <c r="H104" s="2053"/>
      <c r="I104" s="2054"/>
    </row>
    <row r="105" spans="1:9" s="181" customFormat="1">
      <c r="A105" s="316"/>
      <c r="B105" s="2052"/>
      <c r="C105" s="2053"/>
      <c r="D105" s="2053"/>
      <c r="E105" s="2053"/>
      <c r="F105" s="2053"/>
      <c r="G105" s="2053"/>
      <c r="H105" s="2053"/>
      <c r="I105" s="2054"/>
    </row>
    <row r="106" spans="1:9" s="181" customFormat="1" ht="11.25" customHeight="1">
      <c r="A106" s="316"/>
      <c r="B106" s="2052"/>
      <c r="C106" s="2053"/>
      <c r="D106" s="2053"/>
      <c r="E106" s="2053"/>
      <c r="F106" s="2053"/>
      <c r="G106" s="2053"/>
      <c r="H106" s="2053"/>
      <c r="I106" s="2054"/>
    </row>
    <row r="107" spans="1:9" s="181" customFormat="1" ht="11.25" customHeight="1">
      <c r="A107" s="316"/>
      <c r="B107" s="2052"/>
      <c r="C107" s="2053"/>
      <c r="D107" s="2053"/>
      <c r="E107" s="2053"/>
      <c r="F107" s="2053"/>
      <c r="G107" s="2053"/>
      <c r="H107" s="2053"/>
      <c r="I107" s="2054"/>
    </row>
    <row r="108" spans="1:9" s="181" customFormat="1" ht="11.25" customHeight="1">
      <c r="A108" s="316"/>
      <c r="B108" s="2052"/>
      <c r="C108" s="2053"/>
      <c r="D108" s="2053"/>
      <c r="E108" s="2053"/>
      <c r="F108" s="2053"/>
      <c r="G108" s="2053"/>
      <c r="H108" s="2053"/>
      <c r="I108" s="2054"/>
    </row>
    <row r="109" spans="1:9" s="181" customFormat="1" ht="11.25" customHeight="1">
      <c r="A109" s="316"/>
      <c r="B109" s="2052"/>
      <c r="C109" s="2053"/>
      <c r="D109" s="2053"/>
      <c r="E109" s="2053"/>
      <c r="F109" s="2053"/>
      <c r="G109" s="2053"/>
      <c r="H109" s="2053"/>
      <c r="I109" s="2054"/>
    </row>
    <row r="110" spans="1:9" s="181" customFormat="1" ht="11.25" customHeight="1">
      <c r="A110" s="316"/>
      <c r="B110" s="2052"/>
      <c r="C110" s="2053"/>
      <c r="D110" s="2053"/>
      <c r="E110" s="2053"/>
      <c r="F110" s="2053"/>
      <c r="G110" s="2053"/>
      <c r="H110" s="2053"/>
      <c r="I110" s="2054"/>
    </row>
    <row r="111" spans="1:9" s="181" customFormat="1" ht="11.25" customHeight="1">
      <c r="A111" s="316"/>
      <c r="B111" s="2052"/>
      <c r="C111" s="2053"/>
      <c r="D111" s="2053"/>
      <c r="E111" s="2053"/>
      <c r="F111" s="2053"/>
      <c r="G111" s="2053"/>
      <c r="H111" s="2053"/>
      <c r="I111" s="2054"/>
    </row>
    <row r="112" spans="1:9" s="181" customFormat="1" ht="11.25" customHeight="1">
      <c r="A112" s="316"/>
      <c r="B112" s="2055"/>
      <c r="C112" s="2056"/>
      <c r="D112" s="2056"/>
      <c r="E112" s="2056"/>
      <c r="F112" s="2056"/>
      <c r="G112" s="2056"/>
      <c r="H112" s="2056"/>
      <c r="I112" s="2057"/>
    </row>
    <row r="113" spans="1:9" s="181" customFormat="1" ht="11.25" customHeight="1">
      <c r="A113" s="317"/>
      <c r="B113" s="311"/>
      <c r="C113" s="311"/>
      <c r="D113" s="311"/>
      <c r="E113" s="304"/>
      <c r="F113" s="304"/>
      <c r="G113" s="304"/>
      <c r="H113" s="304"/>
      <c r="I113" s="304"/>
    </row>
    <row r="114" spans="1:9" s="181" customFormat="1" ht="18" customHeight="1">
      <c r="A114" s="316"/>
      <c r="B114" s="317"/>
      <c r="C114" s="2058" t="s">
        <v>2038</v>
      </c>
      <c r="D114" s="2058"/>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59" t="s">
        <v>1376</v>
      </c>
      <c r="D117" s="2060"/>
      <c r="E117" s="2061"/>
      <c r="F117" s="2061"/>
      <c r="G117" s="2061"/>
      <c r="H117" s="2061"/>
      <c r="I117" s="304"/>
    </row>
    <row r="118" spans="1:9" s="181" customFormat="1" ht="24" customHeight="1">
      <c r="A118" s="316"/>
      <c r="B118" s="316"/>
      <c r="C118" s="316"/>
      <c r="D118" s="323"/>
      <c r="E118" s="322"/>
      <c r="F118" s="324"/>
      <c r="G118" s="1788"/>
      <c r="H118" s="322"/>
      <c r="I118" s="304"/>
    </row>
    <row r="119" spans="1:9" s="181" customFormat="1" ht="11.25" customHeight="1">
      <c r="A119" s="325"/>
      <c r="B119" s="325"/>
      <c r="C119" s="326"/>
      <c r="D119" s="327" t="s">
        <v>379</v>
      </c>
      <c r="E119" s="310"/>
      <c r="F119" s="1787" t="s">
        <v>1981</v>
      </c>
      <c r="G119" s="328"/>
      <c r="H119" s="328"/>
      <c r="I119" s="304"/>
    </row>
    <row r="120" spans="1:9">
      <c r="A120" s="329"/>
      <c r="B120" s="180"/>
      <c r="C120" s="330"/>
      <c r="D120" s="256"/>
      <c r="E120" s="256"/>
      <c r="F120" s="256"/>
      <c r="G120" s="256"/>
      <c r="H120" s="256"/>
      <c r="I120" s="304"/>
    </row>
    <row r="121" spans="1:9">
      <c r="A121" s="329"/>
      <c r="B121" s="1440" t="s">
        <v>1662</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28E3-BFC1-4254-9F94-490C25AEBC0F}">
  <sheetPr>
    <tabColor rgb="FF00B050"/>
  </sheetPr>
  <dimension ref="A1"/>
  <sheetViews>
    <sheetView topLeftCell="A7" workbookViewId="0">
      <selection activeCell="P26" sqref="P26"/>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I21" sqref="I21:S2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78" t="s">
        <v>404</v>
      </c>
      <c r="B1" s="2078"/>
      <c r="C1" s="2078"/>
      <c r="D1" s="2078"/>
      <c r="E1" s="2078"/>
      <c r="F1" s="2078"/>
      <c r="G1" s="2078"/>
      <c r="H1" s="2078"/>
      <c r="I1" s="2078"/>
      <c r="J1" s="2078"/>
      <c r="K1" s="2078"/>
      <c r="L1" s="2078"/>
      <c r="M1" s="2078"/>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1718</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1719</v>
      </c>
      <c r="E7" s="222"/>
      <c r="F7" s="351" t="s">
        <v>290</v>
      </c>
      <c r="G7" s="222"/>
      <c r="H7" s="222"/>
      <c r="I7" s="222"/>
      <c r="J7" s="352">
        <v>66487088</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1.2500000000000001E-2</v>
      </c>
      <c r="E10" s="356" t="s">
        <v>1062</v>
      </c>
      <c r="F10" s="355">
        <v>5.4749999999999998E-3</v>
      </c>
      <c r="G10" s="356" t="s">
        <v>1062</v>
      </c>
      <c r="H10" s="355">
        <v>1.1999999999999999E-3</v>
      </c>
      <c r="I10" s="356" t="s">
        <v>1063</v>
      </c>
      <c r="J10" s="1680">
        <f>ROUND(D10+F10+H10,5)</f>
        <v>1.9179999999999999E-2</v>
      </c>
      <c r="K10" s="222"/>
      <c r="L10" s="355">
        <v>5.0000000000000001E-4</v>
      </c>
      <c r="M10" s="222"/>
    </row>
    <row r="11" spans="1:14" ht="7.5" customHeight="1">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1720</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81">
        <f>SUM('Acct Summary 7-8'!C8,'Acct Summary 7-8'!D8,'Acct Summary 7-8'!F8,'Acct Summary 7-8'!I8)</f>
        <v>10905123</v>
      </c>
      <c r="E16" s="356"/>
      <c r="F16" s="1681">
        <f>SUM('Acct Summary 7-8'!C17,'Acct Summary 7-8'!D17,'Acct Summary 7-8'!F17)</f>
        <v>9543266</v>
      </c>
      <c r="G16" s="356"/>
      <c r="H16" s="1681">
        <f>SUM(D16-F16)</f>
        <v>1361857</v>
      </c>
      <c r="I16" s="222"/>
      <c r="J16" s="1681">
        <f>SUM('Acct Summary 7-8'!C81,'Acct Summary 7-8'!D81,'Acct Summary 7-8'!F81,'Acct Summary 7-8'!I81)</f>
        <v>4453958</v>
      </c>
      <c r="K16" s="222"/>
      <c r="L16" s="222"/>
      <c r="M16" s="222"/>
    </row>
    <row r="17" spans="1:13" ht="12.2" customHeight="1">
      <c r="A17" s="349"/>
      <c r="B17" s="260" t="s">
        <v>8</v>
      </c>
      <c r="C17" s="237" t="s">
        <v>1442</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95" customHeight="1">
      <c r="A20" s="349" t="s">
        <v>866</v>
      </c>
      <c r="B20" s="349" t="s">
        <v>1721</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81">
        <f>'Short-Term Long-Term Debt 24'!F4</f>
        <v>0</v>
      </c>
      <c r="E22" s="356" t="s">
        <v>1062</v>
      </c>
      <c r="F22" s="1681">
        <f>'Short-Term Long-Term Debt 24'!F15</f>
        <v>0</v>
      </c>
      <c r="G22" s="356" t="s">
        <v>1062</v>
      </c>
      <c r="H22" s="1681">
        <f>'Short-Term Long-Term Debt 24'!F21</f>
        <v>0</v>
      </c>
      <c r="I22" s="356" t="s">
        <v>1062</v>
      </c>
      <c r="J22" s="1681">
        <f>'Short-Term Long-Term Debt 24'!F23</f>
        <v>0</v>
      </c>
      <c r="K22" s="356" t="s">
        <v>1062</v>
      </c>
      <c r="L22" s="1681">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81">
        <f>'Short-Term Long-Term Debt 24'!F27</f>
        <v>0</v>
      </c>
      <c r="E24" s="356" t="s">
        <v>1063</v>
      </c>
      <c r="F24" s="1682">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1999999999999993"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9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2036</v>
      </c>
      <c r="C31" s="367" t="s">
        <v>607</v>
      </c>
      <c r="D31" s="237" t="s">
        <v>1132</v>
      </c>
      <c r="E31" s="222"/>
      <c r="F31" s="222"/>
      <c r="G31" s="363"/>
      <c r="H31" s="1683">
        <f>IF(B31="X",(J7*0.069),IF(B32="X",(J7*0.138),"Enter x in a.or b."))</f>
        <v>4587609.0720000006</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82">
        <f>'Assets-Liab 5-6'!N36</f>
        <v>3427000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9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079"/>
      <c r="C54" s="2080"/>
      <c r="D54" s="2080"/>
      <c r="E54" s="2080"/>
      <c r="F54" s="2080"/>
      <c r="G54" s="2080"/>
      <c r="H54" s="2080"/>
      <c r="I54" s="2080"/>
      <c r="J54" s="2080"/>
      <c r="K54" s="2080"/>
      <c r="L54" s="2081"/>
      <c r="M54" s="380"/>
    </row>
    <row r="55" spans="1:13" ht="12.95" customHeight="1">
      <c r="B55" s="2082"/>
      <c r="C55" s="2083"/>
      <c r="D55" s="2083"/>
      <c r="E55" s="2083"/>
      <c r="F55" s="2083"/>
      <c r="G55" s="2083"/>
      <c r="H55" s="2083"/>
      <c r="I55" s="2083"/>
      <c r="J55" s="2083"/>
      <c r="K55" s="2083"/>
      <c r="L55" s="2084"/>
      <c r="M55" s="380"/>
    </row>
    <row r="56" spans="1:13" ht="12.95" customHeight="1">
      <c r="B56" s="2082"/>
      <c r="C56" s="2083"/>
      <c r="D56" s="2083"/>
      <c r="E56" s="2083"/>
      <c r="F56" s="2083"/>
      <c r="G56" s="2083"/>
      <c r="H56" s="2083"/>
      <c r="I56" s="2083"/>
      <c r="J56" s="2083"/>
      <c r="K56" s="2083"/>
      <c r="L56" s="2084"/>
      <c r="M56" s="222"/>
    </row>
    <row r="57" spans="1:13" ht="12.95" customHeight="1">
      <c r="B57" s="2082"/>
      <c r="C57" s="2083"/>
      <c r="D57" s="2083"/>
      <c r="E57" s="2083"/>
      <c r="F57" s="2083"/>
      <c r="G57" s="2083"/>
      <c r="H57" s="2083"/>
      <c r="I57" s="2083"/>
      <c r="J57" s="2083"/>
      <c r="K57" s="2083"/>
      <c r="L57" s="2084"/>
      <c r="M57" s="222"/>
    </row>
    <row r="58" spans="1:13">
      <c r="B58" s="2085"/>
      <c r="C58" s="2086"/>
      <c r="D58" s="2086"/>
      <c r="E58" s="2086"/>
      <c r="F58" s="2086"/>
      <c r="G58" s="2086"/>
      <c r="H58" s="2086"/>
      <c r="I58" s="2086"/>
      <c r="J58" s="2086"/>
      <c r="K58" s="2086"/>
      <c r="L58" s="208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95" customHeight="1">
      <c r="A61" s="247"/>
      <c r="B61" s="381"/>
      <c r="C61" s="2090"/>
      <c r="D61" s="209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E1" zoomScale="110" zoomScaleNormal="110" workbookViewId="0">
      <selection activeCell="I21" sqref="I21:S2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093"/>
      <c r="B1" s="2094"/>
      <c r="C1" s="2094"/>
      <c r="D1" s="384"/>
      <c r="E1" s="384"/>
      <c r="F1" s="384"/>
      <c r="G1" s="384"/>
      <c r="H1" s="384"/>
      <c r="I1" s="384"/>
      <c r="J1" s="384"/>
      <c r="K1" s="384"/>
      <c r="L1" s="384"/>
      <c r="M1" s="384"/>
      <c r="N1" s="384"/>
      <c r="O1" s="2093"/>
      <c r="P1" s="2094"/>
      <c r="Q1" s="2094"/>
    </row>
    <row r="2" spans="1:18" ht="15">
      <c r="A2" s="2097" t="s">
        <v>577</v>
      </c>
      <c r="B2" s="2097"/>
      <c r="C2" s="2097"/>
      <c r="D2" s="2097"/>
      <c r="E2" s="2097"/>
      <c r="F2" s="2097"/>
      <c r="G2" s="2097"/>
      <c r="H2" s="2097"/>
      <c r="I2" s="2097"/>
      <c r="J2" s="2097"/>
      <c r="K2" s="2097"/>
      <c r="L2" s="2097"/>
      <c r="M2" s="2097"/>
      <c r="N2" s="2097"/>
      <c r="O2" s="2097"/>
      <c r="P2" s="2097"/>
      <c r="Q2" s="2097"/>
      <c r="R2" s="2097"/>
    </row>
    <row r="3" spans="1:18" ht="12.75">
      <c r="A3" s="2098" t="s">
        <v>1459</v>
      </c>
      <c r="B3" s="2098"/>
      <c r="C3" s="2098"/>
      <c r="D3" s="2098"/>
      <c r="E3" s="2098"/>
      <c r="F3" s="2098"/>
      <c r="G3" s="2098"/>
      <c r="H3" s="2098"/>
      <c r="I3" s="2098"/>
      <c r="J3" s="2098"/>
      <c r="K3" s="2098"/>
      <c r="L3" s="2098"/>
      <c r="M3" s="2098"/>
      <c r="N3" s="2098"/>
      <c r="O3" s="2098"/>
      <c r="P3" s="2098"/>
      <c r="Q3" s="2098"/>
      <c r="R3" s="2098"/>
    </row>
    <row r="4" spans="1:18">
      <c r="A4" s="2099" t="s">
        <v>1614</v>
      </c>
      <c r="B4" s="2099"/>
      <c r="C4" s="2099"/>
      <c r="D4" s="2099"/>
      <c r="E4" s="2099"/>
      <c r="F4" s="2099"/>
      <c r="G4" s="2099"/>
      <c r="H4" s="2099"/>
      <c r="I4" s="2099"/>
      <c r="J4" s="2099"/>
      <c r="K4" s="2099"/>
      <c r="L4" s="2099"/>
      <c r="M4" s="2099"/>
      <c r="N4" s="2099"/>
      <c r="O4" s="2099"/>
      <c r="P4" s="2099"/>
      <c r="Q4" s="2099"/>
      <c r="R4" s="209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Rock Falls Elem SD 13</v>
      </c>
      <c r="E7" s="391"/>
      <c r="G7" s="252"/>
      <c r="H7" s="387"/>
      <c r="I7" s="387"/>
      <c r="J7" s="387"/>
      <c r="K7" s="387"/>
      <c r="L7" s="329"/>
      <c r="M7" s="329"/>
      <c r="N7" s="329"/>
      <c r="O7" s="329"/>
      <c r="P7" s="329"/>
    </row>
    <row r="8" spans="1:18" ht="12.75">
      <c r="A8" s="329"/>
      <c r="B8" s="329"/>
      <c r="C8" s="389" t="s">
        <v>1187</v>
      </c>
      <c r="D8" s="392">
        <f>COVER!A13</f>
        <v>47098013002</v>
      </c>
      <c r="E8" s="393"/>
      <c r="G8" s="329"/>
      <c r="H8" s="329"/>
      <c r="I8" s="329"/>
      <c r="J8" s="329"/>
      <c r="K8" s="329"/>
      <c r="L8" s="329"/>
      <c r="M8" s="329"/>
      <c r="N8" s="329"/>
      <c r="O8" s="329"/>
      <c r="P8" s="329"/>
    </row>
    <row r="9" spans="1:18" ht="12.75">
      <c r="A9" s="329"/>
      <c r="B9" s="329"/>
      <c r="C9" s="389" t="s">
        <v>737</v>
      </c>
      <c r="D9" s="394" t="str">
        <f>COVER!A15</f>
        <v>Whiteside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1411</v>
      </c>
      <c r="D12" s="218"/>
      <c r="E12" s="218"/>
      <c r="F12" s="218" t="s">
        <v>1152</v>
      </c>
      <c r="G12" s="402"/>
      <c r="H12" s="403">
        <f>SUM('Acct Summary 7-8'!C81+'Acct Summary 7-8'!D81+'Acct Summary 7-8'!F81+'Acct Summary 7-8'!I81+IF('Acct Summary 7-8'!G81&lt;0,'Acct Summary 7-8'!G81,"0")+IF('Acct Summary 7-8'!J81&lt;0,'Acct Summary 7-8'!J81,"0"))</f>
        <v>4453958</v>
      </c>
      <c r="I12" s="404"/>
      <c r="J12" s="404"/>
      <c r="K12" s="405">
        <f>TRUNC((H12/H13*100000),5)/100000</f>
        <v>0.4084280388</v>
      </c>
      <c r="L12" s="406"/>
      <c r="M12" s="360" t="s">
        <v>1206</v>
      </c>
      <c r="N12" s="360"/>
      <c r="O12" s="407">
        <v>0.35</v>
      </c>
      <c r="P12" s="218"/>
      <c r="Q12" s="218"/>
    </row>
    <row r="13" spans="1:18" s="408" customFormat="1" ht="12.75">
      <c r="A13" s="218"/>
      <c r="B13" s="401"/>
      <c r="C13" s="2095" t="s">
        <v>1370</v>
      </c>
      <c r="D13" s="2096"/>
      <c r="E13" s="218"/>
      <c r="F13" s="409" t="s">
        <v>826</v>
      </c>
      <c r="G13" s="402"/>
      <c r="H13" s="403">
        <f>SUM('Acct Summary 7-8'!C8+'Acct Summary 7-8'!D8+'Acct Summary 7-8'!F8+'Acct Summary 7-8'!I8)+H14</f>
        <v>10905123</v>
      </c>
      <c r="I13" s="404"/>
      <c r="J13" s="404"/>
      <c r="K13" s="410"/>
      <c r="L13" s="218"/>
      <c r="M13" s="360" t="s">
        <v>1207</v>
      </c>
      <c r="N13" s="360"/>
      <c r="O13" s="411">
        <f>(O11*O12)</f>
        <v>1.4</v>
      </c>
      <c r="P13" s="218"/>
      <c r="Q13" s="218"/>
      <c r="R13" s="412"/>
    </row>
    <row r="14" spans="1:18" s="408" customFormat="1" ht="12.75">
      <c r="A14" s="218"/>
      <c r="B14" s="401"/>
      <c r="C14" s="240" t="s">
        <v>1443</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65" customHeight="1">
      <c r="A15" s="216"/>
      <c r="B15" s="396"/>
      <c r="C15" s="218" t="s">
        <v>1457</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9543266</v>
      </c>
      <c r="I17" s="404"/>
      <c r="J17" s="416"/>
      <c r="K17" s="405">
        <f>TRUNC((H17/H18*100000),5)/100000</f>
        <v>0.87511768549999991</v>
      </c>
      <c r="L17" s="406"/>
      <c r="M17" s="417" t="s">
        <v>1233</v>
      </c>
      <c r="O17" s="418" t="str">
        <f>IF(AND(O16="2", J20 &gt; 2),"1",IF(AND(O16 = "1", J20 &gt; 2),"2",IF(AND(O16="1", J20 &gt;1),"1","0")))</f>
        <v>0</v>
      </c>
      <c r="P17" s="218"/>
    </row>
    <row r="18" spans="1:18" s="408" customFormat="1" ht="11.25">
      <c r="A18" s="218"/>
      <c r="B18" s="401"/>
      <c r="C18" s="2095" t="s">
        <v>1363</v>
      </c>
      <c r="D18" s="2096"/>
      <c r="E18" s="218"/>
      <c r="F18" s="419" t="s">
        <v>827</v>
      </c>
      <c r="G18" s="402"/>
      <c r="H18" s="403">
        <f>SUM('Acct Summary 7-8'!C8+'Acct Summary 7-8'!D8+'Acct Summary 7-8'!F8+'Acct Summary 7-8'!I8)+H19</f>
        <v>10905123</v>
      </c>
      <c r="I18" s="404"/>
      <c r="J18" s="404"/>
      <c r="K18" s="410"/>
      <c r="L18" s="218"/>
      <c r="M18" s="360" t="s">
        <v>1206</v>
      </c>
      <c r="N18" s="360"/>
      <c r="O18" s="410">
        <v>0.35</v>
      </c>
      <c r="P18" s="218"/>
    </row>
    <row r="19" spans="1:18" s="408" customFormat="1" ht="11.25">
      <c r="A19" s="218"/>
      <c r="B19" s="401"/>
      <c r="C19" s="240" t="s">
        <v>1443</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1457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65" customHeight="1">
      <c r="A21" s="216"/>
      <c r="B21" s="396"/>
      <c r="C21" s="218" t="s">
        <v>496</v>
      </c>
      <c r="D21" s="216"/>
      <c r="E21" s="216"/>
      <c r="F21" s="216"/>
      <c r="G21" s="414"/>
      <c r="H21" s="395"/>
      <c r="I21" s="216"/>
      <c r="J21" s="216"/>
      <c r="K21" s="395"/>
      <c r="L21" s="216"/>
      <c r="M21" s="415"/>
      <c r="N21" s="415"/>
      <c r="O21" s="216"/>
      <c r="P21" s="216"/>
      <c r="R21" s="384"/>
    </row>
    <row r="22" spans="1:18" ht="11.6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c r="A24" s="218"/>
      <c r="B24" s="401"/>
      <c r="C24" s="2092" t="s">
        <v>1458</v>
      </c>
      <c r="D24" s="2092"/>
      <c r="E24" s="218"/>
      <c r="F24" s="218" t="s">
        <v>465</v>
      </c>
      <c r="G24" s="402"/>
      <c r="H24" s="403">
        <f>SUM('Assets-Liab 5-6'!C4+'Assets-Liab 5-6'!D4+'Assets-Liab 5-6'!F4+'Assets-Liab 5-6'!I4+'Assets-Liab 5-6'!C5+'Assets-Liab 5-6'!D5+'Assets-Liab 5-6'!F5+'Assets-Liab 5-6'!I5)</f>
        <v>4452986</v>
      </c>
      <c r="I24" s="422"/>
      <c r="J24" s="422"/>
      <c r="K24" s="423">
        <f>TRUNC(((H24/H25*100000)/100000),2)</f>
        <v>167.97</v>
      </c>
      <c r="L24" s="424"/>
      <c r="M24" s="360" t="s">
        <v>1206</v>
      </c>
      <c r="N24" s="360"/>
      <c r="O24" s="411">
        <v>0.1</v>
      </c>
      <c r="P24" s="218"/>
    </row>
    <row r="25" spans="1:18" s="408" customFormat="1" ht="12.75">
      <c r="A25" s="218"/>
      <c r="B25" s="401"/>
      <c r="C25" s="218" t="s">
        <v>831</v>
      </c>
      <c r="D25" s="218"/>
      <c r="E25" s="218"/>
      <c r="F25" s="218" t="s">
        <v>466</v>
      </c>
      <c r="G25" s="402"/>
      <c r="H25" s="423">
        <f>ROUND((H17/360),5)</f>
        <v>26509.072219999998</v>
      </c>
      <c r="I25" s="425"/>
      <c r="J25" s="425"/>
      <c r="K25" s="410"/>
      <c r="L25" s="218"/>
      <c r="M25" s="360" t="s">
        <v>1207</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2031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1083938.99566</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c r="A32" s="218"/>
      <c r="B32" s="401"/>
      <c r="C32" s="218" t="s">
        <v>902</v>
      </c>
      <c r="D32" s="218"/>
      <c r="E32" s="218"/>
      <c r="F32" s="218"/>
      <c r="G32" s="402"/>
      <c r="H32" s="403">
        <f>'FP Info 3'!H37</f>
        <v>3427000</v>
      </c>
      <c r="I32" s="420"/>
      <c r="J32" s="420"/>
      <c r="K32" s="423">
        <f>TRUNC(100-((((H32/H33*100))*100)/100),2)</f>
        <v>25.29</v>
      </c>
      <c r="L32" s="406"/>
      <c r="M32" s="360" t="s">
        <v>1206</v>
      </c>
      <c r="N32" s="360"/>
      <c r="O32" s="434">
        <v>0.1</v>
      </c>
    </row>
    <row r="33" spans="1:17" s="408" customFormat="1" ht="11.25">
      <c r="A33" s="218"/>
      <c r="B33" s="401"/>
      <c r="C33" s="218" t="s">
        <v>832</v>
      </c>
      <c r="D33" s="218"/>
      <c r="E33" s="218"/>
      <c r="F33" s="218"/>
      <c r="G33" s="402"/>
      <c r="H33" s="403">
        <f>IF('FP Info 3'!H31="Enter X in a or b"," ",'FP Info 3'!H31)</f>
        <v>4587609.0720000006</v>
      </c>
      <c r="I33" s="420"/>
      <c r="J33" s="420"/>
      <c r="K33" s="403"/>
      <c r="L33" s="218"/>
      <c r="M33" s="435" t="s">
        <v>1207</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3.6999999999999997</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1663</v>
      </c>
      <c r="N37" s="414"/>
      <c r="O37" s="442" t="str">
        <f>IF(O35&gt;3.53,"RECOGNITION",IF(O35&gt;3.07,"REVIEW ",IF(O35&gt;2.61,"WARNING","WATCH")))</f>
        <v>RECOGNITION</v>
      </c>
    </row>
    <row r="38" spans="1:17" ht="16.7"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1565</v>
      </c>
      <c r="I40" s="408"/>
      <c r="J40" s="408"/>
      <c r="K40" s="410"/>
      <c r="L40" s="408"/>
      <c r="M40" s="408"/>
      <c r="N40" s="408"/>
      <c r="O40" s="218"/>
      <c r="P40" s="216"/>
      <c r="Q40" s="216"/>
    </row>
    <row r="41" spans="1:17">
      <c r="G41" s="448"/>
      <c r="H41" s="218" t="s">
        <v>1566</v>
      </c>
      <c r="M41" s="216"/>
      <c r="O41" s="216"/>
      <c r="P41" s="216"/>
      <c r="Q41" s="216"/>
    </row>
    <row r="42" spans="1:17">
      <c r="A42" s="385" t="s">
        <v>1567</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30" activePane="bottomLeft" state="frozen"/>
      <selection activeCell="I21" sqref="I21:S21"/>
      <selection pane="bottomLeft" activeCell="I21" sqref="I21:S2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00" t="s">
        <v>1553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0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02" t="s">
        <v>1030</v>
      </c>
      <c r="B3" s="2103"/>
      <c r="C3" s="1511"/>
      <c r="D3" s="1512"/>
      <c r="E3" s="1512"/>
      <c r="F3" s="1512"/>
      <c r="G3" s="1512"/>
      <c r="H3" s="1512"/>
      <c r="I3" s="1512"/>
      <c r="J3" s="1512"/>
      <c r="K3" s="1512"/>
      <c r="L3" s="1512"/>
      <c r="M3" s="1513"/>
      <c r="N3" s="1514"/>
    </row>
    <row r="4" spans="1:14" ht="13.5" customHeight="1">
      <c r="A4" s="463" t="s">
        <v>1722</v>
      </c>
      <c r="B4" s="464"/>
      <c r="C4" s="465">
        <v>3827499</v>
      </c>
      <c r="D4" s="466">
        <v>301859</v>
      </c>
      <c r="E4" s="466">
        <v>77013</v>
      </c>
      <c r="F4" s="466">
        <v>62771</v>
      </c>
      <c r="G4" s="466">
        <v>246630</v>
      </c>
      <c r="H4" s="466">
        <v>336351</v>
      </c>
      <c r="I4" s="466">
        <v>260857</v>
      </c>
      <c r="J4" s="467">
        <v>258056</v>
      </c>
      <c r="K4" s="466">
        <v>13</v>
      </c>
      <c r="L4" s="466">
        <v>20126</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v>972</v>
      </c>
      <c r="D12" s="466"/>
      <c r="E12" s="466"/>
      <c r="F12" s="466"/>
      <c r="G12" s="466">
        <v>394</v>
      </c>
      <c r="H12" s="466"/>
      <c r="I12" s="466"/>
      <c r="J12" s="467"/>
      <c r="K12" s="466"/>
      <c r="L12" s="466"/>
      <c r="M12" s="469"/>
      <c r="N12" s="469"/>
    </row>
    <row r="13" spans="1:14" ht="13.5" customHeight="1" thickBot="1">
      <c r="A13" s="1684" t="s">
        <v>665</v>
      </c>
      <c r="B13" s="1657"/>
      <c r="C13" s="1685">
        <f>SUM(C4:C12)</f>
        <v>3828471</v>
      </c>
      <c r="D13" s="1685">
        <f t="shared" ref="D13:L13" si="0">SUM(D4:D12)</f>
        <v>301859</v>
      </c>
      <c r="E13" s="1685">
        <f t="shared" si="0"/>
        <v>77013</v>
      </c>
      <c r="F13" s="1685">
        <f t="shared" si="0"/>
        <v>62771</v>
      </c>
      <c r="G13" s="1685">
        <f t="shared" si="0"/>
        <v>247024</v>
      </c>
      <c r="H13" s="1685">
        <f t="shared" si="0"/>
        <v>336351</v>
      </c>
      <c r="I13" s="1685">
        <f t="shared" si="0"/>
        <v>260857</v>
      </c>
      <c r="J13" s="1685">
        <f t="shared" si="0"/>
        <v>258056</v>
      </c>
      <c r="K13" s="1685">
        <f t="shared" si="0"/>
        <v>13</v>
      </c>
      <c r="L13" s="1685">
        <f t="shared" si="0"/>
        <v>20126</v>
      </c>
      <c r="M13" s="468"/>
      <c r="N13" s="469"/>
    </row>
    <row r="14" spans="1:14" ht="18" customHeight="1" thickTop="1">
      <c r="A14" s="2104" t="s">
        <v>149</v>
      </c>
      <c r="B14" s="2105"/>
      <c r="C14" s="1515"/>
      <c r="D14" s="1516"/>
      <c r="E14" s="1516"/>
      <c r="F14" s="1516"/>
      <c r="G14" s="1516"/>
      <c r="H14" s="1516"/>
      <c r="I14" s="1516"/>
      <c r="J14" s="1516"/>
      <c r="K14" s="1516"/>
      <c r="L14" s="1516"/>
      <c r="M14" s="1517"/>
      <c r="N14" s="1518"/>
    </row>
    <row r="15" spans="1:14" s="485" customFormat="1" ht="12.95" customHeight="1">
      <c r="A15" s="482" t="s">
        <v>1447</v>
      </c>
      <c r="B15" s="483">
        <v>210</v>
      </c>
      <c r="C15" s="477"/>
      <c r="D15" s="477"/>
      <c r="E15" s="477"/>
      <c r="F15" s="477"/>
      <c r="G15" s="477"/>
      <c r="H15" s="477"/>
      <c r="I15" s="477"/>
      <c r="J15" s="477"/>
      <c r="K15" s="477"/>
      <c r="L15" s="477"/>
      <c r="M15" s="478"/>
      <c r="N15" s="484"/>
    </row>
    <row r="16" spans="1:14" s="485" customFormat="1" ht="12.95" customHeight="1">
      <c r="A16" s="482" t="s">
        <v>1448</v>
      </c>
      <c r="B16" s="483">
        <v>220</v>
      </c>
      <c r="C16" s="477"/>
      <c r="D16" s="477"/>
      <c r="E16" s="477"/>
      <c r="F16" s="477"/>
      <c r="G16" s="477"/>
      <c r="H16" s="477"/>
      <c r="I16" s="477"/>
      <c r="J16" s="477"/>
      <c r="K16" s="477"/>
      <c r="L16" s="477"/>
      <c r="M16" s="467">
        <v>78800</v>
      </c>
      <c r="N16" s="484"/>
    </row>
    <row r="17" spans="1:14" s="485" customFormat="1" ht="12.95" customHeight="1">
      <c r="A17" s="482" t="s">
        <v>1449</v>
      </c>
      <c r="B17" s="483">
        <v>230</v>
      </c>
      <c r="C17" s="477"/>
      <c r="D17" s="477"/>
      <c r="E17" s="477"/>
      <c r="F17" s="477"/>
      <c r="G17" s="477"/>
      <c r="H17" s="477"/>
      <c r="I17" s="477"/>
      <c r="J17" s="477"/>
      <c r="K17" s="477"/>
      <c r="L17" s="477"/>
      <c r="M17" s="467">
        <v>8858172</v>
      </c>
      <c r="N17" s="484"/>
    </row>
    <row r="18" spans="1:14" s="485" customFormat="1" ht="12.95" customHeight="1">
      <c r="A18" s="482" t="s">
        <v>1450</v>
      </c>
      <c r="B18" s="483">
        <v>240</v>
      </c>
      <c r="C18" s="477"/>
      <c r="D18" s="477"/>
      <c r="E18" s="477"/>
      <c r="F18" s="477"/>
      <c r="G18" s="477"/>
      <c r="H18" s="477"/>
      <c r="I18" s="477"/>
      <c r="J18" s="477"/>
      <c r="K18" s="477"/>
      <c r="L18" s="477"/>
      <c r="M18" s="467">
        <v>4990</v>
      </c>
      <c r="N18" s="484"/>
    </row>
    <row r="19" spans="1:14" s="485" customFormat="1" ht="12.95" customHeight="1">
      <c r="A19" s="482" t="s">
        <v>1451</v>
      </c>
      <c r="B19" s="483">
        <v>250</v>
      </c>
      <c r="C19" s="477"/>
      <c r="D19" s="477"/>
      <c r="E19" s="477"/>
      <c r="F19" s="477"/>
      <c r="G19" s="477"/>
      <c r="H19" s="477"/>
      <c r="I19" s="477"/>
      <c r="J19" s="477"/>
      <c r="K19" s="477"/>
      <c r="L19" s="477"/>
      <c r="M19" s="467">
        <v>553185</v>
      </c>
      <c r="N19" s="484"/>
    </row>
    <row r="20" spans="1:14" s="485" customFormat="1" ht="12.95" customHeight="1">
      <c r="A20" s="482" t="s">
        <v>1452</v>
      </c>
      <c r="B20" s="483">
        <v>260</v>
      </c>
      <c r="C20" s="477"/>
      <c r="D20" s="477"/>
      <c r="E20" s="477"/>
      <c r="F20" s="477"/>
      <c r="G20" s="477"/>
      <c r="H20" s="477"/>
      <c r="I20" s="477"/>
      <c r="J20" s="477"/>
      <c r="K20" s="477"/>
      <c r="L20" s="477"/>
      <c r="M20" s="467"/>
      <c r="N20" s="484"/>
    </row>
    <row r="21" spans="1:14" s="485" customFormat="1" ht="12.95" customHeight="1">
      <c r="A21" s="482" t="s">
        <v>1453</v>
      </c>
      <c r="B21" s="483">
        <v>340</v>
      </c>
      <c r="C21" s="477"/>
      <c r="D21" s="477"/>
      <c r="E21" s="477"/>
      <c r="F21" s="477"/>
      <c r="G21" s="477"/>
      <c r="H21" s="477"/>
      <c r="I21" s="477"/>
      <c r="J21" s="477"/>
      <c r="K21" s="477"/>
      <c r="L21" s="477"/>
      <c r="M21" s="486"/>
      <c r="N21" s="467">
        <v>77013</v>
      </c>
    </row>
    <row r="22" spans="1:14" s="485" customFormat="1" ht="12.95" customHeight="1">
      <c r="A22" s="482" t="s">
        <v>1454</v>
      </c>
      <c r="B22" s="483">
        <v>350</v>
      </c>
      <c r="C22" s="477"/>
      <c r="D22" s="477"/>
      <c r="E22" s="477"/>
      <c r="F22" s="477"/>
      <c r="G22" s="477"/>
      <c r="H22" s="477"/>
      <c r="I22" s="477"/>
      <c r="J22" s="477"/>
      <c r="K22" s="477"/>
      <c r="L22" s="477"/>
      <c r="M22" s="486"/>
      <c r="N22" s="487">
        <f>'Short-Term Long-Term Debt 24'!J49</f>
        <v>3349987</v>
      </c>
    </row>
    <row r="23" spans="1:14" ht="13.5" customHeight="1" thickBot="1">
      <c r="A23" s="1684" t="s">
        <v>664</v>
      </c>
      <c r="B23" s="1689"/>
      <c r="C23" s="468"/>
      <c r="D23" s="468"/>
      <c r="E23" s="468"/>
      <c r="F23" s="468"/>
      <c r="G23" s="468"/>
      <c r="H23" s="468"/>
      <c r="I23" s="468"/>
      <c r="J23" s="468"/>
      <c r="K23" s="468"/>
      <c r="L23" s="468"/>
      <c r="M23" s="1636">
        <f>SUM(M15:M22)</f>
        <v>9495147</v>
      </c>
      <c r="N23" s="1636">
        <f>SUM(N21:N22)</f>
        <v>3427000</v>
      </c>
    </row>
    <row r="24" spans="1:14" ht="18" customHeight="1" thickTop="1">
      <c r="A24" s="2106" t="s">
        <v>619</v>
      </c>
      <c r="B24" s="2107"/>
      <c r="C24" s="1520"/>
      <c r="D24" s="1517"/>
      <c r="E24" s="1517"/>
      <c r="F24" s="1517"/>
      <c r="G24" s="1517"/>
      <c r="H24" s="1517"/>
      <c r="I24" s="1517"/>
      <c r="J24" s="1517"/>
      <c r="K24" s="1517"/>
      <c r="L24" s="1517"/>
      <c r="M24" s="1516"/>
      <c r="N24" s="1521"/>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20126</v>
      </c>
      <c r="M33" s="468"/>
      <c r="N33" s="469"/>
    </row>
    <row r="34" spans="1:14" ht="13.5" customHeight="1" thickBot="1">
      <c r="A34" s="1686" t="s">
        <v>675</v>
      </c>
      <c r="B34" s="1687"/>
      <c r="C34" s="1688">
        <f>SUM(C25:C33)</f>
        <v>0</v>
      </c>
      <c r="D34" s="1688">
        <f t="shared" ref="D34:K34" si="1">SUM(D25:D33)</f>
        <v>0</v>
      </c>
      <c r="E34" s="1688">
        <f t="shared" si="1"/>
        <v>0</v>
      </c>
      <c r="F34" s="1688">
        <f t="shared" si="1"/>
        <v>0</v>
      </c>
      <c r="G34" s="1688">
        <f t="shared" si="1"/>
        <v>0</v>
      </c>
      <c r="H34" s="1688">
        <f t="shared" si="1"/>
        <v>0</v>
      </c>
      <c r="I34" s="1688">
        <f t="shared" si="1"/>
        <v>0</v>
      </c>
      <c r="J34" s="1688">
        <f t="shared" si="1"/>
        <v>0</v>
      </c>
      <c r="K34" s="1688">
        <f t="shared" si="1"/>
        <v>0</v>
      </c>
      <c r="L34" s="1669">
        <f>SUM(L33)</f>
        <v>20126</v>
      </c>
      <c r="M34" s="468"/>
      <c r="N34" s="480"/>
    </row>
    <row r="35" spans="1:14" ht="18" customHeight="1" thickTop="1">
      <c r="A35" s="2108" t="s">
        <v>550</v>
      </c>
      <c r="B35" s="2109"/>
      <c r="C35" s="1522"/>
      <c r="D35" s="1523"/>
      <c r="E35" s="1523"/>
      <c r="F35" s="1523"/>
      <c r="G35" s="1523"/>
      <c r="H35" s="1523"/>
      <c r="I35" s="1523"/>
      <c r="J35" s="1523"/>
      <c r="K35" s="1523"/>
      <c r="L35" s="1523"/>
      <c r="M35" s="1517"/>
      <c r="N35" s="1521"/>
    </row>
    <row r="36" spans="1:14">
      <c r="A36" s="494" t="s">
        <v>1</v>
      </c>
      <c r="B36" s="470">
        <v>511</v>
      </c>
      <c r="C36" s="477"/>
      <c r="D36" s="477"/>
      <c r="E36" s="477"/>
      <c r="F36" s="477"/>
      <c r="G36" s="477"/>
      <c r="H36" s="477"/>
      <c r="I36" s="477"/>
      <c r="J36" s="477"/>
      <c r="K36" s="477"/>
      <c r="L36" s="468"/>
      <c r="M36" s="468"/>
      <c r="N36" s="495">
        <f>'Short-Term Long-Term Debt 24'!I49</f>
        <v>3427000</v>
      </c>
    </row>
    <row r="37" spans="1:14" ht="13.5" thickBot="1">
      <c r="A37" s="1684" t="s">
        <v>674</v>
      </c>
      <c r="B37" s="1689"/>
      <c r="C37" s="477"/>
      <c r="D37" s="477"/>
      <c r="E37" s="477"/>
      <c r="F37" s="477"/>
      <c r="G37" s="477"/>
      <c r="H37" s="477"/>
      <c r="I37" s="477"/>
      <c r="J37" s="477"/>
      <c r="K37" s="477"/>
      <c r="L37" s="480"/>
      <c r="M37" s="468"/>
      <c r="N37" s="1636">
        <f>SUM(N36:N36)</f>
        <v>3427000</v>
      </c>
    </row>
    <row r="38" spans="1:14" s="329" customFormat="1" ht="13.5" customHeight="1" thickTop="1">
      <c r="A38" s="496" t="s">
        <v>440</v>
      </c>
      <c r="B38" s="483">
        <v>714</v>
      </c>
      <c r="C38" s="466">
        <v>156987</v>
      </c>
      <c r="D38" s="466"/>
      <c r="E38" s="466"/>
      <c r="F38" s="466"/>
      <c r="G38" s="466"/>
      <c r="H38" s="466">
        <v>27567</v>
      </c>
      <c r="I38" s="466"/>
      <c r="J38" s="467"/>
      <c r="K38" s="466"/>
      <c r="L38" s="481"/>
      <c r="M38" s="497"/>
      <c r="N38" s="497"/>
    </row>
    <row r="39" spans="1:14" s="329" customFormat="1" ht="13.5" customHeight="1">
      <c r="A39" s="496" t="s">
        <v>360</v>
      </c>
      <c r="B39" s="483">
        <v>730</v>
      </c>
      <c r="C39" s="466">
        <v>3671484</v>
      </c>
      <c r="D39" s="466">
        <v>301859</v>
      </c>
      <c r="E39" s="466">
        <v>77013</v>
      </c>
      <c r="F39" s="466">
        <v>62771</v>
      </c>
      <c r="G39" s="466">
        <v>247024</v>
      </c>
      <c r="H39" s="466">
        <v>308784</v>
      </c>
      <c r="I39" s="466">
        <v>260857</v>
      </c>
      <c r="J39" s="467">
        <v>258056</v>
      </c>
      <c r="K39" s="466">
        <v>13</v>
      </c>
      <c r="L39" s="466"/>
      <c r="M39" s="497"/>
      <c r="N39" s="497"/>
    </row>
    <row r="40" spans="1:14" s="329" customFormat="1" ht="13.5" customHeight="1">
      <c r="A40" s="498" t="s">
        <v>150</v>
      </c>
      <c r="B40" s="499"/>
      <c r="C40" s="500"/>
      <c r="D40" s="500"/>
      <c r="E40" s="500"/>
      <c r="F40" s="500"/>
      <c r="G40" s="500"/>
      <c r="H40" s="500"/>
      <c r="I40" s="500"/>
      <c r="J40" s="500"/>
      <c r="K40" s="500"/>
      <c r="L40" s="500"/>
      <c r="M40" s="467">
        <v>9495147</v>
      </c>
      <c r="N40" s="497"/>
    </row>
    <row r="41" spans="1:14" ht="13.5" customHeight="1" thickBot="1">
      <c r="A41" s="1684" t="s">
        <v>676</v>
      </c>
      <c r="B41" s="1654"/>
      <c r="C41" s="1636">
        <f>(SUM(C34,C37,C38,C39))</f>
        <v>3828471</v>
      </c>
      <c r="D41" s="1636">
        <f t="shared" ref="D41:L41" si="2">SUM(D34,D37,D38:D39)</f>
        <v>301859</v>
      </c>
      <c r="E41" s="1636">
        <f t="shared" si="2"/>
        <v>77013</v>
      </c>
      <c r="F41" s="1636">
        <f t="shared" si="2"/>
        <v>62771</v>
      </c>
      <c r="G41" s="1636">
        <f t="shared" si="2"/>
        <v>247024</v>
      </c>
      <c r="H41" s="1636">
        <f t="shared" si="2"/>
        <v>336351</v>
      </c>
      <c r="I41" s="1636">
        <f t="shared" si="2"/>
        <v>260857</v>
      </c>
      <c r="J41" s="1636">
        <f t="shared" si="2"/>
        <v>258056</v>
      </c>
      <c r="K41" s="1636">
        <f t="shared" si="2"/>
        <v>13</v>
      </c>
      <c r="L41" s="1636">
        <f t="shared" si="2"/>
        <v>20126</v>
      </c>
      <c r="M41" s="1636">
        <f>SUM(M40)</f>
        <v>9495147</v>
      </c>
      <c r="N41" s="1636">
        <f>SUM(N37)</f>
        <v>3427000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&amp;F&amp;CSee Accompanying Notes to Financial Statements.
</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24" activePane="bottomLeft" state="frozenSplit"/>
      <selection activeCell="I21" sqref="I21:S21"/>
      <selection pane="bottomLeft" activeCell="I21" sqref="I21:S21"/>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95" customHeight="1">
      <c r="A1" s="2118" t="s">
        <v>1723</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1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30" t="s">
        <v>1237</v>
      </c>
      <c r="B3" s="2131"/>
      <c r="C3" s="1525"/>
      <c r="D3" s="1526"/>
      <c r="E3" s="1526"/>
      <c r="F3" s="1526"/>
      <c r="G3" s="1526"/>
      <c r="H3" s="1526"/>
      <c r="I3" s="1526"/>
      <c r="J3" s="1526"/>
      <c r="K3" s="1527"/>
      <c r="L3" s="506"/>
    </row>
    <row r="4" spans="1:13" ht="15.75" customHeight="1">
      <c r="A4" s="1879" t="s">
        <v>1558</v>
      </c>
      <c r="B4" s="1880">
        <v>1000</v>
      </c>
      <c r="C4" s="1690">
        <f>'Revenues 9-14'!C109</f>
        <v>1344474</v>
      </c>
      <c r="D4" s="1690">
        <f>'Revenues 9-14'!D109</f>
        <v>536305</v>
      </c>
      <c r="E4" s="1690">
        <f>'Revenues 9-14'!E109</f>
        <v>145097</v>
      </c>
      <c r="F4" s="1690">
        <f>'Revenues 9-14'!F109</f>
        <v>130063</v>
      </c>
      <c r="G4" s="1690">
        <f>'Revenues 9-14'!G109</f>
        <v>326855</v>
      </c>
      <c r="H4" s="1690">
        <f>'Revenues 9-14'!H109</f>
        <v>520526</v>
      </c>
      <c r="I4" s="1690">
        <f>'Revenues 9-14'!I109</f>
        <v>35005</v>
      </c>
      <c r="J4" s="1690">
        <f>'Revenues 9-14'!J109</f>
        <v>191660</v>
      </c>
      <c r="K4" s="1690">
        <f>'Revenues 9-14'!K109</f>
        <v>0</v>
      </c>
      <c r="L4" s="347"/>
    </row>
    <row r="5" spans="1:13" ht="15.75" customHeight="1">
      <c r="A5" s="1528" t="s">
        <v>1559</v>
      </c>
      <c r="B5" s="1529">
        <v>2000</v>
      </c>
      <c r="C5" s="1691">
        <f>'Revenues 9-14'!C114</f>
        <v>0</v>
      </c>
      <c r="D5" s="1691">
        <f>'Revenues 9-14'!D114</f>
        <v>0</v>
      </c>
      <c r="E5" s="508"/>
      <c r="F5" s="1691">
        <f>'Revenues 9-14'!F114</f>
        <v>0</v>
      </c>
      <c r="G5" s="1691">
        <f>'Revenues 9-14'!G114</f>
        <v>0</v>
      </c>
      <c r="H5" s="509" t="s">
        <v>1231</v>
      </c>
      <c r="I5" s="510" t="s">
        <v>1231</v>
      </c>
      <c r="J5" s="511" t="s">
        <v>1231</v>
      </c>
      <c r="K5" s="512" t="s">
        <v>1231</v>
      </c>
      <c r="L5" s="347"/>
    </row>
    <row r="6" spans="1:13" ht="15.75" customHeight="1">
      <c r="A6" s="1528" t="s">
        <v>1560</v>
      </c>
      <c r="B6" s="1530">
        <v>3000</v>
      </c>
      <c r="C6" s="1691">
        <f>'Revenues 9-14'!C173</f>
        <v>6633346</v>
      </c>
      <c r="D6" s="1691">
        <f>'Revenues 9-14'!D173</f>
        <v>558207</v>
      </c>
      <c r="E6" s="1691">
        <f>'Revenues 9-14'!E173</f>
        <v>0</v>
      </c>
      <c r="F6" s="1691">
        <f>'Revenues 9-14'!F173</f>
        <v>518517</v>
      </c>
      <c r="G6" s="1691">
        <f>'Revenues 9-14'!G173</f>
        <v>0</v>
      </c>
      <c r="H6" s="1691">
        <f>'Revenues 9-14'!H173</f>
        <v>0</v>
      </c>
      <c r="I6" s="1691">
        <f>'Revenues 9-14'!I173</f>
        <v>0</v>
      </c>
      <c r="J6" s="1691">
        <f>'Revenues 9-14'!J173</f>
        <v>0</v>
      </c>
      <c r="K6" s="1691">
        <f>'Revenues 9-14'!K173</f>
        <v>0</v>
      </c>
      <c r="L6" s="347"/>
      <c r="M6" s="513"/>
    </row>
    <row r="7" spans="1:13" ht="15.75" customHeight="1">
      <c r="A7" s="1528" t="s">
        <v>1561</v>
      </c>
      <c r="B7" s="1530">
        <v>4000</v>
      </c>
      <c r="C7" s="1691">
        <f>'Revenues 9-14'!C274</f>
        <v>1149206</v>
      </c>
      <c r="D7" s="1691">
        <f>'Revenues 9-14'!D274</f>
        <v>0</v>
      </c>
      <c r="E7" s="1691">
        <f>'Revenues 9-14'!E274</f>
        <v>0</v>
      </c>
      <c r="F7" s="1691">
        <f>'Revenues 9-14'!F274</f>
        <v>0</v>
      </c>
      <c r="G7" s="1691">
        <f>'Revenues 9-14'!G274</f>
        <v>0</v>
      </c>
      <c r="H7" s="1691">
        <f>'Revenues 9-14'!H274</f>
        <v>0</v>
      </c>
      <c r="I7" s="1691">
        <f>'Revenues 9-14'!I274</f>
        <v>0</v>
      </c>
      <c r="J7" s="1691">
        <f>'Revenues 9-14'!J274</f>
        <v>0</v>
      </c>
      <c r="K7" s="1691">
        <f>'Revenues 9-14'!K274</f>
        <v>0</v>
      </c>
      <c r="L7" s="347"/>
      <c r="M7" s="513"/>
    </row>
    <row r="8" spans="1:13" ht="13.5" thickBot="1">
      <c r="A8" s="1684" t="s">
        <v>1234</v>
      </c>
      <c r="B8" s="1657"/>
      <c r="C8" s="1636">
        <f>SUM(C4:C7)</f>
        <v>9127026</v>
      </c>
      <c r="D8" s="1636">
        <f t="shared" ref="D8:K8" si="0">SUM(D4:D7)</f>
        <v>1094512</v>
      </c>
      <c r="E8" s="1636">
        <f t="shared" si="0"/>
        <v>145097</v>
      </c>
      <c r="F8" s="1636">
        <f t="shared" si="0"/>
        <v>648580</v>
      </c>
      <c r="G8" s="1636">
        <f t="shared" si="0"/>
        <v>326855</v>
      </c>
      <c r="H8" s="1636">
        <f t="shared" si="0"/>
        <v>520526</v>
      </c>
      <c r="I8" s="1636">
        <f t="shared" si="0"/>
        <v>35005</v>
      </c>
      <c r="J8" s="1636">
        <f t="shared" si="0"/>
        <v>191660</v>
      </c>
      <c r="K8" s="1636">
        <f t="shared" si="0"/>
        <v>0</v>
      </c>
      <c r="L8" s="347"/>
    </row>
    <row r="9" spans="1:13" ht="15.75" thickTop="1">
      <c r="A9" s="514" t="s">
        <v>1724</v>
      </c>
      <c r="B9" s="515">
        <v>3998</v>
      </c>
      <c r="C9" s="481">
        <v>3538177</v>
      </c>
      <c r="D9" s="516"/>
      <c r="E9" s="481"/>
      <c r="F9" s="481"/>
      <c r="G9" s="517"/>
      <c r="H9" s="481"/>
      <c r="I9" s="509" t="s">
        <v>1231</v>
      </c>
      <c r="J9" s="478"/>
      <c r="K9" s="481"/>
      <c r="L9" s="347"/>
    </row>
    <row r="10" spans="1:13" s="519" customFormat="1" ht="13.5" thickBot="1">
      <c r="A10" s="1684" t="s">
        <v>1235</v>
      </c>
      <c r="B10" s="1657"/>
      <c r="C10" s="1636">
        <f>SUM(C8:C9)</f>
        <v>12665203</v>
      </c>
      <c r="D10" s="1636">
        <f t="shared" ref="D10:K10" si="1">SUM(D8:D9)</f>
        <v>1094512</v>
      </c>
      <c r="E10" s="1636">
        <f t="shared" si="1"/>
        <v>145097</v>
      </c>
      <c r="F10" s="1636">
        <f t="shared" si="1"/>
        <v>648580</v>
      </c>
      <c r="G10" s="1636">
        <f t="shared" si="1"/>
        <v>326855</v>
      </c>
      <c r="H10" s="1636">
        <f t="shared" si="1"/>
        <v>520526</v>
      </c>
      <c r="I10" s="1636">
        <f t="shared" si="1"/>
        <v>35005</v>
      </c>
      <c r="J10" s="1636">
        <f t="shared" si="1"/>
        <v>191660</v>
      </c>
      <c r="K10" s="1636">
        <f t="shared" si="1"/>
        <v>0</v>
      </c>
      <c r="L10" s="518"/>
    </row>
    <row r="11" spans="1:13" s="519" customFormat="1" ht="16.7" customHeight="1" thickTop="1">
      <c r="A11" s="2104" t="s">
        <v>1238</v>
      </c>
      <c r="B11" s="2105"/>
      <c r="C11" s="1522"/>
      <c r="D11" s="1523"/>
      <c r="E11" s="1523"/>
      <c r="F11" s="1523"/>
      <c r="G11" s="1523"/>
      <c r="H11" s="1523"/>
      <c r="I11" s="1523"/>
      <c r="J11" s="1523"/>
      <c r="K11" s="1524"/>
      <c r="L11" s="518"/>
    </row>
    <row r="12" spans="1:13" ht="15.75" customHeight="1">
      <c r="A12" s="1528" t="s">
        <v>476</v>
      </c>
      <c r="B12" s="1530">
        <v>1000</v>
      </c>
      <c r="C12" s="1690">
        <f>'Expenditures 15-22'!K33</f>
        <v>5687690</v>
      </c>
      <c r="D12" s="520" t="s">
        <v>1231</v>
      </c>
      <c r="E12" s="468" t="s">
        <v>1231</v>
      </c>
      <c r="F12" s="468" t="s">
        <v>1231</v>
      </c>
      <c r="G12" s="1690">
        <f>'Expenditures 15-22'!K229</f>
        <v>138824</v>
      </c>
      <c r="H12" s="521"/>
      <c r="I12" s="468" t="s">
        <v>1231</v>
      </c>
      <c r="J12" s="468" t="s">
        <v>1231</v>
      </c>
      <c r="K12" s="521" t="s">
        <v>1231</v>
      </c>
      <c r="L12" s="347"/>
    </row>
    <row r="13" spans="1:13" ht="15.75" customHeight="1">
      <c r="A13" s="1528" t="s">
        <v>477</v>
      </c>
      <c r="B13" s="1530">
        <v>2000</v>
      </c>
      <c r="C13" s="1691">
        <f>'Expenditures 15-22'!K74</f>
        <v>2161145</v>
      </c>
      <c r="D13" s="1691">
        <f>'Expenditures 15-22'!K129</f>
        <v>1003512</v>
      </c>
      <c r="E13" s="469" t="s">
        <v>1231</v>
      </c>
      <c r="F13" s="1691">
        <f>'Expenditures 15-22'!K184</f>
        <v>507074</v>
      </c>
      <c r="G13" s="1691">
        <f>'Expenditures 15-22'!K279</f>
        <v>148791</v>
      </c>
      <c r="H13" s="1691">
        <f>'Expenditures 15-22'!K303</f>
        <v>162516</v>
      </c>
      <c r="I13" s="468" t="s">
        <v>1231</v>
      </c>
      <c r="J13" s="1691">
        <f>'Expenditures 15-22'!K330</f>
        <v>117675</v>
      </c>
      <c r="K13" s="1695">
        <f>'Expenditures 15-22'!K352</f>
        <v>0</v>
      </c>
      <c r="L13" s="347"/>
    </row>
    <row r="14" spans="1:13" ht="15.75" customHeight="1">
      <c r="A14" s="1528" t="s">
        <v>469</v>
      </c>
      <c r="B14" s="1530">
        <v>3000</v>
      </c>
      <c r="C14" s="1691">
        <f>'Expenditures 15-22'!K75</f>
        <v>37719</v>
      </c>
      <c r="D14" s="1691">
        <f>'Expenditures 15-22'!K130</f>
        <v>0</v>
      </c>
      <c r="E14" s="520" t="s">
        <v>1231</v>
      </c>
      <c r="F14" s="1691">
        <f>'Expenditures 15-22'!K185</f>
        <v>0</v>
      </c>
      <c r="G14" s="1691">
        <f>'Expenditures 15-22'!K280</f>
        <v>3477</v>
      </c>
      <c r="H14" s="512"/>
      <c r="I14" s="468" t="s">
        <v>1231</v>
      </c>
      <c r="J14" s="468" t="s">
        <v>1231</v>
      </c>
      <c r="K14" s="512" t="s">
        <v>1231</v>
      </c>
      <c r="L14" s="347"/>
    </row>
    <row r="15" spans="1:13" ht="15.75" customHeight="1">
      <c r="A15" s="1528" t="s">
        <v>109</v>
      </c>
      <c r="B15" s="1530">
        <v>4000</v>
      </c>
      <c r="C15" s="1691">
        <f>'Expenditures 15-22'!K102</f>
        <v>146126</v>
      </c>
      <c r="D15" s="1691">
        <f>'Expenditures 15-22'!K139</f>
        <v>0</v>
      </c>
      <c r="E15" s="1691">
        <f>'Expenditures 15-22'!K160</f>
        <v>0</v>
      </c>
      <c r="F15" s="1691">
        <f>'Expenditures 15-22'!K196</f>
        <v>0</v>
      </c>
      <c r="G15" s="1691">
        <f>'Expenditures 15-22'!K285</f>
        <v>3110</v>
      </c>
      <c r="H15" s="1691">
        <f>'Expenditures 15-22'!K310</f>
        <v>0</v>
      </c>
      <c r="I15" s="468" t="s">
        <v>1231</v>
      </c>
      <c r="J15" s="1784">
        <f>'Expenditures 15-22'!K334</f>
        <v>0</v>
      </c>
      <c r="K15" s="1691">
        <f>'Expenditures 15-22'!K357</f>
        <v>0</v>
      </c>
      <c r="L15" s="347"/>
    </row>
    <row r="16" spans="1:13" ht="15.75" customHeight="1">
      <c r="A16" s="1528" t="s">
        <v>470</v>
      </c>
      <c r="B16" s="1530">
        <v>5000</v>
      </c>
      <c r="C16" s="1691">
        <f>'Expenditures 15-22'!K112</f>
        <v>0</v>
      </c>
      <c r="D16" s="1691">
        <f>'Expenditures 15-22'!K149</f>
        <v>0</v>
      </c>
      <c r="E16" s="1691">
        <f>'Expenditures 15-22'!K172</f>
        <v>458522</v>
      </c>
      <c r="F16" s="1691">
        <f>'Expenditures 15-22'!K208</f>
        <v>0</v>
      </c>
      <c r="G16" s="1691">
        <f>'Expenditures 15-22'!K293</f>
        <v>0</v>
      </c>
      <c r="H16" s="523"/>
      <c r="I16" s="468" t="s">
        <v>1231</v>
      </c>
      <c r="J16" s="1696">
        <f>'Expenditures 15-22'!K340</f>
        <v>0</v>
      </c>
      <c r="K16" s="1691">
        <f>'Expenditures 15-22'!K365</f>
        <v>0</v>
      </c>
      <c r="L16" s="347"/>
    </row>
    <row r="17" spans="1:12" ht="13.5" thickBot="1">
      <c r="A17" s="1656" t="s">
        <v>50</v>
      </c>
      <c r="B17" s="1657"/>
      <c r="C17" s="1636">
        <f t="shared" ref="C17:H17" si="2">SUM(C12:C16)</f>
        <v>8032680</v>
      </c>
      <c r="D17" s="1636">
        <f t="shared" si="2"/>
        <v>1003512</v>
      </c>
      <c r="E17" s="1636">
        <f t="shared" si="2"/>
        <v>458522</v>
      </c>
      <c r="F17" s="1636">
        <f t="shared" si="2"/>
        <v>507074</v>
      </c>
      <c r="G17" s="1636">
        <f t="shared" si="2"/>
        <v>294202</v>
      </c>
      <c r="H17" s="1636">
        <f t="shared" si="2"/>
        <v>162516</v>
      </c>
      <c r="I17" s="468"/>
      <c r="J17" s="1636">
        <f>SUM(J12:J16)</f>
        <v>117675</v>
      </c>
      <c r="K17" s="1636">
        <f>SUM(K12:K16)</f>
        <v>0</v>
      </c>
      <c r="L17" s="347"/>
    </row>
    <row r="18" spans="1:12" ht="15" customHeight="1" thickTop="1">
      <c r="A18" s="1692" t="s">
        <v>1725</v>
      </c>
      <c r="B18" s="1693">
        <v>4180</v>
      </c>
      <c r="C18" s="1690">
        <f t="shared" ref="C18:H18" si="3">C9</f>
        <v>3538177</v>
      </c>
      <c r="D18" s="1690">
        <f t="shared" si="3"/>
        <v>0</v>
      </c>
      <c r="E18" s="1690">
        <f t="shared" si="3"/>
        <v>0</v>
      </c>
      <c r="F18" s="1690">
        <f t="shared" si="3"/>
        <v>0</v>
      </c>
      <c r="G18" s="1690">
        <f t="shared" si="3"/>
        <v>0</v>
      </c>
      <c r="H18" s="1690">
        <f t="shared" si="3"/>
        <v>0</v>
      </c>
      <c r="I18" s="468"/>
      <c r="J18" s="1690">
        <f>J9</f>
        <v>0</v>
      </c>
      <c r="K18" s="1690">
        <f>K9</f>
        <v>0</v>
      </c>
      <c r="L18" s="347"/>
    </row>
    <row r="19" spans="1:12" ht="13.5" thickBot="1">
      <c r="A19" s="1656" t="s">
        <v>526</v>
      </c>
      <c r="B19" s="1657"/>
      <c r="C19" s="1636">
        <f t="shared" ref="C19:H19" si="4">SUM(C17:C18)</f>
        <v>11570857</v>
      </c>
      <c r="D19" s="1636">
        <f t="shared" si="4"/>
        <v>1003512</v>
      </c>
      <c r="E19" s="1636">
        <f t="shared" si="4"/>
        <v>458522</v>
      </c>
      <c r="F19" s="1636">
        <f t="shared" si="4"/>
        <v>507074</v>
      </c>
      <c r="G19" s="1636">
        <f t="shared" si="4"/>
        <v>294202</v>
      </c>
      <c r="H19" s="1636">
        <f t="shared" si="4"/>
        <v>162516</v>
      </c>
      <c r="I19" s="468"/>
      <c r="J19" s="1636">
        <f>SUM(J17:J18)</f>
        <v>117675</v>
      </c>
      <c r="K19" s="1636">
        <f>SUM(K17:K18)</f>
        <v>0</v>
      </c>
      <c r="L19" s="347"/>
    </row>
    <row r="20" spans="1:12" ht="16.5" thickTop="1" thickBot="1">
      <c r="A20" s="2120" t="s">
        <v>1726</v>
      </c>
      <c r="B20" s="2121"/>
      <c r="C20" s="1694">
        <f>C8-C17</f>
        <v>1094346</v>
      </c>
      <c r="D20" s="1694">
        <f t="shared" ref="D20:K20" si="5">D8-D17</f>
        <v>91000</v>
      </c>
      <c r="E20" s="1694">
        <f t="shared" si="5"/>
        <v>-313425</v>
      </c>
      <c r="F20" s="1694">
        <f t="shared" si="5"/>
        <v>141506</v>
      </c>
      <c r="G20" s="1694">
        <f t="shared" si="5"/>
        <v>32653</v>
      </c>
      <c r="H20" s="1694">
        <f t="shared" si="5"/>
        <v>358010</v>
      </c>
      <c r="I20" s="1694">
        <f t="shared" si="5"/>
        <v>35005</v>
      </c>
      <c r="J20" s="1694">
        <f t="shared" si="5"/>
        <v>73985</v>
      </c>
      <c r="K20" s="1694">
        <f t="shared" si="5"/>
        <v>0</v>
      </c>
      <c r="L20" s="347"/>
    </row>
    <row r="21" spans="1:12" ht="16.7" customHeight="1" thickTop="1">
      <c r="A21" s="2132" t="s">
        <v>616</v>
      </c>
      <c r="B21" s="2133"/>
      <c r="C21" s="1522"/>
      <c r="D21" s="1523"/>
      <c r="E21" s="1523"/>
      <c r="F21" s="1523"/>
      <c r="G21" s="1523"/>
      <c r="H21" s="1523"/>
      <c r="I21" s="1523"/>
      <c r="J21" s="1523"/>
      <c r="K21" s="1524"/>
      <c r="L21" s="524"/>
    </row>
    <row r="22" spans="1:12" ht="15.75" customHeight="1" collapsed="1">
      <c r="A22" s="2128" t="s">
        <v>617</v>
      </c>
      <c r="B22" s="2129"/>
      <c r="C22" s="477"/>
      <c r="D22" s="477"/>
      <c r="E22" s="477"/>
      <c r="F22" s="477"/>
      <c r="G22" s="477"/>
      <c r="H22" s="477"/>
      <c r="I22" s="477"/>
      <c r="J22" s="477"/>
      <c r="K22" s="477"/>
      <c r="L22" s="347"/>
    </row>
    <row r="23" spans="1:12" s="485" customFormat="1" ht="15.75" customHeight="1">
      <c r="A23" s="2124" t="s">
        <v>311</v>
      </c>
      <c r="B23" s="2125"/>
      <c r="C23" s="480"/>
      <c r="D23" s="477"/>
      <c r="E23" s="477"/>
      <c r="F23" s="477"/>
      <c r="G23" s="477"/>
      <c r="H23" s="477"/>
      <c r="I23" s="477"/>
      <c r="J23" s="477"/>
      <c r="K23" s="477"/>
      <c r="L23" s="524"/>
    </row>
    <row r="24" spans="1:12" s="485" customFormat="1" ht="13.5" customHeight="1">
      <c r="A24" s="1441" t="s">
        <v>1727</v>
      </c>
      <c r="B24" s="525">
        <v>7110</v>
      </c>
      <c r="C24" s="467"/>
      <c r="D24" s="477"/>
      <c r="E24" s="477"/>
      <c r="F24" s="477"/>
      <c r="G24" s="477"/>
      <c r="H24" s="477"/>
      <c r="I24" s="477"/>
      <c r="J24" s="477"/>
      <c r="K24" s="477"/>
      <c r="L24" s="524"/>
    </row>
    <row r="25" spans="1:12" s="485" customFormat="1" ht="13.5" customHeight="1">
      <c r="A25" s="1441" t="s">
        <v>1728</v>
      </c>
      <c r="B25" s="525">
        <v>7110</v>
      </c>
      <c r="C25" s="467"/>
      <c r="D25" s="467"/>
      <c r="E25" s="467"/>
      <c r="F25" s="467"/>
      <c r="G25" s="467"/>
      <c r="H25" s="467"/>
      <c r="I25" s="477"/>
      <c r="J25" s="467"/>
      <c r="K25" s="467"/>
      <c r="L25" s="524"/>
    </row>
    <row r="26" spans="1:12" s="485" customFormat="1" ht="13.5" customHeight="1">
      <c r="A26" s="1441" t="s">
        <v>193</v>
      </c>
      <c r="B26" s="483">
        <v>7120</v>
      </c>
      <c r="C26" s="467"/>
      <c r="D26" s="467"/>
      <c r="E26" s="467"/>
      <c r="F26" s="467"/>
      <c r="G26" s="467"/>
      <c r="H26" s="467"/>
      <c r="I26" s="477"/>
      <c r="J26" s="467"/>
      <c r="K26" s="467"/>
      <c r="L26" s="524"/>
    </row>
    <row r="27" spans="1:12" s="485" customFormat="1" ht="13.5" customHeight="1">
      <c r="A27" s="1441" t="s">
        <v>194</v>
      </c>
      <c r="B27" s="483">
        <v>7130</v>
      </c>
      <c r="C27" s="467"/>
      <c r="D27" s="467"/>
      <c r="E27" s="526"/>
      <c r="F27" s="467"/>
      <c r="G27" s="480"/>
      <c r="H27" s="480"/>
      <c r="I27" s="480"/>
      <c r="J27" s="480"/>
      <c r="K27" s="480"/>
      <c r="L27" s="524"/>
    </row>
    <row r="28" spans="1:12" s="485" customFormat="1" ht="13.5" customHeight="1">
      <c r="A28" s="1441" t="s">
        <v>1444</v>
      </c>
      <c r="B28" s="483">
        <v>7140</v>
      </c>
      <c r="C28" s="467"/>
      <c r="D28" s="467"/>
      <c r="E28" s="467"/>
      <c r="F28" s="467"/>
      <c r="G28" s="467"/>
      <c r="H28" s="467"/>
      <c r="I28" s="467"/>
      <c r="J28" s="467"/>
      <c r="K28" s="467"/>
      <c r="L28" s="524"/>
    </row>
    <row r="29" spans="1:12" s="485" customFormat="1" ht="13.5" customHeight="1">
      <c r="A29" s="1441" t="s">
        <v>312</v>
      </c>
      <c r="B29" s="483">
        <v>7150</v>
      </c>
      <c r="C29" s="475"/>
      <c r="D29" s="467"/>
      <c r="E29" s="475"/>
      <c r="F29" s="475"/>
      <c r="G29" s="475"/>
      <c r="H29" s="475"/>
      <c r="I29" s="475"/>
      <c r="J29" s="475"/>
      <c r="K29" s="475"/>
      <c r="L29" s="524"/>
    </row>
    <row r="30" spans="1:12" s="485" customFormat="1" ht="26.25">
      <c r="A30" s="1441" t="s">
        <v>1858</v>
      </c>
      <c r="B30" s="527">
        <v>7160</v>
      </c>
      <c r="C30" s="477"/>
      <c r="D30" s="467"/>
      <c r="E30" s="477"/>
      <c r="F30" s="477"/>
      <c r="G30" s="477"/>
      <c r="H30" s="477"/>
      <c r="I30" s="477"/>
      <c r="J30" s="477"/>
      <c r="K30" s="477"/>
      <c r="L30" s="524"/>
    </row>
    <row r="31" spans="1:12" s="485" customFormat="1" ht="26.25">
      <c r="A31" s="1441" t="s">
        <v>1862</v>
      </c>
      <c r="B31" s="527">
        <v>7170</v>
      </c>
      <c r="C31" s="477"/>
      <c r="D31" s="477"/>
      <c r="E31" s="474"/>
      <c r="F31" s="477"/>
      <c r="G31" s="477"/>
      <c r="H31" s="477"/>
      <c r="I31" s="477"/>
      <c r="J31" s="477"/>
      <c r="K31" s="477"/>
      <c r="L31" s="524"/>
    </row>
    <row r="32" spans="1:12" s="485" customFormat="1" ht="15.75" customHeight="1">
      <c r="A32" s="2126" t="s">
        <v>1038</v>
      </c>
      <c r="B32" s="2127"/>
      <c r="C32" s="477"/>
      <c r="D32" s="477"/>
      <c r="E32" s="475"/>
      <c r="F32" s="477"/>
      <c r="G32" s="477"/>
      <c r="H32" s="477"/>
      <c r="I32" s="477"/>
      <c r="J32" s="477"/>
      <c r="K32" s="477"/>
      <c r="L32" s="524"/>
    </row>
    <row r="33" spans="1:12" s="485" customFormat="1">
      <c r="A33" s="1441" t="s">
        <v>432</v>
      </c>
      <c r="B33" s="525">
        <v>7210</v>
      </c>
      <c r="C33" s="467"/>
      <c r="D33" s="467"/>
      <c r="E33" s="467"/>
      <c r="F33" s="467"/>
      <c r="G33" s="477"/>
      <c r="H33" s="467"/>
      <c r="I33" s="467"/>
      <c r="J33" s="467"/>
      <c r="K33" s="467"/>
      <c r="L33" s="524"/>
    </row>
    <row r="34" spans="1:12" s="485" customFormat="1">
      <c r="A34" s="1441" t="s">
        <v>1058</v>
      </c>
      <c r="B34" s="525">
        <v>7220</v>
      </c>
      <c r="C34" s="467"/>
      <c r="D34" s="467"/>
      <c r="E34" s="467"/>
      <c r="F34" s="467"/>
      <c r="G34" s="477"/>
      <c r="H34" s="478"/>
      <c r="I34" s="478"/>
      <c r="J34" s="478"/>
      <c r="K34" s="478"/>
      <c r="L34" s="524"/>
    </row>
    <row r="35" spans="1:12" s="485" customFormat="1">
      <c r="A35" s="1441" t="s">
        <v>1047</v>
      </c>
      <c r="B35" s="525">
        <v>7230</v>
      </c>
      <c r="C35" s="467"/>
      <c r="D35" s="467"/>
      <c r="E35" s="467"/>
      <c r="F35" s="467"/>
      <c r="G35" s="480"/>
      <c r="H35" s="467"/>
      <c r="I35" s="467"/>
      <c r="J35" s="467"/>
      <c r="K35" s="467"/>
      <c r="L35" s="524"/>
    </row>
    <row r="36" spans="1:12" s="485" customFormat="1" ht="15">
      <c r="A36" s="1441" t="s">
        <v>1729</v>
      </c>
      <c r="B36" s="525">
        <v>7300</v>
      </c>
      <c r="C36" s="467"/>
      <c r="D36" s="467"/>
      <c r="E36" s="467"/>
      <c r="F36" s="467"/>
      <c r="G36" s="467"/>
      <c r="H36" s="467"/>
      <c r="I36" s="475"/>
      <c r="J36" s="467"/>
      <c r="K36" s="467"/>
      <c r="L36" s="524"/>
    </row>
    <row r="37" spans="1:12" s="485" customFormat="1">
      <c r="A37" s="1441" t="s">
        <v>461</v>
      </c>
      <c r="B37" s="525">
        <v>7400</v>
      </c>
      <c r="C37" s="475"/>
      <c r="D37" s="475"/>
      <c r="E37" s="1691">
        <f>SUM(C54:D57,H54:H57)</f>
        <v>0</v>
      </c>
      <c r="F37" s="475"/>
      <c r="G37" s="475"/>
      <c r="H37" s="475"/>
      <c r="I37" s="477"/>
      <c r="J37" s="475"/>
      <c r="K37" s="475"/>
      <c r="L37" s="524"/>
    </row>
    <row r="38" spans="1:12" s="485" customFormat="1">
      <c r="A38" s="1441" t="s">
        <v>462</v>
      </c>
      <c r="B38" s="525">
        <v>7500</v>
      </c>
      <c r="C38" s="477"/>
      <c r="D38" s="477"/>
      <c r="E38" s="1691">
        <f>SUM(C58:D61,H58:H61)</f>
        <v>0</v>
      </c>
      <c r="F38" s="477"/>
      <c r="G38" s="477"/>
      <c r="H38" s="477"/>
      <c r="I38" s="477"/>
      <c r="J38" s="477"/>
      <c r="K38" s="477"/>
      <c r="L38" s="524"/>
    </row>
    <row r="39" spans="1:12" s="485" customFormat="1">
      <c r="A39" s="1441" t="s">
        <v>463</v>
      </c>
      <c r="B39" s="525">
        <v>7600</v>
      </c>
      <c r="C39" s="477"/>
      <c r="D39" s="477"/>
      <c r="E39" s="1691">
        <f>SUM(C62:D65)</f>
        <v>0</v>
      </c>
      <c r="F39" s="477"/>
      <c r="G39" s="477"/>
      <c r="H39" s="477"/>
      <c r="I39" s="477"/>
      <c r="J39" s="477"/>
      <c r="K39" s="477"/>
      <c r="L39" s="524"/>
    </row>
    <row r="40" spans="1:12" s="485" customFormat="1" ht="13.5" customHeight="1">
      <c r="A40" s="1441" t="s">
        <v>663</v>
      </c>
      <c r="B40" s="483">
        <v>7700</v>
      </c>
      <c r="C40" s="477"/>
      <c r="D40" s="477"/>
      <c r="E40" s="1691">
        <f>SUM(C66:D69)</f>
        <v>0</v>
      </c>
      <c r="F40" s="477"/>
      <c r="G40" s="477"/>
      <c r="H40" s="480"/>
      <c r="I40" s="477"/>
      <c r="J40" s="477"/>
      <c r="K40" s="477"/>
      <c r="L40" s="524"/>
    </row>
    <row r="41" spans="1:12" s="485" customFormat="1" ht="13.5" customHeight="1">
      <c r="A41" s="1441" t="s">
        <v>661</v>
      </c>
      <c r="B41" s="483">
        <v>7800</v>
      </c>
      <c r="C41" s="480"/>
      <c r="D41" s="480"/>
      <c r="E41" s="526"/>
      <c r="F41" s="480"/>
      <c r="G41" s="480"/>
      <c r="H41" s="1691">
        <f>SUM(C70:D73)</f>
        <v>0</v>
      </c>
      <c r="I41" s="477"/>
      <c r="J41" s="477"/>
      <c r="K41" s="480"/>
      <c r="L41" s="524"/>
    </row>
    <row r="42" spans="1:12" s="485" customFormat="1" ht="13.5" customHeight="1">
      <c r="A42" s="1441" t="s">
        <v>662</v>
      </c>
      <c r="B42" s="483">
        <v>7900</v>
      </c>
      <c r="C42" s="467"/>
      <c r="D42" s="467"/>
      <c r="E42" s="467"/>
      <c r="F42" s="467"/>
      <c r="G42" s="467"/>
      <c r="H42" s="467"/>
      <c r="I42" s="480"/>
      <c r="J42" s="480"/>
      <c r="K42" s="467"/>
      <c r="L42" s="524"/>
    </row>
    <row r="43" spans="1:12" s="485" customFormat="1" ht="13.5" customHeight="1">
      <c r="A43" s="1441" t="s">
        <v>391</v>
      </c>
      <c r="B43" s="483">
        <v>7990</v>
      </c>
      <c r="C43" s="467"/>
      <c r="D43" s="467"/>
      <c r="E43" s="467">
        <v>328545</v>
      </c>
      <c r="F43" s="467"/>
      <c r="G43" s="467"/>
      <c r="H43" s="467"/>
      <c r="I43" s="467"/>
      <c r="J43" s="467"/>
      <c r="K43" s="467"/>
      <c r="L43" s="524"/>
    </row>
    <row r="44" spans="1:12" s="485" customFormat="1" ht="13.5" customHeight="1" thickBot="1">
      <c r="A44" s="2134" t="s">
        <v>392</v>
      </c>
      <c r="B44" s="2135"/>
      <c r="C44" s="1651">
        <f>SUM(C24:C43)</f>
        <v>0</v>
      </c>
      <c r="D44" s="1651">
        <f t="shared" ref="D44:K44" si="6">SUM(D24:D43)</f>
        <v>0</v>
      </c>
      <c r="E44" s="1651">
        <f t="shared" si="6"/>
        <v>328545</v>
      </c>
      <c r="F44" s="1651">
        <f t="shared" si="6"/>
        <v>0</v>
      </c>
      <c r="G44" s="1651">
        <f t="shared" si="6"/>
        <v>0</v>
      </c>
      <c r="H44" s="1651">
        <f t="shared" si="6"/>
        <v>0</v>
      </c>
      <c r="I44" s="1651">
        <f t="shared" si="6"/>
        <v>0</v>
      </c>
      <c r="J44" s="1651">
        <f t="shared" si="6"/>
        <v>0</v>
      </c>
      <c r="K44" s="1651">
        <f t="shared" si="6"/>
        <v>0</v>
      </c>
      <c r="L44" s="524"/>
    </row>
    <row r="45" spans="1:12" ht="15.75" customHeight="1" thickTop="1">
      <c r="A45" s="2128" t="s">
        <v>110</v>
      </c>
      <c r="B45" s="2129"/>
      <c r="C45" s="528"/>
      <c r="D45" s="528"/>
      <c r="E45" s="528"/>
      <c r="F45" s="528"/>
      <c r="G45" s="528"/>
      <c r="H45" s="528"/>
      <c r="I45" s="528"/>
      <c r="J45" s="528"/>
      <c r="K45" s="528"/>
      <c r="L45" s="347"/>
    </row>
    <row r="46" spans="1:12" s="485" customFormat="1" ht="15.75" customHeight="1">
      <c r="A46" s="2136" t="s">
        <v>111</v>
      </c>
      <c r="B46" s="2137"/>
      <c r="C46" s="477"/>
      <c r="D46" s="477"/>
      <c r="E46" s="477"/>
      <c r="F46" s="477"/>
      <c r="G46" s="477"/>
      <c r="H46" s="477"/>
      <c r="I46" s="480"/>
      <c r="J46" s="477"/>
      <c r="K46" s="477"/>
      <c r="L46" s="529"/>
    </row>
    <row r="47" spans="1:12" s="485" customFormat="1" ht="15">
      <c r="A47" s="1442" t="s">
        <v>1730</v>
      </c>
      <c r="B47" s="483">
        <v>8110</v>
      </c>
      <c r="C47" s="477"/>
      <c r="D47" s="477"/>
      <c r="E47" s="477"/>
      <c r="F47" s="477"/>
      <c r="G47" s="477"/>
      <c r="H47" s="477"/>
      <c r="I47" s="1691">
        <f>SUM(C24,C25:H25,J25:K25)</f>
        <v>0</v>
      </c>
      <c r="J47" s="477"/>
      <c r="K47" s="477"/>
      <c r="L47" s="529"/>
    </row>
    <row r="48" spans="1:12" s="485" customFormat="1" ht="15">
      <c r="A48" s="1442" t="s">
        <v>1731</v>
      </c>
      <c r="B48" s="483">
        <v>8120</v>
      </c>
      <c r="C48" s="480"/>
      <c r="D48" s="480"/>
      <c r="E48" s="477"/>
      <c r="F48" s="480"/>
      <c r="G48" s="477"/>
      <c r="H48" s="477"/>
      <c r="I48" s="1691">
        <f>SUM(C26:H26,J26,K26)</f>
        <v>0</v>
      </c>
      <c r="J48" s="477"/>
      <c r="K48" s="477"/>
      <c r="L48" s="529"/>
    </row>
    <row r="49" spans="1:12" s="485" customFormat="1">
      <c r="A49" s="1442" t="s">
        <v>194</v>
      </c>
      <c r="B49" s="483">
        <v>8130</v>
      </c>
      <c r="C49" s="467"/>
      <c r="D49" s="467"/>
      <c r="E49" s="480"/>
      <c r="F49" s="467"/>
      <c r="G49" s="480"/>
      <c r="H49" s="480"/>
      <c r="I49" s="477"/>
      <c r="J49" s="480"/>
      <c r="K49" s="477"/>
      <c r="L49" s="524"/>
    </row>
    <row r="50" spans="1:12" s="485" customFormat="1">
      <c r="A50" s="1442" t="s">
        <v>1444</v>
      </c>
      <c r="B50" s="483">
        <v>8140</v>
      </c>
      <c r="C50" s="467"/>
      <c r="D50" s="467"/>
      <c r="E50" s="467"/>
      <c r="F50" s="467"/>
      <c r="G50" s="467"/>
      <c r="H50" s="467"/>
      <c r="I50" s="477"/>
      <c r="J50" s="467"/>
      <c r="K50" s="477"/>
      <c r="L50" s="524"/>
    </row>
    <row r="51" spans="1:12" s="485" customFormat="1">
      <c r="A51" s="1442" t="s">
        <v>312</v>
      </c>
      <c r="B51" s="483">
        <v>8150</v>
      </c>
      <c r="C51" s="475"/>
      <c r="D51" s="475"/>
      <c r="E51" s="475"/>
      <c r="F51" s="475"/>
      <c r="G51" s="475"/>
      <c r="H51" s="1691">
        <f>SUM(D29)</f>
        <v>0</v>
      </c>
      <c r="I51" s="477"/>
      <c r="J51" s="475"/>
      <c r="K51" s="480"/>
      <c r="L51" s="524"/>
    </row>
    <row r="52" spans="1:12" s="485" customFormat="1" ht="26.25">
      <c r="A52" s="1442" t="s">
        <v>1861</v>
      </c>
      <c r="B52" s="483">
        <v>8160</v>
      </c>
      <c r="C52" s="477"/>
      <c r="D52" s="477"/>
      <c r="E52" s="477"/>
      <c r="F52" s="477"/>
      <c r="G52" s="477"/>
      <c r="H52" s="477"/>
      <c r="I52" s="477"/>
      <c r="J52" s="477"/>
      <c r="K52" s="1691">
        <f>D30</f>
        <v>0</v>
      </c>
      <c r="L52" s="524"/>
    </row>
    <row r="53" spans="1:12" s="485" customFormat="1" ht="26.25">
      <c r="A53" s="1442" t="s">
        <v>1860</v>
      </c>
      <c r="B53" s="483">
        <v>8170</v>
      </c>
      <c r="C53" s="480"/>
      <c r="D53" s="480"/>
      <c r="E53" s="477"/>
      <c r="F53" s="477"/>
      <c r="G53" s="477"/>
      <c r="H53" s="480"/>
      <c r="I53" s="477"/>
      <c r="J53" s="477"/>
      <c r="K53" s="1691">
        <f>E31</f>
        <v>0</v>
      </c>
      <c r="L53" s="524"/>
    </row>
    <row r="54" spans="1:12" s="485" customFormat="1" ht="13.5" thickBot="1">
      <c r="A54" s="1442" t="s">
        <v>716</v>
      </c>
      <c r="B54" s="483">
        <v>8410</v>
      </c>
      <c r="C54" s="530"/>
      <c r="D54" s="530"/>
      <c r="E54" s="477"/>
      <c r="F54" s="477"/>
      <c r="G54" s="477"/>
      <c r="H54" s="530"/>
      <c r="I54" s="477"/>
      <c r="J54" s="477"/>
      <c r="K54" s="475"/>
      <c r="L54" s="524"/>
    </row>
    <row r="55" spans="1:12" s="485" customFormat="1" ht="14.25" thickTop="1" thickBot="1">
      <c r="A55" s="1443" t="s">
        <v>717</v>
      </c>
      <c r="B55" s="483">
        <v>8420</v>
      </c>
      <c r="C55" s="531"/>
      <c r="D55" s="531"/>
      <c r="E55" s="477"/>
      <c r="F55" s="477"/>
      <c r="G55" s="477"/>
      <c r="H55" s="530"/>
      <c r="I55" s="477"/>
      <c r="J55" s="477"/>
      <c r="K55" s="477"/>
      <c r="L55" s="524"/>
    </row>
    <row r="56" spans="1:12" s="485" customFormat="1" ht="14.25" thickTop="1" thickBot="1">
      <c r="A56" s="1442" t="s">
        <v>602</v>
      </c>
      <c r="B56" s="483">
        <v>8430</v>
      </c>
      <c r="C56" s="531"/>
      <c r="D56" s="531"/>
      <c r="E56" s="477"/>
      <c r="F56" s="477"/>
      <c r="G56" s="477"/>
      <c r="H56" s="530"/>
      <c r="I56" s="477"/>
      <c r="J56" s="477"/>
      <c r="K56" s="477"/>
      <c r="L56" s="524"/>
    </row>
    <row r="57" spans="1:12" s="485" customFormat="1" ht="14.25" thickTop="1" thickBot="1">
      <c r="A57" s="1443" t="s">
        <v>599</v>
      </c>
      <c r="B57" s="483">
        <v>8440</v>
      </c>
      <c r="C57" s="531"/>
      <c r="D57" s="531"/>
      <c r="E57" s="477"/>
      <c r="F57" s="477"/>
      <c r="G57" s="477"/>
      <c r="H57" s="530"/>
      <c r="I57" s="477"/>
      <c r="J57" s="477"/>
      <c r="K57" s="477"/>
      <c r="L57" s="524"/>
    </row>
    <row r="58" spans="1:12" s="485" customFormat="1" ht="14.25" thickTop="1" thickBot="1">
      <c r="A58" s="1442" t="s">
        <v>600</v>
      </c>
      <c r="B58" s="483">
        <v>8510</v>
      </c>
      <c r="C58" s="531"/>
      <c r="D58" s="531"/>
      <c r="E58" s="477"/>
      <c r="F58" s="477"/>
      <c r="G58" s="477"/>
      <c r="H58" s="530"/>
      <c r="I58" s="477"/>
      <c r="J58" s="477"/>
      <c r="K58" s="477"/>
      <c r="L58" s="524"/>
    </row>
    <row r="59" spans="1:12" s="485" customFormat="1" ht="14.25" thickTop="1" thickBot="1">
      <c r="A59" s="1444" t="s">
        <v>718</v>
      </c>
      <c r="B59" s="483">
        <v>8520</v>
      </c>
      <c r="C59" s="531"/>
      <c r="D59" s="531"/>
      <c r="E59" s="477"/>
      <c r="F59" s="477"/>
      <c r="G59" s="477"/>
      <c r="H59" s="530"/>
      <c r="I59" s="477"/>
      <c r="J59" s="477"/>
      <c r="K59" s="477"/>
      <c r="L59" s="524"/>
    </row>
    <row r="60" spans="1:12" s="485" customFormat="1" ht="14.25" thickTop="1" thickBot="1">
      <c r="A60" s="1442" t="s">
        <v>601</v>
      </c>
      <c r="B60" s="483">
        <v>8530</v>
      </c>
      <c r="C60" s="531"/>
      <c r="D60" s="531"/>
      <c r="E60" s="477"/>
      <c r="F60" s="477"/>
      <c r="G60" s="477"/>
      <c r="H60" s="530"/>
      <c r="I60" s="477"/>
      <c r="J60" s="477"/>
      <c r="K60" s="477"/>
      <c r="L60" s="524"/>
    </row>
    <row r="61" spans="1:12" s="485" customFormat="1" ht="14.25" thickTop="1" thickBot="1">
      <c r="A61" s="1443" t="s">
        <v>767</v>
      </c>
      <c r="B61" s="483">
        <v>8540</v>
      </c>
      <c r="C61" s="531"/>
      <c r="D61" s="531"/>
      <c r="E61" s="477"/>
      <c r="F61" s="477"/>
      <c r="G61" s="477"/>
      <c r="H61" s="530"/>
      <c r="I61" s="477"/>
      <c r="J61" s="477"/>
      <c r="K61" s="477"/>
      <c r="L61" s="524"/>
    </row>
    <row r="62" spans="1:12" s="485" customFormat="1" ht="13.5" customHeight="1" thickTop="1" thickBot="1">
      <c r="A62" s="1442" t="s">
        <v>768</v>
      </c>
      <c r="B62" s="483">
        <v>8610</v>
      </c>
      <c r="C62" s="531"/>
      <c r="D62" s="531"/>
      <c r="E62" s="477"/>
      <c r="F62" s="477"/>
      <c r="G62" s="477"/>
      <c r="H62" s="477"/>
      <c r="I62" s="477"/>
      <c r="J62" s="477"/>
      <c r="K62" s="477"/>
      <c r="L62" s="524"/>
    </row>
    <row r="63" spans="1:12" s="485" customFormat="1" ht="14.25" thickTop="1" thickBot="1">
      <c r="A63" s="1443" t="s">
        <v>719</v>
      </c>
      <c r="B63" s="483">
        <v>8620</v>
      </c>
      <c r="C63" s="531"/>
      <c r="D63" s="531"/>
      <c r="E63" s="477"/>
      <c r="F63" s="477"/>
      <c r="G63" s="477"/>
      <c r="H63" s="477"/>
      <c r="I63" s="477"/>
      <c r="J63" s="477"/>
      <c r="K63" s="477"/>
      <c r="L63" s="524"/>
    </row>
    <row r="64" spans="1:12" s="485" customFormat="1" ht="13.5" customHeight="1" thickTop="1" thickBot="1">
      <c r="A64" s="1442" t="s">
        <v>769</v>
      </c>
      <c r="B64" s="483">
        <v>8630</v>
      </c>
      <c r="C64" s="531"/>
      <c r="D64" s="531"/>
      <c r="E64" s="477"/>
      <c r="F64" s="477"/>
      <c r="G64" s="477"/>
      <c r="H64" s="477"/>
      <c r="I64" s="477"/>
      <c r="J64" s="477"/>
      <c r="K64" s="477"/>
      <c r="L64" s="524"/>
    </row>
    <row r="65" spans="1:12" s="485" customFormat="1" ht="14.25" thickTop="1" thickBot="1">
      <c r="A65" s="1443" t="s">
        <v>770</v>
      </c>
      <c r="B65" s="483">
        <v>8640</v>
      </c>
      <c r="C65" s="531"/>
      <c r="D65" s="531"/>
      <c r="E65" s="477"/>
      <c r="F65" s="477"/>
      <c r="G65" s="477"/>
      <c r="H65" s="477"/>
      <c r="I65" s="477"/>
      <c r="J65" s="477"/>
      <c r="K65" s="477"/>
      <c r="L65" s="524"/>
    </row>
    <row r="66" spans="1:12" s="485" customFormat="1" ht="14.25" thickTop="1" thickBot="1">
      <c r="A66" s="1442" t="s">
        <v>771</v>
      </c>
      <c r="B66" s="483">
        <v>8710</v>
      </c>
      <c r="C66" s="531"/>
      <c r="D66" s="531"/>
      <c r="E66" s="477"/>
      <c r="F66" s="477"/>
      <c r="G66" s="477"/>
      <c r="H66" s="477"/>
      <c r="I66" s="477"/>
      <c r="J66" s="477"/>
      <c r="K66" s="477"/>
      <c r="L66" s="524"/>
    </row>
    <row r="67" spans="1:12" s="485" customFormat="1" ht="14.25" thickTop="1" thickBot="1">
      <c r="A67" s="1443" t="s">
        <v>720</v>
      </c>
      <c r="B67" s="483">
        <v>8720</v>
      </c>
      <c r="C67" s="531"/>
      <c r="D67" s="531"/>
      <c r="E67" s="477"/>
      <c r="F67" s="477"/>
      <c r="G67" s="477"/>
      <c r="H67" s="477"/>
      <c r="I67" s="477"/>
      <c r="J67" s="477"/>
      <c r="K67" s="477"/>
      <c r="L67" s="524"/>
    </row>
    <row r="68" spans="1:12" s="485" customFormat="1" ht="14.25" thickTop="1" thickBot="1">
      <c r="A68" s="1444" t="s">
        <v>772</v>
      </c>
      <c r="B68" s="483">
        <v>8730</v>
      </c>
      <c r="C68" s="531"/>
      <c r="D68" s="531"/>
      <c r="E68" s="477"/>
      <c r="F68" s="477"/>
      <c r="G68" s="477"/>
      <c r="H68" s="477"/>
      <c r="I68" s="477"/>
      <c r="J68" s="477"/>
      <c r="K68" s="477"/>
      <c r="L68" s="524"/>
    </row>
    <row r="69" spans="1:12" s="485" customFormat="1" ht="14.25" thickTop="1" thickBot="1">
      <c r="A69" s="1443" t="s">
        <v>773</v>
      </c>
      <c r="B69" s="483">
        <v>8740</v>
      </c>
      <c r="C69" s="531"/>
      <c r="D69" s="531"/>
      <c r="E69" s="477"/>
      <c r="F69" s="477"/>
      <c r="G69" s="477"/>
      <c r="H69" s="477"/>
      <c r="I69" s="477"/>
      <c r="J69" s="477"/>
      <c r="K69" s="477"/>
      <c r="L69" s="524"/>
    </row>
    <row r="70" spans="1:12" s="485" customFormat="1" ht="14.25" thickTop="1" thickBot="1">
      <c r="A70" s="1442" t="s">
        <v>774</v>
      </c>
      <c r="B70" s="483">
        <v>8810</v>
      </c>
      <c r="C70" s="531"/>
      <c r="D70" s="531"/>
      <c r="E70" s="477"/>
      <c r="F70" s="477"/>
      <c r="G70" s="477"/>
      <c r="H70" s="477"/>
      <c r="I70" s="477"/>
      <c r="J70" s="477"/>
      <c r="K70" s="477"/>
      <c r="L70" s="524"/>
    </row>
    <row r="71" spans="1:12" s="485" customFormat="1" ht="14.25" thickTop="1" thickBot="1">
      <c r="A71" s="1442" t="s">
        <v>778</v>
      </c>
      <c r="B71" s="483">
        <v>8820</v>
      </c>
      <c r="C71" s="531"/>
      <c r="D71" s="531"/>
      <c r="E71" s="477"/>
      <c r="F71" s="477"/>
      <c r="G71" s="477"/>
      <c r="H71" s="477"/>
      <c r="I71" s="477"/>
      <c r="J71" s="477"/>
      <c r="K71" s="477"/>
      <c r="L71" s="524"/>
    </row>
    <row r="72" spans="1:12" s="485" customFormat="1" ht="14.25" thickTop="1" thickBot="1">
      <c r="A72" s="1442" t="s">
        <v>775</v>
      </c>
      <c r="B72" s="483">
        <v>8830</v>
      </c>
      <c r="C72" s="531"/>
      <c r="D72" s="531"/>
      <c r="E72" s="477"/>
      <c r="F72" s="477"/>
      <c r="G72" s="477"/>
      <c r="H72" s="477"/>
      <c r="I72" s="477"/>
      <c r="J72" s="477"/>
      <c r="K72" s="477"/>
      <c r="L72" s="524"/>
    </row>
    <row r="73" spans="1:12" s="485" customFormat="1" ht="14.25" thickTop="1" thickBot="1">
      <c r="A73" s="1442" t="s">
        <v>776</v>
      </c>
      <c r="B73" s="483">
        <v>8840</v>
      </c>
      <c r="C73" s="531"/>
      <c r="D73" s="531"/>
      <c r="E73" s="477"/>
      <c r="F73" s="477"/>
      <c r="G73" s="477"/>
      <c r="H73" s="477"/>
      <c r="I73" s="477"/>
      <c r="J73" s="477"/>
      <c r="K73" s="480"/>
      <c r="L73" s="524"/>
    </row>
    <row r="74" spans="1:12" s="485" customFormat="1" ht="14.25" thickTop="1" thickBot="1">
      <c r="A74" s="1442" t="s">
        <v>393</v>
      </c>
      <c r="B74" s="483">
        <v>8910</v>
      </c>
      <c r="C74" s="531"/>
      <c r="D74" s="531"/>
      <c r="E74" s="480"/>
      <c r="F74" s="530"/>
      <c r="G74" s="530"/>
      <c r="H74" s="530"/>
      <c r="I74" s="480"/>
      <c r="J74" s="480"/>
      <c r="K74" s="530"/>
      <c r="L74" s="524"/>
    </row>
    <row r="75" spans="1:12" s="485" customFormat="1" ht="14.25" thickTop="1" thickBot="1">
      <c r="A75" s="1445" t="s">
        <v>459</v>
      </c>
      <c r="B75" s="483">
        <v>8990</v>
      </c>
      <c r="C75" s="531"/>
      <c r="D75" s="531"/>
      <c r="E75" s="530"/>
      <c r="F75" s="532"/>
      <c r="G75" s="532"/>
      <c r="H75" s="532">
        <v>328545</v>
      </c>
      <c r="I75" s="530"/>
      <c r="J75" s="530"/>
      <c r="K75" s="532"/>
      <c r="L75" s="524"/>
    </row>
    <row r="76" spans="1:12" s="485" customFormat="1" ht="14.25" thickTop="1" thickBot="1">
      <c r="A76" s="2110" t="s">
        <v>460</v>
      </c>
      <c r="B76" s="2111"/>
      <c r="C76" s="1651">
        <f t="shared" ref="C76:K76" si="7">SUM(C47:C75)</f>
        <v>0</v>
      </c>
      <c r="D76" s="1651">
        <f t="shared" si="7"/>
        <v>0</v>
      </c>
      <c r="E76" s="1651">
        <f t="shared" si="7"/>
        <v>0</v>
      </c>
      <c r="F76" s="1651">
        <f t="shared" si="7"/>
        <v>0</v>
      </c>
      <c r="G76" s="1651">
        <f t="shared" si="7"/>
        <v>0</v>
      </c>
      <c r="H76" s="1651">
        <f t="shared" si="7"/>
        <v>328545</v>
      </c>
      <c r="I76" s="1651">
        <f t="shared" si="7"/>
        <v>0</v>
      </c>
      <c r="J76" s="1651">
        <f t="shared" si="7"/>
        <v>0</v>
      </c>
      <c r="K76" s="1651">
        <f t="shared" si="7"/>
        <v>0</v>
      </c>
      <c r="L76" s="524"/>
    </row>
    <row r="77" spans="1:12" ht="14.25" thickTop="1" thickBot="1">
      <c r="A77" s="2112" t="s">
        <v>1239</v>
      </c>
      <c r="B77" s="2113"/>
      <c r="C77" s="1651">
        <f t="shared" ref="C77:K77" si="8">C44-C76</f>
        <v>0</v>
      </c>
      <c r="D77" s="1651">
        <f t="shared" si="8"/>
        <v>0</v>
      </c>
      <c r="E77" s="1651">
        <f t="shared" si="8"/>
        <v>328545</v>
      </c>
      <c r="F77" s="1651">
        <f t="shared" si="8"/>
        <v>0</v>
      </c>
      <c r="G77" s="1651">
        <f t="shared" si="8"/>
        <v>0</v>
      </c>
      <c r="H77" s="1651">
        <f t="shared" si="8"/>
        <v>-328545</v>
      </c>
      <c r="I77" s="1651">
        <f t="shared" si="8"/>
        <v>0</v>
      </c>
      <c r="J77" s="1651">
        <f t="shared" si="8"/>
        <v>0</v>
      </c>
      <c r="K77" s="1651">
        <f t="shared" si="8"/>
        <v>0</v>
      </c>
      <c r="L77" s="347"/>
    </row>
    <row r="78" spans="1:12" ht="21.75" customHeight="1" thickTop="1" thickBot="1">
      <c r="A78" s="2116" t="s">
        <v>618</v>
      </c>
      <c r="B78" s="2117"/>
      <c r="C78" s="1650">
        <f t="shared" ref="C78:K78" si="9">C20+C77</f>
        <v>1094346</v>
      </c>
      <c r="D78" s="1650">
        <f t="shared" si="9"/>
        <v>91000</v>
      </c>
      <c r="E78" s="1650">
        <f t="shared" si="9"/>
        <v>15120</v>
      </c>
      <c r="F78" s="1650">
        <f t="shared" si="9"/>
        <v>141506</v>
      </c>
      <c r="G78" s="1650">
        <f t="shared" si="9"/>
        <v>32653</v>
      </c>
      <c r="H78" s="1650">
        <f t="shared" si="9"/>
        <v>29465</v>
      </c>
      <c r="I78" s="1650">
        <f t="shared" si="9"/>
        <v>35005</v>
      </c>
      <c r="J78" s="1650">
        <f t="shared" si="9"/>
        <v>73985</v>
      </c>
      <c r="K78" s="1650">
        <f t="shared" si="9"/>
        <v>0</v>
      </c>
      <c r="L78" s="533"/>
    </row>
    <row r="79" spans="1:12" ht="13.5" thickTop="1">
      <c r="A79" s="1446" t="s">
        <v>2032</v>
      </c>
      <c r="B79" s="534"/>
      <c r="C79" s="478">
        <v>2734125</v>
      </c>
      <c r="D79" s="535">
        <v>210859</v>
      </c>
      <c r="E79" s="535">
        <v>61893</v>
      </c>
      <c r="F79" s="535">
        <v>-78735</v>
      </c>
      <c r="G79" s="535">
        <v>214371</v>
      </c>
      <c r="H79" s="535">
        <v>306886</v>
      </c>
      <c r="I79" s="535">
        <v>225852</v>
      </c>
      <c r="J79" s="535">
        <v>184071</v>
      </c>
      <c r="K79" s="535">
        <v>13</v>
      </c>
      <c r="L79" s="347"/>
    </row>
    <row r="80" spans="1:12">
      <c r="A80" s="2122" t="s">
        <v>1859</v>
      </c>
      <c r="B80" s="2123"/>
      <c r="C80" s="467"/>
      <c r="D80" s="467"/>
      <c r="E80" s="467"/>
      <c r="F80" s="467"/>
      <c r="G80" s="467"/>
      <c r="H80" s="467"/>
      <c r="I80" s="467"/>
      <c r="J80" s="467"/>
      <c r="K80" s="467"/>
      <c r="L80" s="347"/>
    </row>
    <row r="81" spans="1:12" ht="13.5" thickBot="1">
      <c r="A81" s="2114" t="s">
        <v>2033</v>
      </c>
      <c r="B81" s="2115"/>
      <c r="C81" s="1636">
        <f>(SUM(C78:C80))</f>
        <v>3828471</v>
      </c>
      <c r="D81" s="1636">
        <f>SUM(D78:D80)</f>
        <v>301859</v>
      </c>
      <c r="E81" s="1636">
        <f t="shared" ref="E81:K81" si="10">SUM(E78:E80)</f>
        <v>77013</v>
      </c>
      <c r="F81" s="1636">
        <f t="shared" si="10"/>
        <v>62771</v>
      </c>
      <c r="G81" s="1636">
        <f t="shared" si="10"/>
        <v>247024</v>
      </c>
      <c r="H81" s="1636">
        <f t="shared" si="10"/>
        <v>336351</v>
      </c>
      <c r="I81" s="1636">
        <f t="shared" si="10"/>
        <v>260857</v>
      </c>
      <c r="J81" s="1636">
        <f t="shared" si="10"/>
        <v>258056</v>
      </c>
      <c r="K81" s="1636">
        <f t="shared" si="10"/>
        <v>13</v>
      </c>
      <c r="L81" s="347"/>
    </row>
    <row r="82" spans="1:12" ht="0.75" customHeight="1" thickTop="1" thickBot="1">
      <c r="A82" s="536" t="s">
        <v>361</v>
      </c>
      <c r="B82" s="537"/>
      <c r="C82" s="538">
        <f>(C81-C79)</f>
        <v>1094346</v>
      </c>
      <c r="D82" s="538">
        <f t="shared" ref="D82:K82" si="11">(D81-D79)</f>
        <v>91000</v>
      </c>
      <c r="E82" s="538">
        <f t="shared" si="11"/>
        <v>15120</v>
      </c>
      <c r="F82" s="538">
        <f t="shared" si="11"/>
        <v>141506</v>
      </c>
      <c r="G82" s="538">
        <f t="shared" si="11"/>
        <v>32653</v>
      </c>
      <c r="H82" s="538">
        <f t="shared" si="11"/>
        <v>29465</v>
      </c>
      <c r="I82" s="538">
        <f t="shared" si="11"/>
        <v>35005</v>
      </c>
      <c r="J82" s="538">
        <f t="shared" si="11"/>
        <v>73985</v>
      </c>
      <c r="K82" s="538">
        <f t="shared" si="11"/>
        <v>0</v>
      </c>
    </row>
    <row r="83" spans="1:12" ht="14.25" hidden="1" thickTop="1" thickBot="1">
      <c r="A83" s="539" t="s">
        <v>362</v>
      </c>
      <c r="B83" s="464"/>
      <c r="C83" s="540">
        <f>C82/C81</f>
        <v>0.28584413986680324</v>
      </c>
      <c r="D83" s="540">
        <f t="shared" ref="D83:K83" si="12">D82/D81</f>
        <v>0.30146525364491367</v>
      </c>
      <c r="E83" s="540">
        <f t="shared" si="12"/>
        <v>0.19633048965759028</v>
      </c>
      <c r="F83" s="540">
        <f t="shared" si="12"/>
        <v>2.2543212630036162</v>
      </c>
      <c r="G83" s="540">
        <f t="shared" si="12"/>
        <v>0.13218553662801996</v>
      </c>
      <c r="H83" s="540">
        <f t="shared" si="12"/>
        <v>8.7601939640435139E-2</v>
      </c>
      <c r="I83" s="540">
        <f t="shared" si="12"/>
        <v>0.13419229692896875</v>
      </c>
      <c r="J83" s="540">
        <f t="shared" si="12"/>
        <v>0.28670133614409277</v>
      </c>
      <c r="K83" s="540">
        <f t="shared" si="12"/>
        <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86"/>
  <sheetViews>
    <sheetView showGridLines="0" defaultGridColor="0" colorId="8" zoomScale="110" zoomScaleNormal="110" zoomScaleSheetLayoutView="75" workbookViewId="0">
      <pane xSplit="2" ySplit="2" topLeftCell="C100" activePane="bottomRight" state="frozen"/>
      <selection activeCell="I21" sqref="I21:S21"/>
      <selection pane="topRight" activeCell="I21" sqref="I21:S21"/>
      <selection pane="bottomLeft" activeCell="I21" sqref="I21:S21"/>
      <selection pane="bottomRight" activeCell="A132" sqref="A132"/>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118" t="s">
        <v>1866</v>
      </c>
      <c r="B1" s="452"/>
      <c r="C1" s="453" t="s">
        <v>445</v>
      </c>
      <c r="D1" s="453" t="s">
        <v>446</v>
      </c>
      <c r="E1" s="453" t="s">
        <v>447</v>
      </c>
      <c r="F1" s="453" t="s">
        <v>448</v>
      </c>
      <c r="G1" s="453" t="s">
        <v>449</v>
      </c>
      <c r="H1" s="453" t="s">
        <v>450</v>
      </c>
      <c r="I1" s="453" t="s">
        <v>451</v>
      </c>
      <c r="J1" s="453" t="s">
        <v>452</v>
      </c>
      <c r="K1" s="453" t="s">
        <v>780</v>
      </c>
    </row>
    <row r="2" spans="1:12" ht="36">
      <c r="A2" s="2119"/>
      <c r="B2" s="541" t="s">
        <v>396</v>
      </c>
      <c r="C2" s="542" t="s">
        <v>1217</v>
      </c>
      <c r="D2" s="542" t="s">
        <v>925</v>
      </c>
      <c r="E2" s="542" t="s">
        <v>458</v>
      </c>
      <c r="F2" s="542" t="s">
        <v>157</v>
      </c>
      <c r="G2" s="542" t="s">
        <v>1046</v>
      </c>
      <c r="H2" s="542" t="s">
        <v>457</v>
      </c>
      <c r="I2" s="542" t="s">
        <v>427</v>
      </c>
      <c r="J2" s="542" t="s">
        <v>456</v>
      </c>
      <c r="K2" s="542" t="s">
        <v>159</v>
      </c>
    </row>
    <row r="3" spans="1:12" ht="16.7" customHeight="1">
      <c r="A3" s="1531" t="s">
        <v>115</v>
      </c>
      <c r="B3" s="1532"/>
      <c r="C3" s="1533"/>
      <c r="D3" s="1533"/>
      <c r="E3" s="1533"/>
      <c r="F3" s="1534"/>
      <c r="G3" s="1535"/>
      <c r="H3" s="1534"/>
      <c r="I3" s="1534"/>
      <c r="J3" s="1534"/>
      <c r="K3" s="1536"/>
    </row>
    <row r="4" spans="1:12" ht="15.75" customHeight="1">
      <c r="A4" s="1542" t="s">
        <v>397</v>
      </c>
      <c r="B4" s="1543">
        <v>1100</v>
      </c>
      <c r="C4" s="543"/>
      <c r="D4" s="543"/>
      <c r="E4" s="543"/>
      <c r="F4" s="544"/>
      <c r="G4" s="545"/>
      <c r="H4" s="546"/>
      <c r="I4" s="546"/>
      <c r="J4" s="546"/>
      <c r="K4" s="546"/>
    </row>
    <row r="5" spans="1:12" ht="15">
      <c r="A5" s="493" t="s">
        <v>1732</v>
      </c>
      <c r="B5" s="547"/>
      <c r="C5" s="481">
        <v>855604</v>
      </c>
      <c r="D5" s="481">
        <v>374754</v>
      </c>
      <c r="E5" s="466">
        <v>144690</v>
      </c>
      <c r="F5" s="548">
        <v>82138</v>
      </c>
      <c r="G5" s="466">
        <v>121825</v>
      </c>
      <c r="H5" s="466"/>
      <c r="I5" s="466">
        <v>34224</v>
      </c>
      <c r="J5" s="467">
        <v>185667</v>
      </c>
      <c r="K5" s="466"/>
    </row>
    <row r="6" spans="1:12" ht="15">
      <c r="A6" s="463" t="s">
        <v>1733</v>
      </c>
      <c r="B6" s="470">
        <v>1130</v>
      </c>
      <c r="C6" s="466">
        <v>34224</v>
      </c>
      <c r="D6" s="466"/>
      <c r="E6" s="475"/>
      <c r="F6" s="475"/>
      <c r="G6" s="468"/>
      <c r="H6" s="468"/>
      <c r="I6" s="468"/>
      <c r="J6" s="468"/>
      <c r="K6" s="468"/>
    </row>
    <row r="7" spans="1:12">
      <c r="A7" s="463" t="s">
        <v>112</v>
      </c>
      <c r="B7" s="549">
        <v>1140</v>
      </c>
      <c r="C7" s="466">
        <v>13689</v>
      </c>
      <c r="D7" s="466"/>
      <c r="E7" s="468"/>
      <c r="F7" s="467"/>
      <c r="G7" s="467"/>
      <c r="H7" s="467"/>
      <c r="I7" s="468"/>
      <c r="J7" s="468"/>
      <c r="K7" s="468"/>
    </row>
    <row r="8" spans="1:12">
      <c r="A8" s="463" t="s">
        <v>433</v>
      </c>
      <c r="B8" s="470">
        <v>1150</v>
      </c>
      <c r="C8" s="475"/>
      <c r="D8" s="475"/>
      <c r="E8" s="477"/>
      <c r="F8" s="477"/>
      <c r="G8" s="481">
        <v>179430</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95" customHeight="1" thickBot="1">
      <c r="A12" s="1653" t="s">
        <v>29</v>
      </c>
      <c r="B12" s="1654"/>
      <c r="C12" s="1655">
        <f t="shared" ref="C12:K12" si="0">SUM(C5:C11)</f>
        <v>903517</v>
      </c>
      <c r="D12" s="1655">
        <f t="shared" si="0"/>
        <v>374754</v>
      </c>
      <c r="E12" s="1655">
        <f t="shared" si="0"/>
        <v>144690</v>
      </c>
      <c r="F12" s="1655">
        <f t="shared" si="0"/>
        <v>82138</v>
      </c>
      <c r="G12" s="1655">
        <f t="shared" si="0"/>
        <v>301255</v>
      </c>
      <c r="H12" s="1655">
        <f t="shared" si="0"/>
        <v>0</v>
      </c>
      <c r="I12" s="1655">
        <f t="shared" si="0"/>
        <v>34224</v>
      </c>
      <c r="J12" s="1655">
        <f t="shared" si="0"/>
        <v>185667</v>
      </c>
      <c r="K12" s="1636">
        <f t="shared" si="0"/>
        <v>0</v>
      </c>
    </row>
    <row r="13" spans="1:12" ht="15.75" customHeight="1" thickTop="1">
      <c r="A13" s="1544" t="s">
        <v>471</v>
      </c>
      <c r="B13" s="154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95" customHeight="1">
      <c r="A15" s="463" t="s">
        <v>97</v>
      </c>
      <c r="B15" s="470">
        <v>1220</v>
      </c>
      <c r="C15" s="551"/>
      <c r="D15" s="466"/>
      <c r="E15" s="466"/>
      <c r="F15" s="466"/>
      <c r="G15" s="466"/>
      <c r="H15" s="466"/>
      <c r="I15" s="466"/>
      <c r="J15" s="467"/>
      <c r="K15" s="466"/>
    </row>
    <row r="16" spans="1:12" ht="15" customHeight="1">
      <c r="A16" s="463" t="s">
        <v>1734</v>
      </c>
      <c r="B16" s="549">
        <v>1230</v>
      </c>
      <c r="C16" s="551">
        <v>125092</v>
      </c>
      <c r="D16" s="466"/>
      <c r="E16" s="466"/>
      <c r="F16" s="466">
        <v>40000</v>
      </c>
      <c r="G16" s="466">
        <v>24024</v>
      </c>
      <c r="H16" s="466"/>
      <c r="I16" s="466"/>
      <c r="J16" s="467"/>
      <c r="K16" s="466"/>
    </row>
    <row r="17" spans="1:11" ht="12.95" customHeight="1">
      <c r="A17" s="463" t="s">
        <v>840</v>
      </c>
      <c r="B17" s="470">
        <v>1290</v>
      </c>
      <c r="C17" s="551"/>
      <c r="D17" s="466"/>
      <c r="E17" s="466"/>
      <c r="F17" s="466"/>
      <c r="G17" s="466"/>
      <c r="H17" s="466"/>
      <c r="I17" s="466"/>
      <c r="J17" s="467"/>
      <c r="K17" s="466"/>
    </row>
    <row r="18" spans="1:11" ht="12.95" customHeight="1" thickBot="1">
      <c r="A18" s="1656" t="s">
        <v>558</v>
      </c>
      <c r="B18" s="1657"/>
      <c r="C18" s="1658">
        <f>SUM(C14:C17)</f>
        <v>125092</v>
      </c>
      <c r="D18" s="1658">
        <f t="shared" ref="D18:K18" si="1">SUM(D14:D17)</f>
        <v>0</v>
      </c>
      <c r="E18" s="1658">
        <f t="shared" si="1"/>
        <v>0</v>
      </c>
      <c r="F18" s="1658">
        <f t="shared" si="1"/>
        <v>40000</v>
      </c>
      <c r="G18" s="1658">
        <f t="shared" si="1"/>
        <v>24024</v>
      </c>
      <c r="H18" s="1658">
        <f t="shared" si="1"/>
        <v>0</v>
      </c>
      <c r="I18" s="1658">
        <f t="shared" si="1"/>
        <v>0</v>
      </c>
      <c r="J18" s="1658">
        <f t="shared" si="1"/>
        <v>0</v>
      </c>
      <c r="K18" s="1659">
        <f t="shared" si="1"/>
        <v>0</v>
      </c>
    </row>
    <row r="19" spans="1:11" ht="15.75" customHeight="1" thickTop="1">
      <c r="A19" s="1544" t="s">
        <v>472</v>
      </c>
      <c r="B19" s="1545">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95" customHeight="1">
      <c r="A21" s="463" t="s">
        <v>887</v>
      </c>
      <c r="B21" s="470">
        <v>1312</v>
      </c>
      <c r="C21" s="551"/>
      <c r="D21" s="468"/>
      <c r="E21" s="468"/>
      <c r="F21" s="468"/>
      <c r="G21" s="468"/>
      <c r="H21" s="468"/>
      <c r="I21" s="468"/>
      <c r="J21" s="468"/>
      <c r="K21" s="468"/>
    </row>
    <row r="22" spans="1:11" ht="12.95" customHeight="1">
      <c r="A22" s="463" t="s">
        <v>1134</v>
      </c>
      <c r="B22" s="470">
        <v>1313</v>
      </c>
      <c r="C22" s="551"/>
      <c r="D22" s="468"/>
      <c r="E22" s="468"/>
      <c r="F22" s="468"/>
      <c r="G22" s="468"/>
      <c r="H22" s="468"/>
      <c r="I22" s="468"/>
      <c r="J22" s="468"/>
      <c r="K22" s="468"/>
    </row>
    <row r="23" spans="1:11" ht="12.95" customHeight="1">
      <c r="A23" s="463" t="s">
        <v>1135</v>
      </c>
      <c r="B23" s="470">
        <v>1314</v>
      </c>
      <c r="C23" s="489"/>
      <c r="D23" s="468"/>
      <c r="E23" s="468"/>
      <c r="F23" s="468"/>
      <c r="G23" s="468"/>
      <c r="H23" s="468"/>
      <c r="I23" s="468"/>
      <c r="J23" s="468"/>
      <c r="K23" s="468"/>
    </row>
    <row r="24" spans="1:11" ht="12.95" customHeight="1">
      <c r="A24" s="463" t="s">
        <v>1085</v>
      </c>
      <c r="B24" s="470">
        <v>1321</v>
      </c>
      <c r="C24" s="551"/>
      <c r="D24" s="468"/>
      <c r="E24" s="468"/>
      <c r="F24" s="468"/>
      <c r="G24" s="468"/>
      <c r="H24" s="468"/>
      <c r="I24" s="468"/>
      <c r="J24" s="468"/>
      <c r="K24" s="468"/>
    </row>
    <row r="25" spans="1:11" ht="12.95" customHeight="1">
      <c r="A25" s="463" t="s">
        <v>888</v>
      </c>
      <c r="B25" s="470">
        <v>1322</v>
      </c>
      <c r="C25" s="551"/>
      <c r="D25" s="468"/>
      <c r="E25" s="468"/>
      <c r="F25" s="468"/>
      <c r="G25" s="468"/>
      <c r="H25" s="468"/>
      <c r="I25" s="468"/>
      <c r="J25" s="468"/>
      <c r="K25" s="468"/>
    </row>
    <row r="26" spans="1:11" ht="12.95" customHeight="1">
      <c r="A26" s="463" t="s">
        <v>1163</v>
      </c>
      <c r="B26" s="470">
        <v>1323</v>
      </c>
      <c r="C26" s="551"/>
      <c r="D26" s="468"/>
      <c r="E26" s="468"/>
      <c r="F26" s="468"/>
      <c r="G26" s="468"/>
      <c r="H26" s="468"/>
      <c r="I26" s="468"/>
      <c r="J26" s="468"/>
      <c r="K26" s="468"/>
    </row>
    <row r="27" spans="1:11" ht="12.95" customHeight="1">
      <c r="A27" s="463" t="s">
        <v>1081</v>
      </c>
      <c r="B27" s="470">
        <v>1324</v>
      </c>
      <c r="C27" s="489"/>
      <c r="D27" s="468"/>
      <c r="E27" s="468"/>
      <c r="F27" s="468"/>
      <c r="G27" s="468"/>
      <c r="H27" s="468"/>
      <c r="I27" s="468"/>
      <c r="J27" s="468"/>
      <c r="K27" s="468"/>
    </row>
    <row r="28" spans="1:11" ht="12.95" customHeight="1">
      <c r="A28" s="463" t="s">
        <v>1082</v>
      </c>
      <c r="B28" s="470">
        <v>1331</v>
      </c>
      <c r="C28" s="551"/>
      <c r="D28" s="468"/>
      <c r="E28" s="468"/>
      <c r="F28" s="468"/>
      <c r="G28" s="468"/>
      <c r="H28" s="468"/>
      <c r="I28" s="468"/>
      <c r="J28" s="468"/>
      <c r="K28" s="468"/>
    </row>
    <row r="29" spans="1:11" ht="12.95" customHeight="1">
      <c r="A29" s="463" t="s">
        <v>889</v>
      </c>
      <c r="B29" s="470">
        <v>1332</v>
      </c>
      <c r="C29" s="551"/>
      <c r="D29" s="468"/>
      <c r="E29" s="468"/>
      <c r="F29" s="468"/>
      <c r="G29" s="468"/>
      <c r="H29" s="468"/>
      <c r="I29" s="468"/>
      <c r="J29" s="468"/>
      <c r="K29" s="468"/>
    </row>
    <row r="30" spans="1:11" ht="12.95" customHeight="1">
      <c r="A30" s="463" t="s">
        <v>1084</v>
      </c>
      <c r="B30" s="470">
        <v>1333</v>
      </c>
      <c r="C30" s="551"/>
      <c r="D30" s="468"/>
      <c r="E30" s="468"/>
      <c r="F30" s="468"/>
      <c r="G30" s="468"/>
      <c r="H30" s="468"/>
      <c r="I30" s="468"/>
      <c r="J30" s="468"/>
      <c r="K30" s="468"/>
    </row>
    <row r="31" spans="1:11" ht="12.95" customHeight="1">
      <c r="A31" s="463" t="s">
        <v>1083</v>
      </c>
      <c r="B31" s="470">
        <v>1334</v>
      </c>
      <c r="C31" s="489"/>
      <c r="D31" s="468"/>
      <c r="E31" s="468"/>
      <c r="F31" s="468"/>
      <c r="G31" s="468"/>
      <c r="H31" s="468"/>
      <c r="I31" s="468"/>
      <c r="J31" s="468"/>
      <c r="K31" s="468"/>
    </row>
    <row r="32" spans="1:11" ht="12.95" customHeight="1">
      <c r="A32" s="463" t="s">
        <v>515</v>
      </c>
      <c r="B32" s="470">
        <v>1341</v>
      </c>
      <c r="C32" s="551"/>
      <c r="D32" s="468"/>
      <c r="E32" s="468"/>
      <c r="F32" s="468"/>
      <c r="G32" s="468"/>
      <c r="H32" s="468"/>
      <c r="I32" s="468"/>
      <c r="J32" s="468"/>
      <c r="K32" s="468"/>
    </row>
    <row r="33" spans="1:11" ht="12.95" customHeight="1">
      <c r="A33" s="463" t="s">
        <v>890</v>
      </c>
      <c r="B33" s="470">
        <v>1342</v>
      </c>
      <c r="C33" s="551"/>
      <c r="D33" s="468"/>
      <c r="E33" s="468"/>
      <c r="F33" s="468"/>
      <c r="G33" s="468"/>
      <c r="H33" s="468"/>
      <c r="I33" s="468"/>
      <c r="J33" s="468"/>
      <c r="K33" s="468"/>
    </row>
    <row r="34" spans="1:11" ht="12.95" customHeight="1">
      <c r="A34" s="463" t="s">
        <v>516</v>
      </c>
      <c r="B34" s="470">
        <v>1343</v>
      </c>
      <c r="C34" s="551"/>
      <c r="D34" s="468"/>
      <c r="E34" s="468"/>
      <c r="F34" s="468"/>
      <c r="G34" s="468"/>
      <c r="H34" s="468"/>
      <c r="I34" s="468"/>
      <c r="J34" s="468"/>
      <c r="K34" s="468"/>
    </row>
    <row r="35" spans="1:11" ht="12.95" customHeight="1">
      <c r="A35" s="463" t="s">
        <v>514</v>
      </c>
      <c r="B35" s="470">
        <v>1344</v>
      </c>
      <c r="C35" s="489"/>
      <c r="D35" s="468"/>
      <c r="E35" s="468"/>
      <c r="F35" s="468"/>
      <c r="G35" s="468"/>
      <c r="H35" s="468"/>
      <c r="I35" s="468"/>
      <c r="J35" s="468"/>
      <c r="K35" s="468"/>
    </row>
    <row r="36" spans="1:11" ht="12.95" customHeight="1">
      <c r="A36" s="463" t="s">
        <v>886</v>
      </c>
      <c r="B36" s="470">
        <v>1351</v>
      </c>
      <c r="C36" s="551"/>
      <c r="D36" s="468"/>
      <c r="E36" s="468"/>
      <c r="F36" s="468"/>
      <c r="G36" s="468"/>
      <c r="H36" s="468"/>
      <c r="I36" s="468"/>
      <c r="J36" s="468"/>
      <c r="K36" s="468"/>
    </row>
    <row r="37" spans="1:11" ht="12.95" customHeight="1">
      <c r="A37" s="463" t="s">
        <v>891</v>
      </c>
      <c r="B37" s="470">
        <v>1352</v>
      </c>
      <c r="C37" s="551"/>
      <c r="D37" s="468"/>
      <c r="E37" s="468"/>
      <c r="F37" s="468"/>
      <c r="G37" s="468"/>
      <c r="H37" s="468"/>
      <c r="I37" s="468"/>
      <c r="J37" s="468"/>
      <c r="K37" s="468"/>
    </row>
    <row r="38" spans="1:11" ht="12.95" customHeight="1">
      <c r="A38" s="463" t="s">
        <v>614</v>
      </c>
      <c r="B38" s="470">
        <v>1353</v>
      </c>
      <c r="C38" s="551"/>
      <c r="D38" s="468"/>
      <c r="E38" s="468"/>
      <c r="F38" s="468"/>
      <c r="G38" s="468"/>
      <c r="H38" s="468"/>
      <c r="I38" s="468"/>
      <c r="J38" s="468"/>
      <c r="K38" s="468"/>
    </row>
    <row r="39" spans="1:11" ht="12.95" customHeight="1">
      <c r="A39" s="1447" t="s">
        <v>615</v>
      </c>
      <c r="B39" s="556">
        <v>1354</v>
      </c>
      <c r="C39" s="489"/>
      <c r="D39" s="468"/>
      <c r="E39" s="468"/>
      <c r="F39" s="468"/>
      <c r="G39" s="468"/>
      <c r="H39" s="468"/>
      <c r="I39" s="468"/>
      <c r="J39" s="468"/>
      <c r="K39" s="468"/>
    </row>
    <row r="40" spans="1:11" ht="12.95" customHeight="1" thickBot="1">
      <c r="A40" s="1656" t="s">
        <v>559</v>
      </c>
      <c r="B40" s="1657"/>
      <c r="C40" s="1636">
        <f>SUM(C20:C39)</f>
        <v>0</v>
      </c>
      <c r="D40" s="468"/>
      <c r="E40" s="468"/>
      <c r="F40" s="468"/>
      <c r="G40" s="468"/>
      <c r="H40" s="468"/>
      <c r="I40" s="468"/>
      <c r="J40" s="468"/>
      <c r="K40" s="468"/>
    </row>
    <row r="41" spans="1:11" ht="15.75" customHeight="1" thickTop="1">
      <c r="A41" s="1544" t="s">
        <v>292</v>
      </c>
      <c r="B41" s="1545">
        <v>1400</v>
      </c>
      <c r="C41" s="468"/>
      <c r="D41" s="468"/>
      <c r="E41" s="468"/>
      <c r="F41" s="521"/>
      <c r="G41" s="468"/>
      <c r="H41" s="468"/>
      <c r="I41" s="468"/>
      <c r="J41" s="468"/>
      <c r="K41" s="468"/>
    </row>
    <row r="42" spans="1:11" ht="12.95" customHeight="1">
      <c r="A42" s="463" t="s">
        <v>1136</v>
      </c>
      <c r="B42" s="470">
        <v>1411</v>
      </c>
      <c r="C42" s="468"/>
      <c r="D42" s="468"/>
      <c r="E42" s="468"/>
      <c r="F42" s="481"/>
      <c r="G42" s="468"/>
      <c r="H42" s="468"/>
      <c r="I42" s="468"/>
      <c r="J42" s="468"/>
      <c r="K42" s="468"/>
    </row>
    <row r="43" spans="1:11" ht="12.95" customHeight="1">
      <c r="A43" s="463" t="s">
        <v>892</v>
      </c>
      <c r="B43" s="470">
        <v>1412</v>
      </c>
      <c r="C43" s="468"/>
      <c r="D43" s="468"/>
      <c r="E43" s="468"/>
      <c r="F43" s="466"/>
      <c r="G43" s="468"/>
      <c r="H43" s="468"/>
      <c r="I43" s="468"/>
      <c r="J43" s="468"/>
      <c r="K43" s="468"/>
    </row>
    <row r="44" spans="1:11" ht="12.95" customHeight="1">
      <c r="A44" s="463" t="s">
        <v>402</v>
      </c>
      <c r="B44" s="470">
        <v>1413</v>
      </c>
      <c r="C44" s="468"/>
      <c r="D44" s="468"/>
      <c r="E44" s="468"/>
      <c r="F44" s="466"/>
      <c r="G44" s="468"/>
      <c r="H44" s="468"/>
      <c r="I44" s="468"/>
      <c r="J44" s="468"/>
      <c r="K44" s="468"/>
    </row>
    <row r="45" spans="1:11" ht="12.95" customHeight="1">
      <c r="A45" s="463" t="s">
        <v>258</v>
      </c>
      <c r="B45" s="470">
        <v>1415</v>
      </c>
      <c r="C45" s="468"/>
      <c r="D45" s="468"/>
      <c r="E45" s="468"/>
      <c r="F45" s="466"/>
      <c r="G45" s="468"/>
      <c r="H45" s="468"/>
      <c r="I45" s="468"/>
      <c r="J45" s="468"/>
      <c r="K45" s="468"/>
    </row>
    <row r="46" spans="1:11" ht="12.95" customHeight="1">
      <c r="A46" s="463" t="s">
        <v>1236</v>
      </c>
      <c r="B46" s="470">
        <v>1416</v>
      </c>
      <c r="C46" s="468"/>
      <c r="D46" s="468"/>
      <c r="E46" s="468"/>
      <c r="F46" s="467"/>
      <c r="G46" s="468"/>
      <c r="H46" s="468"/>
      <c r="I46" s="468"/>
      <c r="J46" s="468"/>
      <c r="K46" s="468"/>
    </row>
    <row r="47" spans="1:11" ht="12.95" customHeight="1">
      <c r="A47" s="463" t="s">
        <v>59</v>
      </c>
      <c r="B47" s="470">
        <v>1421</v>
      </c>
      <c r="C47" s="468"/>
      <c r="D47" s="468"/>
      <c r="E47" s="468"/>
      <c r="F47" s="466"/>
      <c r="G47" s="468"/>
      <c r="H47" s="468"/>
      <c r="I47" s="468"/>
      <c r="J47" s="468"/>
      <c r="K47" s="468"/>
    </row>
    <row r="48" spans="1:11" ht="12.95" customHeight="1">
      <c r="A48" s="463" t="s">
        <v>893</v>
      </c>
      <c r="B48" s="470">
        <v>1422</v>
      </c>
      <c r="C48" s="468"/>
      <c r="D48" s="468"/>
      <c r="E48" s="468"/>
      <c r="F48" s="466"/>
      <c r="G48" s="468"/>
      <c r="H48" s="468"/>
      <c r="I48" s="468"/>
      <c r="J48" s="468"/>
      <c r="K48" s="468"/>
    </row>
    <row r="49" spans="1:11" ht="12.95" customHeight="1">
      <c r="A49" s="463" t="s">
        <v>60</v>
      </c>
      <c r="B49" s="470">
        <v>1423</v>
      </c>
      <c r="C49" s="468"/>
      <c r="D49" s="468"/>
      <c r="E49" s="468"/>
      <c r="F49" s="466"/>
      <c r="G49" s="468"/>
      <c r="H49" s="468"/>
      <c r="I49" s="468"/>
      <c r="J49" s="468"/>
      <c r="K49" s="468"/>
    </row>
    <row r="50" spans="1:11" ht="12.95" customHeight="1">
      <c r="A50" s="463" t="s">
        <v>61</v>
      </c>
      <c r="B50" s="470">
        <v>1424</v>
      </c>
      <c r="C50" s="468"/>
      <c r="D50" s="468"/>
      <c r="E50" s="468"/>
      <c r="F50" s="467"/>
      <c r="G50" s="468"/>
      <c r="H50" s="468"/>
      <c r="I50" s="468"/>
      <c r="J50" s="468"/>
      <c r="K50" s="468"/>
    </row>
    <row r="51" spans="1:11" ht="12.95" customHeight="1">
      <c r="A51" s="1448" t="s">
        <v>62</v>
      </c>
      <c r="B51" s="557">
        <v>1431</v>
      </c>
      <c r="C51" s="468"/>
      <c r="D51" s="468"/>
      <c r="E51" s="468"/>
      <c r="F51" s="466"/>
      <c r="G51" s="468"/>
      <c r="H51" s="468"/>
      <c r="I51" s="468"/>
      <c r="J51" s="468"/>
      <c r="K51" s="468"/>
    </row>
    <row r="52" spans="1:11" ht="12.95" customHeight="1">
      <c r="A52" s="1448" t="s">
        <v>1168</v>
      </c>
      <c r="B52" s="557">
        <v>1432</v>
      </c>
      <c r="C52" s="468"/>
      <c r="D52" s="468"/>
      <c r="E52" s="468"/>
      <c r="F52" s="466"/>
      <c r="G52" s="468"/>
      <c r="H52" s="468"/>
      <c r="I52" s="468"/>
      <c r="J52" s="468"/>
      <c r="K52" s="468"/>
    </row>
    <row r="53" spans="1:11" ht="12.95" customHeight="1">
      <c r="A53" s="1448" t="s">
        <v>63</v>
      </c>
      <c r="B53" s="557">
        <v>1433</v>
      </c>
      <c r="C53" s="468"/>
      <c r="D53" s="468"/>
      <c r="E53" s="468"/>
      <c r="F53" s="466"/>
      <c r="G53" s="468"/>
      <c r="H53" s="468"/>
      <c r="I53" s="468"/>
      <c r="J53" s="468"/>
      <c r="K53" s="468"/>
    </row>
    <row r="54" spans="1:11" ht="12.95" customHeight="1">
      <c r="A54" s="1448" t="s">
        <v>64</v>
      </c>
      <c r="B54" s="557">
        <v>1434</v>
      </c>
      <c r="C54" s="468"/>
      <c r="D54" s="468"/>
      <c r="E54" s="468"/>
      <c r="F54" s="467"/>
      <c r="G54" s="468"/>
      <c r="H54" s="468"/>
      <c r="I54" s="468"/>
      <c r="J54" s="468"/>
      <c r="K54" s="468"/>
    </row>
    <row r="55" spans="1:11" ht="12.95" customHeight="1">
      <c r="A55" s="1448" t="s">
        <v>65</v>
      </c>
      <c r="B55" s="557">
        <v>1441</v>
      </c>
      <c r="C55" s="468"/>
      <c r="D55" s="468"/>
      <c r="E55" s="468"/>
      <c r="F55" s="466"/>
      <c r="G55" s="468"/>
      <c r="H55" s="468"/>
      <c r="I55" s="468"/>
      <c r="J55" s="468"/>
      <c r="K55" s="468"/>
    </row>
    <row r="56" spans="1:11" ht="12.95" customHeight="1">
      <c r="A56" s="1448" t="s">
        <v>1169</v>
      </c>
      <c r="B56" s="557">
        <v>1442</v>
      </c>
      <c r="C56" s="468"/>
      <c r="D56" s="468"/>
      <c r="E56" s="468"/>
      <c r="F56" s="466"/>
      <c r="G56" s="468"/>
      <c r="H56" s="468"/>
      <c r="I56" s="468"/>
      <c r="J56" s="468"/>
      <c r="K56" s="468"/>
    </row>
    <row r="57" spans="1:11" ht="12.95" customHeight="1">
      <c r="A57" s="1448" t="s">
        <v>510</v>
      </c>
      <c r="B57" s="557">
        <v>1443</v>
      </c>
      <c r="C57" s="468"/>
      <c r="D57" s="468"/>
      <c r="E57" s="468"/>
      <c r="F57" s="466"/>
      <c r="G57" s="468"/>
      <c r="H57" s="468"/>
      <c r="I57" s="468"/>
      <c r="J57" s="468"/>
      <c r="K57" s="468"/>
    </row>
    <row r="58" spans="1:11" ht="12.95" customHeight="1">
      <c r="A58" s="1448" t="s">
        <v>67</v>
      </c>
      <c r="B58" s="557">
        <v>1444</v>
      </c>
      <c r="C58" s="468"/>
      <c r="D58" s="468"/>
      <c r="E58" s="468"/>
      <c r="F58" s="466"/>
      <c r="G58" s="468"/>
      <c r="H58" s="468"/>
      <c r="I58" s="468"/>
      <c r="J58" s="468"/>
      <c r="K58" s="468"/>
    </row>
    <row r="59" spans="1:11" ht="12.95" customHeight="1">
      <c r="A59" s="1448" t="s">
        <v>933</v>
      </c>
      <c r="B59" s="557">
        <v>1451</v>
      </c>
      <c r="C59" s="468"/>
      <c r="D59" s="468"/>
      <c r="E59" s="468"/>
      <c r="F59" s="466"/>
      <c r="G59" s="468"/>
      <c r="H59" s="468"/>
      <c r="I59" s="468"/>
      <c r="J59" s="468"/>
      <c r="K59" s="468"/>
    </row>
    <row r="60" spans="1:11" ht="12.95" customHeight="1">
      <c r="A60" s="1448" t="s">
        <v>1170</v>
      </c>
      <c r="B60" s="557">
        <v>1452</v>
      </c>
      <c r="C60" s="468"/>
      <c r="D60" s="468"/>
      <c r="E60" s="468"/>
      <c r="F60" s="466"/>
      <c r="G60" s="468"/>
      <c r="H60" s="468"/>
      <c r="I60" s="468"/>
      <c r="J60" s="468"/>
      <c r="K60" s="468"/>
    </row>
    <row r="61" spans="1:11" ht="12.95" customHeight="1">
      <c r="A61" s="563" t="s">
        <v>934</v>
      </c>
      <c r="B61" s="557">
        <v>1453</v>
      </c>
      <c r="C61" s="468"/>
      <c r="D61" s="468"/>
      <c r="E61" s="468"/>
      <c r="F61" s="466"/>
      <c r="G61" s="468"/>
      <c r="H61" s="468"/>
      <c r="I61" s="468"/>
      <c r="J61" s="468"/>
      <c r="K61" s="468"/>
    </row>
    <row r="62" spans="1:11" ht="12.95" customHeight="1">
      <c r="A62" s="1449" t="s">
        <v>935</v>
      </c>
      <c r="B62" s="558">
        <v>1454</v>
      </c>
      <c r="C62" s="468"/>
      <c r="D62" s="468"/>
      <c r="E62" s="468"/>
      <c r="F62" s="467"/>
      <c r="G62" s="468"/>
      <c r="H62" s="468"/>
      <c r="I62" s="468"/>
      <c r="J62" s="468"/>
      <c r="K62" s="468"/>
    </row>
    <row r="63" spans="1:11" ht="12.95" customHeight="1" thickBot="1">
      <c r="A63" s="1656" t="s">
        <v>506</v>
      </c>
      <c r="B63" s="1657"/>
      <c r="C63" s="468"/>
      <c r="D63" s="468"/>
      <c r="E63" s="468"/>
      <c r="F63" s="1636">
        <f>SUM(F42:F62)</f>
        <v>0</v>
      </c>
      <c r="G63" s="468"/>
      <c r="H63" s="468"/>
      <c r="I63" s="468"/>
      <c r="J63" s="468"/>
      <c r="K63" s="468"/>
    </row>
    <row r="64" spans="1:11" ht="15.75" customHeight="1" thickTop="1">
      <c r="A64" s="1544" t="s">
        <v>474</v>
      </c>
      <c r="B64" s="1545">
        <v>1500</v>
      </c>
      <c r="C64" s="468"/>
      <c r="D64" s="468"/>
      <c r="E64" s="468"/>
      <c r="F64" s="468"/>
      <c r="G64" s="468"/>
      <c r="H64" s="468"/>
      <c r="I64" s="468"/>
      <c r="J64" s="468"/>
      <c r="K64" s="468"/>
    </row>
    <row r="65" spans="1:11" ht="12.95" customHeight="1">
      <c r="A65" s="463" t="s">
        <v>568</v>
      </c>
      <c r="B65" s="470">
        <v>1510</v>
      </c>
      <c r="C65" s="466">
        <v>32053</v>
      </c>
      <c r="D65" s="466">
        <v>1312</v>
      </c>
      <c r="E65" s="466">
        <v>407</v>
      </c>
      <c r="F65" s="467">
        <v>770</v>
      </c>
      <c r="G65" s="466">
        <v>1576</v>
      </c>
      <c r="H65" s="466">
        <v>1898</v>
      </c>
      <c r="I65" s="466">
        <v>781</v>
      </c>
      <c r="J65" s="467">
        <v>1421</v>
      </c>
      <c r="K65" s="466"/>
    </row>
    <row r="66" spans="1:11" ht="12.95" customHeight="1">
      <c r="A66" s="463" t="s">
        <v>700</v>
      </c>
      <c r="B66" s="470">
        <v>1520</v>
      </c>
      <c r="C66" s="466"/>
      <c r="D66" s="466"/>
      <c r="E66" s="466"/>
      <c r="F66" s="466"/>
      <c r="G66" s="466"/>
      <c r="H66" s="466"/>
      <c r="I66" s="466"/>
      <c r="J66" s="467"/>
      <c r="K66" s="466"/>
    </row>
    <row r="67" spans="1:11" ht="12.95" customHeight="1" thickBot="1">
      <c r="A67" s="1656" t="s">
        <v>507</v>
      </c>
      <c r="B67" s="1657"/>
      <c r="C67" s="1636">
        <f>SUM(C65:C66)</f>
        <v>32053</v>
      </c>
      <c r="D67" s="1636">
        <f t="shared" ref="D67:K67" si="2">SUM(D65:D66)</f>
        <v>1312</v>
      </c>
      <c r="E67" s="1636">
        <f t="shared" si="2"/>
        <v>407</v>
      </c>
      <c r="F67" s="1636">
        <f t="shared" si="2"/>
        <v>770</v>
      </c>
      <c r="G67" s="1636">
        <f t="shared" si="2"/>
        <v>1576</v>
      </c>
      <c r="H67" s="1636">
        <f t="shared" si="2"/>
        <v>1898</v>
      </c>
      <c r="I67" s="1636">
        <f t="shared" si="2"/>
        <v>781</v>
      </c>
      <c r="J67" s="1636">
        <f t="shared" si="2"/>
        <v>1421</v>
      </c>
      <c r="K67" s="1636">
        <f t="shared" si="2"/>
        <v>0</v>
      </c>
    </row>
    <row r="68" spans="1:11" ht="15.75" customHeight="1" thickTop="1">
      <c r="A68" s="1544" t="s">
        <v>475</v>
      </c>
      <c r="B68" s="1546">
        <v>1600</v>
      </c>
      <c r="C68" s="553"/>
      <c r="D68" s="468"/>
      <c r="E68" s="468"/>
      <c r="F68" s="468"/>
      <c r="G68" s="468"/>
      <c r="H68" s="468"/>
      <c r="I68" s="468"/>
      <c r="J68" s="468"/>
      <c r="K68" s="468"/>
    </row>
    <row r="69" spans="1:11" ht="12.95" customHeight="1">
      <c r="A69" s="463" t="s">
        <v>687</v>
      </c>
      <c r="B69" s="470">
        <v>1611</v>
      </c>
      <c r="C69" s="466">
        <v>1149</v>
      </c>
      <c r="D69" s="468"/>
      <c r="E69" s="468"/>
      <c r="F69" s="468"/>
      <c r="G69" s="468"/>
      <c r="H69" s="468"/>
      <c r="I69" s="468"/>
      <c r="J69" s="468"/>
      <c r="K69" s="468"/>
    </row>
    <row r="70" spans="1:11" ht="12.95" customHeight="1">
      <c r="A70" s="463" t="s">
        <v>1054</v>
      </c>
      <c r="B70" s="470">
        <v>1612</v>
      </c>
      <c r="C70" s="551"/>
      <c r="D70" s="468"/>
      <c r="E70" s="468"/>
      <c r="F70" s="468"/>
      <c r="G70" s="468"/>
      <c r="H70" s="468"/>
      <c r="I70" s="468"/>
      <c r="J70" s="468"/>
      <c r="K70" s="468"/>
    </row>
    <row r="71" spans="1:11" ht="12.95" customHeight="1">
      <c r="A71" s="463" t="s">
        <v>291</v>
      </c>
      <c r="B71" s="470">
        <v>1613</v>
      </c>
      <c r="C71" s="551"/>
      <c r="D71" s="468"/>
      <c r="E71" s="468"/>
      <c r="F71" s="468"/>
      <c r="G71" s="468"/>
      <c r="H71" s="468"/>
      <c r="I71" s="468"/>
      <c r="J71" s="468"/>
      <c r="K71" s="468"/>
    </row>
    <row r="72" spans="1:11" ht="12.95" customHeight="1">
      <c r="A72" s="463" t="s">
        <v>24</v>
      </c>
      <c r="B72" s="470">
        <v>1614</v>
      </c>
      <c r="C72" s="551"/>
      <c r="D72" s="468"/>
      <c r="E72" s="468"/>
      <c r="F72" s="468"/>
      <c r="G72" s="468"/>
      <c r="H72" s="468"/>
      <c r="I72" s="468"/>
      <c r="J72" s="468"/>
      <c r="K72" s="468"/>
    </row>
    <row r="73" spans="1:11" ht="12.95" customHeight="1">
      <c r="A73" s="463" t="s">
        <v>1055</v>
      </c>
      <c r="B73" s="470">
        <v>1620</v>
      </c>
      <c r="C73" s="551">
        <v>1487</v>
      </c>
      <c r="D73" s="468"/>
      <c r="E73" s="468"/>
      <c r="F73" s="468"/>
      <c r="G73" s="468"/>
      <c r="H73" s="468"/>
      <c r="I73" s="468"/>
      <c r="J73" s="468"/>
      <c r="K73" s="468"/>
    </row>
    <row r="74" spans="1:11" ht="12.95" customHeight="1">
      <c r="A74" s="463" t="s">
        <v>25</v>
      </c>
      <c r="B74" s="470">
        <v>1690</v>
      </c>
      <c r="C74" s="551">
        <v>151887</v>
      </c>
      <c r="D74" s="468"/>
      <c r="E74" s="468"/>
      <c r="F74" s="468"/>
      <c r="G74" s="468"/>
      <c r="H74" s="468"/>
      <c r="I74" s="468"/>
      <c r="J74" s="468"/>
      <c r="K74" s="468"/>
    </row>
    <row r="75" spans="1:11" ht="12.95" customHeight="1" thickBot="1">
      <c r="A75" s="1656" t="s">
        <v>569</v>
      </c>
      <c r="B75" s="1657"/>
      <c r="C75" s="1636">
        <f>SUM(C69:C74)</f>
        <v>154523</v>
      </c>
      <c r="D75" s="468"/>
      <c r="E75" s="468"/>
      <c r="F75" s="468"/>
      <c r="G75" s="468"/>
      <c r="H75" s="468"/>
      <c r="I75" s="468"/>
      <c r="J75" s="468"/>
      <c r="K75" s="468"/>
    </row>
    <row r="76" spans="1:11" ht="15.75" customHeight="1" thickTop="1">
      <c r="A76" s="1544" t="s">
        <v>936</v>
      </c>
      <c r="B76" s="1546">
        <v>1700</v>
      </c>
      <c r="C76" s="553"/>
      <c r="D76" s="468"/>
      <c r="E76" s="468"/>
      <c r="F76" s="468"/>
      <c r="G76" s="468"/>
      <c r="H76" s="468"/>
      <c r="I76" s="468"/>
      <c r="J76" s="468"/>
      <c r="K76" s="468"/>
    </row>
    <row r="77" spans="1:11" ht="12.95" customHeight="1">
      <c r="A77" s="463" t="s">
        <v>570</v>
      </c>
      <c r="B77" s="470">
        <v>1711</v>
      </c>
      <c r="C77" s="516">
        <v>7507</v>
      </c>
      <c r="D77" s="466"/>
      <c r="E77" s="468"/>
      <c r="F77" s="468"/>
      <c r="G77" s="468"/>
      <c r="H77" s="468"/>
      <c r="I77" s="468"/>
      <c r="J77" s="468"/>
      <c r="K77" s="468"/>
    </row>
    <row r="78" spans="1:11" ht="12.95" customHeight="1">
      <c r="A78" s="463" t="s">
        <v>78</v>
      </c>
      <c r="B78" s="470">
        <v>1719</v>
      </c>
      <c r="C78" s="551">
        <v>9222</v>
      </c>
      <c r="D78" s="466"/>
      <c r="E78" s="468"/>
      <c r="F78" s="468"/>
      <c r="G78" s="468"/>
      <c r="H78" s="468"/>
      <c r="I78" s="468"/>
      <c r="J78" s="468"/>
      <c r="K78" s="468"/>
    </row>
    <row r="79" spans="1:11" ht="12.95" customHeight="1">
      <c r="A79" s="463" t="s">
        <v>571</v>
      </c>
      <c r="B79" s="470">
        <v>1720</v>
      </c>
      <c r="C79" s="551"/>
      <c r="D79" s="466"/>
      <c r="E79" s="468"/>
      <c r="F79" s="468"/>
      <c r="G79" s="468"/>
      <c r="H79" s="468"/>
      <c r="I79" s="468"/>
      <c r="J79" s="468"/>
      <c r="K79" s="468"/>
    </row>
    <row r="80" spans="1:11" ht="12.95" customHeight="1">
      <c r="A80" s="463" t="s">
        <v>572</v>
      </c>
      <c r="B80" s="470">
        <v>1730</v>
      </c>
      <c r="C80" s="551"/>
      <c r="D80" s="466"/>
      <c r="E80" s="468"/>
      <c r="F80" s="468"/>
      <c r="G80" s="468"/>
      <c r="H80" s="468"/>
      <c r="I80" s="468"/>
      <c r="J80" s="468"/>
      <c r="K80" s="468"/>
    </row>
    <row r="81" spans="1:11" ht="12.95" customHeight="1">
      <c r="A81" s="463" t="s">
        <v>26</v>
      </c>
      <c r="B81" s="470">
        <v>1790</v>
      </c>
      <c r="C81" s="551"/>
      <c r="D81" s="466"/>
      <c r="E81" s="468"/>
      <c r="F81" s="468"/>
      <c r="G81" s="468"/>
      <c r="H81" s="468"/>
      <c r="I81" s="468"/>
      <c r="J81" s="468"/>
      <c r="K81" s="468"/>
    </row>
    <row r="82" spans="1:11" ht="12.95" customHeight="1" thickBot="1">
      <c r="A82" s="1656" t="s">
        <v>259</v>
      </c>
      <c r="B82" s="1657"/>
      <c r="C82" s="1655">
        <f>SUM(C77:C81)</f>
        <v>16729</v>
      </c>
      <c r="D82" s="1636">
        <f>SUM(D77:D81)</f>
        <v>0</v>
      </c>
      <c r="E82" s="468"/>
      <c r="F82" s="468"/>
      <c r="G82" s="468"/>
      <c r="H82" s="468"/>
      <c r="I82" s="468"/>
      <c r="J82" s="468"/>
      <c r="K82" s="468"/>
    </row>
    <row r="83" spans="1:11" ht="15.75" customHeight="1" thickTop="1">
      <c r="A83" s="1544" t="s">
        <v>260</v>
      </c>
      <c r="B83" s="1546">
        <v>1800</v>
      </c>
      <c r="C83" s="553"/>
      <c r="D83" s="468"/>
      <c r="E83" s="468"/>
      <c r="F83" s="468"/>
      <c r="G83" s="468"/>
      <c r="H83" s="468"/>
      <c r="I83" s="468"/>
      <c r="J83" s="468"/>
      <c r="K83" s="468"/>
    </row>
    <row r="84" spans="1:11" ht="12.95" customHeight="1">
      <c r="A84" s="463" t="s">
        <v>573</v>
      </c>
      <c r="B84" s="470">
        <v>1811</v>
      </c>
      <c r="C84" s="466">
        <v>18361</v>
      </c>
      <c r="D84" s="468"/>
      <c r="E84" s="468"/>
      <c r="F84" s="468"/>
      <c r="G84" s="468"/>
      <c r="H84" s="468"/>
      <c r="I84" s="468"/>
      <c r="J84" s="468"/>
      <c r="K84" s="468"/>
    </row>
    <row r="85" spans="1:11" ht="12.95" customHeight="1">
      <c r="A85" s="463" t="s">
        <v>574</v>
      </c>
      <c r="B85" s="470">
        <v>1812</v>
      </c>
      <c r="C85" s="551"/>
      <c r="D85" s="468"/>
      <c r="E85" s="468"/>
      <c r="F85" s="468"/>
      <c r="G85" s="468"/>
      <c r="H85" s="468"/>
      <c r="I85" s="468"/>
      <c r="J85" s="468"/>
      <c r="K85" s="468"/>
    </row>
    <row r="86" spans="1:11" ht="12.95" customHeight="1">
      <c r="A86" s="463" t="s">
        <v>1056</v>
      </c>
      <c r="B86" s="470">
        <v>1813</v>
      </c>
      <c r="C86" s="551"/>
      <c r="D86" s="468"/>
      <c r="E86" s="468"/>
      <c r="F86" s="468"/>
      <c r="G86" s="468"/>
      <c r="H86" s="468"/>
      <c r="I86" s="468"/>
      <c r="J86" s="468"/>
      <c r="K86" s="468"/>
    </row>
    <row r="87" spans="1:11" ht="12.95" customHeight="1">
      <c r="A87" s="463" t="s">
        <v>79</v>
      </c>
      <c r="B87" s="470">
        <v>1819</v>
      </c>
      <c r="C87" s="551"/>
      <c r="D87" s="468"/>
      <c r="E87" s="468"/>
      <c r="F87" s="468"/>
      <c r="G87" s="468"/>
      <c r="H87" s="468"/>
      <c r="I87" s="468"/>
      <c r="J87" s="468"/>
      <c r="K87" s="468"/>
    </row>
    <row r="88" spans="1:11" ht="12.95" customHeight="1">
      <c r="A88" s="463" t="s">
        <v>575</v>
      </c>
      <c r="B88" s="470">
        <v>1821</v>
      </c>
      <c r="C88" s="551"/>
      <c r="D88" s="468"/>
      <c r="E88" s="468"/>
      <c r="F88" s="468"/>
      <c r="G88" s="468"/>
      <c r="H88" s="468"/>
      <c r="I88" s="468"/>
      <c r="J88" s="468"/>
      <c r="K88" s="468"/>
    </row>
    <row r="89" spans="1:11" ht="12.95" customHeight="1">
      <c r="A89" s="463" t="s">
        <v>738</v>
      </c>
      <c r="B89" s="470">
        <v>1822</v>
      </c>
      <c r="C89" s="551"/>
      <c r="D89" s="468"/>
      <c r="E89" s="468"/>
      <c r="F89" s="468"/>
      <c r="G89" s="468"/>
      <c r="H89" s="468"/>
      <c r="I89" s="468"/>
      <c r="J89" s="468"/>
      <c r="K89" s="468"/>
    </row>
    <row r="90" spans="1:11" ht="12.95" customHeight="1">
      <c r="A90" s="463" t="s">
        <v>141</v>
      </c>
      <c r="B90" s="470">
        <v>1823</v>
      </c>
      <c r="C90" s="551"/>
      <c r="D90" s="468"/>
      <c r="E90" s="468"/>
      <c r="F90" s="468"/>
      <c r="G90" s="468"/>
      <c r="H90" s="468"/>
      <c r="I90" s="468"/>
      <c r="J90" s="468"/>
      <c r="K90" s="468"/>
    </row>
    <row r="91" spans="1:11" ht="12.95" customHeight="1">
      <c r="A91" s="463" t="s">
        <v>27</v>
      </c>
      <c r="B91" s="470">
        <v>1829</v>
      </c>
      <c r="C91" s="551"/>
      <c r="D91" s="468"/>
      <c r="E91" s="468"/>
      <c r="F91" s="468"/>
      <c r="G91" s="468"/>
      <c r="H91" s="468"/>
      <c r="I91" s="468"/>
      <c r="J91" s="468"/>
      <c r="K91" s="468"/>
    </row>
    <row r="92" spans="1:11" ht="12.95" customHeight="1">
      <c r="A92" s="463" t="s">
        <v>786</v>
      </c>
      <c r="B92" s="470">
        <v>1890</v>
      </c>
      <c r="C92" s="551"/>
      <c r="D92" s="468"/>
      <c r="E92" s="468"/>
      <c r="F92" s="468"/>
      <c r="G92" s="468"/>
      <c r="H92" s="468"/>
      <c r="I92" s="468"/>
      <c r="J92" s="468"/>
      <c r="K92" s="468"/>
    </row>
    <row r="93" spans="1:11" ht="12.95" customHeight="1" thickBot="1">
      <c r="A93" s="1656" t="s">
        <v>261</v>
      </c>
      <c r="B93" s="1657"/>
      <c r="C93" s="1636">
        <f>SUM(C84:C92)</f>
        <v>18361</v>
      </c>
      <c r="D93" s="468"/>
      <c r="E93" s="468"/>
      <c r="F93" s="468"/>
      <c r="G93" s="468"/>
      <c r="H93" s="468"/>
      <c r="I93" s="468"/>
      <c r="J93" s="468"/>
      <c r="K93" s="468"/>
    </row>
    <row r="94" spans="1:11" ht="15.75" customHeight="1" thickTop="1">
      <c r="A94" s="1544" t="s">
        <v>1199</v>
      </c>
      <c r="B94" s="1546">
        <v>1900</v>
      </c>
      <c r="C94" s="553"/>
      <c r="D94" s="521"/>
      <c r="E94" s="468"/>
      <c r="F94" s="468"/>
      <c r="G94" s="468"/>
      <c r="H94" s="468"/>
      <c r="I94" s="468"/>
      <c r="J94" s="468"/>
      <c r="K94" s="468"/>
    </row>
    <row r="95" spans="1:11" ht="12.95" customHeight="1">
      <c r="A95" s="463" t="s">
        <v>1124</v>
      </c>
      <c r="B95" s="470">
        <v>1910</v>
      </c>
      <c r="C95" s="466"/>
      <c r="D95" s="551">
        <v>52800</v>
      </c>
      <c r="E95" s="521"/>
      <c r="F95" s="521"/>
      <c r="G95" s="521"/>
      <c r="H95" s="521"/>
      <c r="I95" s="521"/>
      <c r="J95" s="521"/>
      <c r="K95" s="521"/>
    </row>
    <row r="96" spans="1:11" ht="12.95" customHeight="1">
      <c r="A96" s="463" t="s">
        <v>409</v>
      </c>
      <c r="B96" s="470">
        <v>1920</v>
      </c>
      <c r="C96" s="551">
        <v>22633</v>
      </c>
      <c r="D96" s="551"/>
      <c r="E96" s="479"/>
      <c r="F96" s="478"/>
      <c r="G96" s="478"/>
      <c r="H96" s="478"/>
      <c r="I96" s="478"/>
      <c r="J96" s="478"/>
      <c r="K96" s="478"/>
    </row>
    <row r="97" spans="1:12" ht="12.95" customHeight="1">
      <c r="A97" s="1447" t="s">
        <v>262</v>
      </c>
      <c r="B97" s="559">
        <v>1930</v>
      </c>
      <c r="C97" s="489"/>
      <c r="D97" s="467"/>
      <c r="E97" s="474"/>
      <c r="F97" s="467"/>
      <c r="G97" s="467"/>
      <c r="H97" s="467"/>
      <c r="I97" s="467"/>
      <c r="J97" s="467"/>
      <c r="K97" s="467"/>
    </row>
    <row r="98" spans="1:12" ht="12.95" customHeight="1">
      <c r="A98" s="463" t="s">
        <v>198</v>
      </c>
      <c r="B98" s="470">
        <v>1940</v>
      </c>
      <c r="C98" s="489">
        <v>35230</v>
      </c>
      <c r="D98" s="466">
        <v>86111</v>
      </c>
      <c r="E98" s="512"/>
      <c r="F98" s="466"/>
      <c r="G98" s="512"/>
      <c r="H98" s="512"/>
      <c r="I98" s="510"/>
      <c r="J98" s="512"/>
      <c r="K98" s="512"/>
    </row>
    <row r="99" spans="1:12" ht="12.95" customHeight="1">
      <c r="A99" s="463" t="s">
        <v>875</v>
      </c>
      <c r="B99" s="470">
        <v>1950</v>
      </c>
      <c r="C99" s="489"/>
      <c r="D99" s="466"/>
      <c r="E99" s="466"/>
      <c r="F99" s="466"/>
      <c r="G99" s="466"/>
      <c r="H99" s="466"/>
      <c r="I99" s="468"/>
      <c r="J99" s="467"/>
      <c r="K99" s="466"/>
    </row>
    <row r="100" spans="1:12" ht="12.95" customHeight="1">
      <c r="A100" s="463" t="s">
        <v>263</v>
      </c>
      <c r="B100" s="470">
        <v>1960</v>
      </c>
      <c r="C100" s="489"/>
      <c r="D100" s="489"/>
      <c r="E100" s="489"/>
      <c r="F100" s="489"/>
      <c r="G100" s="489"/>
      <c r="H100" s="489"/>
      <c r="I100" s="467"/>
      <c r="J100" s="489"/>
      <c r="K100" s="467"/>
    </row>
    <row r="101" spans="1:12" ht="12.95" customHeight="1">
      <c r="A101" s="463" t="s">
        <v>264</v>
      </c>
      <c r="B101" s="470">
        <v>1970</v>
      </c>
      <c r="C101" s="489"/>
      <c r="D101" s="526"/>
      <c r="E101" s="480"/>
      <c r="F101" s="526"/>
      <c r="G101" s="475"/>
      <c r="H101" s="526"/>
      <c r="I101" s="468"/>
      <c r="J101" s="475"/>
      <c r="K101" s="475"/>
    </row>
    <row r="102" spans="1:12" ht="12.95" customHeight="1">
      <c r="A102" s="463" t="s">
        <v>265</v>
      </c>
      <c r="B102" s="470">
        <v>1980</v>
      </c>
      <c r="C102" s="489"/>
      <c r="D102" s="489"/>
      <c r="E102" s="489"/>
      <c r="F102" s="489"/>
      <c r="G102" s="489"/>
      <c r="H102" s="489"/>
      <c r="I102" s="467"/>
      <c r="J102" s="489"/>
      <c r="K102" s="467"/>
    </row>
    <row r="103" spans="1:12" ht="12.95" customHeight="1">
      <c r="A103" s="463" t="s">
        <v>363</v>
      </c>
      <c r="B103" s="470">
        <v>1983</v>
      </c>
      <c r="C103" s="468"/>
      <c r="D103" s="468"/>
      <c r="E103" s="560"/>
      <c r="F103" s="468"/>
      <c r="G103" s="468"/>
      <c r="H103" s="489">
        <v>518628</v>
      </c>
      <c r="I103" s="468"/>
      <c r="J103" s="510"/>
      <c r="K103" s="510"/>
    </row>
    <row r="104" spans="1:12" ht="12.95" customHeight="1">
      <c r="A104" s="463" t="s">
        <v>885</v>
      </c>
      <c r="B104" s="470">
        <v>1991</v>
      </c>
      <c r="C104" s="489"/>
      <c r="D104" s="466"/>
      <c r="E104" s="481"/>
      <c r="F104" s="467"/>
      <c r="G104" s="467"/>
      <c r="H104" s="466"/>
      <c r="I104" s="468"/>
      <c r="J104" s="468"/>
      <c r="K104" s="468"/>
    </row>
    <row r="105" spans="1:12" ht="12.95" customHeight="1">
      <c r="A105" s="463" t="s">
        <v>876</v>
      </c>
      <c r="B105" s="470">
        <v>1992</v>
      </c>
      <c r="C105" s="466"/>
      <c r="D105" s="561"/>
      <c r="E105" s="468"/>
      <c r="F105" s="468"/>
      <c r="G105" s="468"/>
      <c r="H105" s="510"/>
      <c r="I105" s="468"/>
      <c r="J105" s="468"/>
      <c r="K105" s="468"/>
    </row>
    <row r="106" spans="1:12" ht="12.95" customHeight="1">
      <c r="A106" s="463" t="s">
        <v>1484</v>
      </c>
      <c r="B106" s="470">
        <v>1993</v>
      </c>
      <c r="C106" s="466">
        <v>27760</v>
      </c>
      <c r="D106" s="489"/>
      <c r="E106" s="467"/>
      <c r="F106" s="467"/>
      <c r="G106" s="467"/>
      <c r="H106" s="467"/>
      <c r="I106" s="521"/>
      <c r="J106" s="467"/>
      <c r="K106" s="467"/>
    </row>
    <row r="107" spans="1:12" ht="12.95" customHeight="1">
      <c r="A107" s="463" t="s">
        <v>80</v>
      </c>
      <c r="B107" s="470">
        <v>1999</v>
      </c>
      <c r="C107" s="551">
        <v>8576</v>
      </c>
      <c r="D107" s="466">
        <v>21328</v>
      </c>
      <c r="E107" s="466"/>
      <c r="F107" s="466">
        <v>7155</v>
      </c>
      <c r="G107" s="466"/>
      <c r="H107" s="466"/>
      <c r="I107" s="466"/>
      <c r="J107" s="467">
        <v>4572</v>
      </c>
      <c r="K107" s="466"/>
    </row>
    <row r="108" spans="1:12" ht="12.95" customHeight="1" thickBot="1">
      <c r="A108" s="1656" t="s">
        <v>508</v>
      </c>
      <c r="B108" s="1660"/>
      <c r="C108" s="1655">
        <f>SUM(C95:C107)</f>
        <v>94199</v>
      </c>
      <c r="D108" s="1655">
        <f t="shared" ref="D108:K108" si="3">SUM(D95:D107)</f>
        <v>160239</v>
      </c>
      <c r="E108" s="1655">
        <f t="shared" si="3"/>
        <v>0</v>
      </c>
      <c r="F108" s="1655">
        <f t="shared" si="3"/>
        <v>7155</v>
      </c>
      <c r="G108" s="1655">
        <f t="shared" si="3"/>
        <v>0</v>
      </c>
      <c r="H108" s="1655">
        <f t="shared" si="3"/>
        <v>518628</v>
      </c>
      <c r="I108" s="1655">
        <f t="shared" si="3"/>
        <v>0</v>
      </c>
      <c r="J108" s="1655">
        <f t="shared" si="3"/>
        <v>4572</v>
      </c>
      <c r="K108" s="1636">
        <f t="shared" si="3"/>
        <v>0</v>
      </c>
    </row>
    <row r="109" spans="1:12" ht="14.25" thickTop="1" thickBot="1">
      <c r="A109" s="1661" t="s">
        <v>266</v>
      </c>
      <c r="B109" s="1662" t="s">
        <v>591</v>
      </c>
      <c r="C109" s="1663">
        <f t="shared" ref="C109:K109" si="4">SUM(C12,C18,C40,C63,C67,C75,C82,C93,C108,)</f>
        <v>1344474</v>
      </c>
      <c r="D109" s="1663">
        <f t="shared" si="4"/>
        <v>536305</v>
      </c>
      <c r="E109" s="1663">
        <f t="shared" si="4"/>
        <v>145097</v>
      </c>
      <c r="F109" s="1663">
        <f t="shared" si="4"/>
        <v>130063</v>
      </c>
      <c r="G109" s="1663">
        <f t="shared" si="4"/>
        <v>326855</v>
      </c>
      <c r="H109" s="1663">
        <f t="shared" si="4"/>
        <v>520526</v>
      </c>
      <c r="I109" s="1663">
        <f t="shared" si="4"/>
        <v>35005</v>
      </c>
      <c r="J109" s="1663">
        <f t="shared" si="4"/>
        <v>191660</v>
      </c>
      <c r="K109" s="1650">
        <f t="shared" si="4"/>
        <v>0</v>
      </c>
    </row>
    <row r="110" spans="1:12" ht="30" customHeight="1" thickTop="1">
      <c r="A110" s="1537" t="s">
        <v>364</v>
      </c>
      <c r="B110" s="1538"/>
      <c r="C110" s="1523"/>
      <c r="D110" s="1523"/>
      <c r="E110" s="1523"/>
      <c r="F110" s="1523"/>
      <c r="G110" s="1523"/>
      <c r="H110" s="1523"/>
      <c r="I110" s="1523"/>
      <c r="J110" s="1523"/>
      <c r="K110" s="1524"/>
    </row>
    <row r="111" spans="1:12" ht="12.95" customHeight="1">
      <c r="A111" s="493" t="s">
        <v>877</v>
      </c>
      <c r="B111" s="491">
        <v>2100</v>
      </c>
      <c r="C111" s="516"/>
      <c r="D111" s="481"/>
      <c r="E111" s="561"/>
      <c r="F111" s="481"/>
      <c r="G111" s="481"/>
      <c r="H111" s="561"/>
      <c r="I111" s="468"/>
      <c r="J111" s="468"/>
      <c r="K111" s="468"/>
    </row>
    <row r="112" spans="1:12" ht="12.95" customHeight="1">
      <c r="A112" s="463" t="s">
        <v>878</v>
      </c>
      <c r="B112" s="470">
        <v>2200</v>
      </c>
      <c r="C112" s="551"/>
      <c r="D112" s="466"/>
      <c r="E112" s="561"/>
      <c r="F112" s="466"/>
      <c r="G112" s="466"/>
      <c r="H112" s="561"/>
      <c r="I112" s="468"/>
      <c r="J112" s="468"/>
      <c r="K112" s="468"/>
      <c r="L112" s="552"/>
    </row>
    <row r="113" spans="1:11" ht="12.95" customHeight="1">
      <c r="A113" s="463" t="s">
        <v>28</v>
      </c>
      <c r="B113" s="470">
        <v>2300</v>
      </c>
      <c r="C113" s="551"/>
      <c r="D113" s="466"/>
      <c r="E113" s="561"/>
      <c r="F113" s="466"/>
      <c r="G113" s="466"/>
      <c r="H113" s="561"/>
      <c r="I113" s="468"/>
      <c r="J113" s="468"/>
      <c r="K113" s="468"/>
    </row>
    <row r="114" spans="1:11" ht="13.5" thickBot="1">
      <c r="A114" s="1664" t="s">
        <v>839</v>
      </c>
      <c r="B114" s="1665" t="s">
        <v>590</v>
      </c>
      <c r="C114" s="1666">
        <f>SUM(C111:C113)</f>
        <v>0</v>
      </c>
      <c r="D114" s="1666">
        <f>SUM(D111:D113)</f>
        <v>0</v>
      </c>
      <c r="E114" s="561" t="s">
        <v>1231</v>
      </c>
      <c r="F114" s="1666">
        <f>SUM(F111:F113)</f>
        <v>0</v>
      </c>
      <c r="G114" s="1666">
        <f>SUM(G111:G113)</f>
        <v>0</v>
      </c>
      <c r="H114" s="561"/>
      <c r="I114" s="468"/>
      <c r="J114" s="468"/>
      <c r="K114" s="468"/>
    </row>
    <row r="115" spans="1:11" ht="16.7" customHeight="1" thickTop="1">
      <c r="A115" s="1539" t="s">
        <v>836</v>
      </c>
      <c r="B115" s="1540"/>
      <c r="C115" s="1522"/>
      <c r="D115" s="1523"/>
      <c r="E115" s="1523"/>
      <c r="F115" s="1523"/>
      <c r="G115" s="1523"/>
      <c r="H115" s="1523"/>
      <c r="I115" s="1523"/>
      <c r="J115" s="1523"/>
      <c r="K115" s="1524"/>
    </row>
    <row r="116" spans="1:11" ht="18" customHeight="1">
      <c r="A116" s="1547" t="s">
        <v>1550</v>
      </c>
      <c r="B116" s="1548"/>
      <c r="C116" s="522"/>
      <c r="D116" s="521"/>
      <c r="E116" s="561"/>
      <c r="F116" s="521"/>
      <c r="G116" s="521"/>
      <c r="H116" s="561"/>
      <c r="I116" s="468"/>
      <c r="J116" s="521"/>
      <c r="K116" s="521"/>
    </row>
    <row r="117" spans="1:11" ht="12.95" customHeight="1">
      <c r="A117" s="463" t="s">
        <v>1738</v>
      </c>
      <c r="B117" s="562">
        <v>3001</v>
      </c>
      <c r="C117" s="516">
        <v>5927082</v>
      </c>
      <c r="D117" s="481">
        <v>544907</v>
      </c>
      <c r="E117" s="466"/>
      <c r="F117" s="481">
        <v>165929</v>
      </c>
      <c r="G117" s="481"/>
      <c r="H117" s="466"/>
      <c r="I117" s="468"/>
      <c r="J117" s="467"/>
      <c r="K117" s="466"/>
    </row>
    <row r="118" spans="1:11" ht="12.95" customHeight="1">
      <c r="A118" s="463" t="s">
        <v>1863</v>
      </c>
      <c r="B118" s="562">
        <v>3002</v>
      </c>
      <c r="C118" s="551"/>
      <c r="D118" s="466"/>
      <c r="E118" s="466"/>
      <c r="F118" s="466"/>
      <c r="G118" s="466"/>
      <c r="H118" s="466"/>
      <c r="I118" s="468"/>
      <c r="J118" s="467"/>
      <c r="K118" s="466"/>
    </row>
    <row r="119" spans="1:11" ht="12.95" customHeight="1">
      <c r="A119" s="463" t="s">
        <v>1864</v>
      </c>
      <c r="B119" s="562">
        <v>3005</v>
      </c>
      <c r="C119" s="551"/>
      <c r="D119" s="466"/>
      <c r="E119" s="466"/>
      <c r="F119" s="466"/>
      <c r="G119" s="466"/>
      <c r="H119" s="466"/>
      <c r="I119" s="468"/>
      <c r="J119" s="467"/>
      <c r="K119" s="466"/>
    </row>
    <row r="120" spans="1:11">
      <c r="A120" s="1448" t="s">
        <v>1865</v>
      </c>
      <c r="B120" s="564">
        <v>3099</v>
      </c>
      <c r="C120" s="551"/>
      <c r="D120" s="466"/>
      <c r="E120" s="466"/>
      <c r="F120" s="466"/>
      <c r="G120" s="466"/>
      <c r="H120" s="466"/>
      <c r="I120" s="468"/>
      <c r="J120" s="467"/>
      <c r="K120" s="466"/>
    </row>
    <row r="121" spans="1:11" ht="12.75" customHeight="1" thickBot="1">
      <c r="A121" s="1656" t="s">
        <v>509</v>
      </c>
      <c r="B121" s="1667"/>
      <c r="C121" s="1655">
        <f t="shared" ref="C121:H121" si="5">SUM(C117:C120)</f>
        <v>5927082</v>
      </c>
      <c r="D121" s="1655">
        <f t="shared" si="5"/>
        <v>544907</v>
      </c>
      <c r="E121" s="1655">
        <f t="shared" si="5"/>
        <v>0</v>
      </c>
      <c r="F121" s="1655">
        <f t="shared" si="5"/>
        <v>165929</v>
      </c>
      <c r="G121" s="1655">
        <f t="shared" si="5"/>
        <v>0</v>
      </c>
      <c r="H121" s="1655">
        <f t="shared" si="5"/>
        <v>0</v>
      </c>
      <c r="I121" s="468"/>
      <c r="J121" s="1655">
        <f>SUM(J117:J120)</f>
        <v>0</v>
      </c>
      <c r="K121" s="1636">
        <f>SUM(K117:K120)</f>
        <v>0</v>
      </c>
    </row>
    <row r="122" spans="1:11" ht="15.75" customHeight="1" thickTop="1">
      <c r="A122" s="1544" t="s">
        <v>1549</v>
      </c>
      <c r="B122" s="1549"/>
      <c r="C122" s="565"/>
      <c r="D122" s="509"/>
      <c r="E122" s="468"/>
      <c r="F122" s="566"/>
      <c r="G122" s="468"/>
      <c r="H122" s="468"/>
      <c r="I122" s="468"/>
      <c r="J122" s="468"/>
      <c r="K122" s="468"/>
    </row>
    <row r="123" spans="1:11" ht="15" customHeight="1">
      <c r="A123" s="1550" t="s">
        <v>688</v>
      </c>
      <c r="B123" s="1551"/>
      <c r="C123" s="521"/>
      <c r="D123" s="509"/>
      <c r="E123" s="468"/>
      <c r="F123" s="521"/>
      <c r="G123" s="468"/>
      <c r="H123" s="468"/>
      <c r="I123" s="468"/>
      <c r="J123" s="468"/>
      <c r="K123" s="468"/>
    </row>
    <row r="124" spans="1:11" ht="12.95" customHeight="1">
      <c r="A124" s="463" t="s">
        <v>921</v>
      </c>
      <c r="B124" s="567">
        <v>3100</v>
      </c>
      <c r="C124" s="481">
        <v>48439</v>
      </c>
      <c r="D124" s="561"/>
      <c r="E124" s="468"/>
      <c r="F124" s="548"/>
      <c r="G124" s="468"/>
      <c r="H124" s="468"/>
      <c r="I124" s="468"/>
      <c r="J124" s="468"/>
      <c r="K124" s="468"/>
    </row>
    <row r="125" spans="1:11" ht="12.95" customHeight="1">
      <c r="A125" s="463" t="s">
        <v>1500</v>
      </c>
      <c r="B125" s="562">
        <v>3105</v>
      </c>
      <c r="C125" s="466">
        <v>77376</v>
      </c>
      <c r="D125" s="561"/>
      <c r="E125" s="468"/>
      <c r="F125" s="466"/>
      <c r="G125" s="468"/>
      <c r="H125" s="468"/>
      <c r="I125" s="468"/>
      <c r="J125" s="468"/>
      <c r="K125" s="468"/>
    </row>
    <row r="126" spans="1:11" ht="12.95" customHeight="1">
      <c r="A126" s="463" t="s">
        <v>922</v>
      </c>
      <c r="B126" s="562">
        <v>3110</v>
      </c>
      <c r="C126" s="551">
        <v>84543</v>
      </c>
      <c r="D126" s="466"/>
      <c r="E126" s="468"/>
      <c r="F126" s="466"/>
      <c r="G126" s="468"/>
      <c r="H126" s="468"/>
      <c r="I126" s="468"/>
      <c r="J126" s="468"/>
      <c r="K126" s="468"/>
    </row>
    <row r="127" spans="1:11" ht="12.95" customHeight="1">
      <c r="A127" s="463" t="s">
        <v>107</v>
      </c>
      <c r="B127" s="562">
        <v>3120</v>
      </c>
      <c r="C127" s="466"/>
      <c r="D127" s="561"/>
      <c r="E127" s="468"/>
      <c r="F127" s="466"/>
      <c r="G127" s="468"/>
      <c r="H127" s="468"/>
      <c r="I127" s="468"/>
      <c r="J127" s="468"/>
      <c r="K127" s="468"/>
    </row>
    <row r="128" spans="1:11" ht="12.95" customHeight="1">
      <c r="A128" s="463" t="s">
        <v>1501</v>
      </c>
      <c r="B128" s="562">
        <v>3130</v>
      </c>
      <c r="C128" s="466"/>
      <c r="D128" s="561"/>
      <c r="E128" s="468"/>
      <c r="F128" s="466"/>
      <c r="G128" s="468"/>
      <c r="H128" s="468"/>
      <c r="I128" s="468"/>
      <c r="J128" s="468"/>
      <c r="K128" s="468"/>
    </row>
    <row r="129" spans="1:11" ht="12.95" customHeight="1">
      <c r="A129" s="463" t="s">
        <v>139</v>
      </c>
      <c r="B129" s="562">
        <v>3145</v>
      </c>
      <c r="C129" s="466">
        <v>2466</v>
      </c>
      <c r="D129" s="561"/>
      <c r="E129" s="468"/>
      <c r="F129" s="466"/>
      <c r="G129" s="468"/>
      <c r="H129" s="468"/>
      <c r="I129" s="468"/>
      <c r="J129" s="468"/>
      <c r="K129" s="468"/>
    </row>
    <row r="130" spans="1:11" ht="12.95" customHeight="1">
      <c r="A130" s="463" t="s">
        <v>68</v>
      </c>
      <c r="B130" s="562">
        <v>3199</v>
      </c>
      <c r="C130" s="551"/>
      <c r="D130" s="467"/>
      <c r="E130" s="468"/>
      <c r="F130" s="466"/>
      <c r="G130" s="468"/>
      <c r="H130" s="468"/>
      <c r="I130" s="468"/>
      <c r="J130" s="468"/>
      <c r="K130" s="468"/>
    </row>
    <row r="131" spans="1:11" ht="12.95" customHeight="1" thickBot="1">
      <c r="A131" s="1656" t="s">
        <v>1092</v>
      </c>
      <c r="B131" s="1668"/>
      <c r="C131" s="1655">
        <f>SUM(C124:C130)</f>
        <v>212824</v>
      </c>
      <c r="D131" s="1655">
        <f>SUM(D124:D130)</f>
        <v>0</v>
      </c>
      <c r="E131" s="469" t="s">
        <v>1231</v>
      </c>
      <c r="F131" s="1655">
        <f>SUM(F124:F130)</f>
        <v>0</v>
      </c>
      <c r="G131" s="468" t="s">
        <v>1231</v>
      </c>
      <c r="H131" s="468" t="s">
        <v>1231</v>
      </c>
      <c r="I131" s="468" t="s">
        <v>1231</v>
      </c>
      <c r="J131" s="468" t="s">
        <v>1231</v>
      </c>
      <c r="K131" s="468" t="s">
        <v>1231</v>
      </c>
    </row>
    <row r="132" spans="1:11" ht="15.75" customHeight="1" thickTop="1">
      <c r="A132" s="1552" t="s">
        <v>268</v>
      </c>
      <c r="B132" s="1553"/>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95" customHeight="1">
      <c r="A134" s="463" t="s">
        <v>690</v>
      </c>
      <c r="B134" s="562">
        <v>3220</v>
      </c>
      <c r="C134" s="551"/>
      <c r="D134" s="466"/>
      <c r="E134" s="561"/>
      <c r="F134" s="468"/>
      <c r="G134" s="467"/>
      <c r="H134" s="468"/>
      <c r="I134" s="468"/>
      <c r="J134" s="468"/>
      <c r="K134" s="468"/>
    </row>
    <row r="135" spans="1:11" ht="12.95" customHeight="1">
      <c r="A135" s="463" t="s">
        <v>267</v>
      </c>
      <c r="B135" s="562">
        <v>3225</v>
      </c>
      <c r="C135" s="551"/>
      <c r="D135" s="466"/>
      <c r="E135" s="561"/>
      <c r="F135" s="468"/>
      <c r="G135" s="467"/>
      <c r="H135" s="468"/>
      <c r="I135" s="468"/>
      <c r="J135" s="468"/>
      <c r="K135" s="468"/>
    </row>
    <row r="136" spans="1:11" ht="12.95" customHeight="1">
      <c r="A136" s="463" t="s">
        <v>621</v>
      </c>
      <c r="B136" s="562">
        <v>3235</v>
      </c>
      <c r="C136" s="489"/>
      <c r="D136" s="467"/>
      <c r="E136" s="561"/>
      <c r="F136" s="468"/>
      <c r="G136" s="467"/>
      <c r="H136" s="468"/>
      <c r="I136" s="468"/>
      <c r="J136" s="468"/>
      <c r="K136" s="468"/>
    </row>
    <row r="137" spans="1:11" ht="12.95" customHeight="1">
      <c r="A137" s="463" t="s">
        <v>622</v>
      </c>
      <c r="B137" s="562">
        <v>3240</v>
      </c>
      <c r="C137" s="489"/>
      <c r="D137" s="467"/>
      <c r="E137" s="561"/>
      <c r="F137" s="468"/>
      <c r="G137" s="467"/>
      <c r="H137" s="468"/>
      <c r="I137" s="468"/>
      <c r="J137" s="468"/>
      <c r="K137" s="468"/>
    </row>
    <row r="138" spans="1:11" ht="12.95" customHeight="1">
      <c r="A138" s="463" t="s">
        <v>623</v>
      </c>
      <c r="B138" s="562">
        <v>3270</v>
      </c>
      <c r="C138" s="489"/>
      <c r="D138" s="467"/>
      <c r="E138" s="561"/>
      <c r="F138" s="468"/>
      <c r="G138" s="467"/>
      <c r="H138" s="468"/>
      <c r="I138" s="468"/>
      <c r="J138" s="468"/>
      <c r="K138" s="468"/>
    </row>
    <row r="139" spans="1:11" ht="12.95" customHeight="1">
      <c r="A139" s="463" t="s">
        <v>69</v>
      </c>
      <c r="B139" s="562">
        <v>3299</v>
      </c>
      <c r="C139" s="551">
        <v>470</v>
      </c>
      <c r="D139" s="466"/>
      <c r="E139" s="561"/>
      <c r="F139" s="477"/>
      <c r="G139" s="467"/>
      <c r="H139" s="468"/>
      <c r="I139" s="468"/>
      <c r="J139" s="468"/>
      <c r="K139" s="468"/>
    </row>
    <row r="140" spans="1:11" ht="12.95" customHeight="1" thickBot="1">
      <c r="A140" s="1656" t="s">
        <v>624</v>
      </c>
      <c r="B140" s="1668"/>
      <c r="C140" s="1655">
        <f>SUM(C133:C139)</f>
        <v>470</v>
      </c>
      <c r="D140" s="1655">
        <f>SUM(D133:D139)</f>
        <v>0</v>
      </c>
      <c r="E140" s="561" t="s">
        <v>1231</v>
      </c>
      <c r="F140" s="477"/>
      <c r="G140" s="1655">
        <f>SUM(G133:G139)</f>
        <v>0</v>
      </c>
      <c r="H140" s="468" t="s">
        <v>1231</v>
      </c>
      <c r="I140" s="468" t="s">
        <v>1231</v>
      </c>
      <c r="J140" s="468" t="s">
        <v>1231</v>
      </c>
      <c r="K140" s="468" t="s">
        <v>1231</v>
      </c>
    </row>
    <row r="141" spans="1:11" ht="15.75" customHeight="1" thickTop="1">
      <c r="A141" s="1552" t="s">
        <v>691</v>
      </c>
      <c r="B141" s="1553"/>
      <c r="C141" s="553"/>
      <c r="D141" s="566"/>
      <c r="E141" s="561"/>
      <c r="F141" s="553"/>
      <c r="G141" s="553"/>
      <c r="H141" s="468"/>
      <c r="I141" s="468"/>
      <c r="J141" s="468"/>
      <c r="K141" s="468"/>
    </row>
    <row r="142" spans="1:11" ht="12.95" customHeight="1">
      <c r="A142" s="463" t="s">
        <v>625</v>
      </c>
      <c r="B142" s="562">
        <v>3305</v>
      </c>
      <c r="C142" s="466">
        <v>21629</v>
      </c>
      <c r="D142" s="468"/>
      <c r="E142" s="561"/>
      <c r="F142" s="468"/>
      <c r="G142" s="466"/>
      <c r="H142" s="468"/>
      <c r="I142" s="468"/>
      <c r="J142" s="468"/>
      <c r="K142" s="468"/>
    </row>
    <row r="143" spans="1:11" ht="12.95" customHeight="1">
      <c r="A143" s="463" t="s">
        <v>365</v>
      </c>
      <c r="B143" s="562">
        <v>3310</v>
      </c>
      <c r="C143" s="551"/>
      <c r="D143" s="468"/>
      <c r="E143" s="561"/>
      <c r="F143" s="468"/>
      <c r="G143" s="466"/>
      <c r="H143" s="468"/>
      <c r="I143" s="468"/>
      <c r="J143" s="468"/>
      <c r="K143" s="468"/>
    </row>
    <row r="144" spans="1:11" s="202" customFormat="1" ht="13.5" thickBot="1">
      <c r="A144" s="1656" t="s">
        <v>414</v>
      </c>
      <c r="B144" s="1668"/>
      <c r="C144" s="1636">
        <f>SUM(C142:C143)</f>
        <v>21629</v>
      </c>
      <c r="D144" s="468"/>
      <c r="E144" s="509"/>
      <c r="F144" s="468"/>
      <c r="G144" s="1669">
        <f>SUM(G142:G143)</f>
        <v>0</v>
      </c>
      <c r="H144" s="468"/>
      <c r="I144" s="468"/>
      <c r="J144" s="468"/>
      <c r="K144" s="468"/>
    </row>
    <row r="145" spans="1:11" s="202" customFormat="1" ht="12.95" customHeight="1" thickTop="1">
      <c r="A145" s="1450" t="s">
        <v>1116</v>
      </c>
      <c r="B145" s="568">
        <v>3360</v>
      </c>
      <c r="C145" s="569">
        <v>6123</v>
      </c>
      <c r="D145" s="570"/>
      <c r="E145" s="509"/>
      <c r="F145" s="468"/>
      <c r="G145" s="571"/>
      <c r="H145" s="468"/>
      <c r="I145" s="468"/>
      <c r="J145" s="468"/>
      <c r="K145" s="468"/>
    </row>
    <row r="146" spans="1:11" ht="12.95" customHeight="1" thickBot="1">
      <c r="A146" s="1451" t="s">
        <v>979</v>
      </c>
      <c r="B146" s="572">
        <v>3365</v>
      </c>
      <c r="C146" s="573"/>
      <c r="D146" s="532"/>
      <c r="E146" s="561"/>
      <c r="F146" s="468"/>
      <c r="G146" s="532"/>
      <c r="H146" s="468"/>
      <c r="I146" s="468"/>
      <c r="J146" s="468"/>
      <c r="K146" s="468"/>
    </row>
    <row r="147" spans="1:11" ht="12.95" customHeight="1" thickTop="1" thickBot="1">
      <c r="A147" s="1452" t="s">
        <v>140</v>
      </c>
      <c r="B147" s="574">
        <v>3370</v>
      </c>
      <c r="C147" s="573"/>
      <c r="D147" s="573"/>
      <c r="E147" s="509"/>
      <c r="F147" s="468"/>
      <c r="G147" s="468"/>
      <c r="H147" s="468"/>
      <c r="I147" s="468"/>
      <c r="J147" s="468"/>
      <c r="K147" s="468"/>
    </row>
    <row r="148" spans="1:11" ht="12.95" customHeight="1" thickTop="1" thickBot="1">
      <c r="A148" s="1452" t="s">
        <v>791</v>
      </c>
      <c r="B148" s="574">
        <v>3410</v>
      </c>
      <c r="C148" s="575"/>
      <c r="D148" s="576"/>
      <c r="E148" s="577"/>
      <c r="F148" s="530"/>
      <c r="G148" s="530"/>
      <c r="H148" s="530"/>
      <c r="I148" s="530"/>
      <c r="J148" s="530"/>
      <c r="K148" s="530"/>
    </row>
    <row r="149" spans="1:11" ht="12.95" customHeight="1" thickTop="1" thickBot="1">
      <c r="A149" s="1452" t="s">
        <v>70</v>
      </c>
      <c r="B149" s="574">
        <v>3499</v>
      </c>
      <c r="C149" s="575"/>
      <c r="D149" s="576"/>
      <c r="E149" s="532"/>
      <c r="F149" s="532"/>
      <c r="G149" s="532"/>
      <c r="H149" s="532"/>
      <c r="I149" s="532"/>
      <c r="J149" s="532"/>
      <c r="K149" s="532"/>
    </row>
    <row r="150" spans="1:11" ht="15.75" customHeight="1" thickTop="1">
      <c r="A150" s="1552" t="s">
        <v>473</v>
      </c>
      <c r="B150" s="1554"/>
      <c r="C150" s="553"/>
      <c r="D150" s="468"/>
      <c r="E150" s="561"/>
      <c r="F150" s="468"/>
      <c r="G150" s="468"/>
      <c r="H150" s="468"/>
      <c r="I150" s="468"/>
      <c r="J150" s="468"/>
      <c r="K150" s="468"/>
    </row>
    <row r="151" spans="1:11" ht="12.95" customHeight="1">
      <c r="A151" s="463" t="s">
        <v>1502</v>
      </c>
      <c r="B151" s="562">
        <v>3500</v>
      </c>
      <c r="C151" s="551"/>
      <c r="D151" s="466"/>
      <c r="E151" s="561"/>
      <c r="F151" s="466">
        <v>49086</v>
      </c>
      <c r="G151" s="467"/>
      <c r="H151" s="468"/>
      <c r="I151" s="468"/>
      <c r="J151" s="468"/>
      <c r="K151" s="468"/>
    </row>
    <row r="152" spans="1:11" ht="12.95" customHeight="1">
      <c r="A152" s="463" t="s">
        <v>1117</v>
      </c>
      <c r="B152" s="562">
        <v>3510</v>
      </c>
      <c r="C152" s="551"/>
      <c r="D152" s="466"/>
      <c r="E152" s="561"/>
      <c r="F152" s="466">
        <v>269086</v>
      </c>
      <c r="G152" s="467"/>
      <c r="H152" s="468"/>
      <c r="I152" s="468"/>
      <c r="J152" s="468"/>
      <c r="K152" s="468"/>
    </row>
    <row r="153" spans="1:11" ht="12.95" customHeight="1">
      <c r="A153" s="463" t="s">
        <v>71</v>
      </c>
      <c r="B153" s="562">
        <v>3599</v>
      </c>
      <c r="C153" s="551"/>
      <c r="D153" s="466"/>
      <c r="E153" s="561"/>
      <c r="F153" s="466"/>
      <c r="G153" s="467"/>
      <c r="H153" s="468"/>
      <c r="I153" s="468"/>
      <c r="J153" s="468"/>
      <c r="K153" s="468"/>
    </row>
    <row r="154" spans="1:11" ht="12.95" customHeight="1" thickBot="1">
      <c r="A154" s="1656" t="s">
        <v>96</v>
      </c>
      <c r="B154" s="1668"/>
      <c r="C154" s="1655">
        <f>SUM(C151:C153)</f>
        <v>0</v>
      </c>
      <c r="D154" s="1655">
        <f>SUM(D151:D153)</f>
        <v>0</v>
      </c>
      <c r="E154" s="561"/>
      <c r="F154" s="1655">
        <f>SUM(F151:F153)</f>
        <v>318172</v>
      </c>
      <c r="G154" s="1655">
        <f>SUM(G151:G153)</f>
        <v>0</v>
      </c>
      <c r="H154" s="468"/>
      <c r="I154" s="468"/>
      <c r="J154" s="468"/>
      <c r="K154" s="468"/>
    </row>
    <row r="155" spans="1:11" ht="12.95" customHeight="1" thickTop="1" thickBot="1">
      <c r="A155" s="1452" t="s">
        <v>398</v>
      </c>
      <c r="B155" s="574">
        <v>3610</v>
      </c>
      <c r="C155" s="576"/>
      <c r="D155" s="468"/>
      <c r="E155" s="509"/>
      <c r="F155" s="468"/>
      <c r="G155" s="468"/>
      <c r="H155" s="468"/>
      <c r="I155" s="468"/>
      <c r="J155" s="468"/>
      <c r="K155" s="468"/>
    </row>
    <row r="156" spans="1:11" ht="12.95" customHeight="1" thickTop="1" thickBot="1">
      <c r="A156" s="1452" t="s">
        <v>52</v>
      </c>
      <c r="B156" s="574">
        <v>3660</v>
      </c>
      <c r="C156" s="573"/>
      <c r="D156" s="578"/>
      <c r="E156" s="561"/>
      <c r="F156" s="578"/>
      <c r="G156" s="578"/>
      <c r="H156" s="468"/>
      <c r="I156" s="468"/>
      <c r="J156" s="468"/>
      <c r="K156" s="468"/>
    </row>
    <row r="157" spans="1:11" ht="12.95" customHeight="1" thickTop="1" thickBot="1">
      <c r="A157" s="1452" t="s">
        <v>1057</v>
      </c>
      <c r="B157" s="574">
        <v>3695</v>
      </c>
      <c r="C157" s="576"/>
      <c r="D157" s="468"/>
      <c r="E157" s="561"/>
      <c r="F157" s="576"/>
      <c r="G157" s="576"/>
      <c r="H157" s="468"/>
      <c r="I157" s="468"/>
      <c r="J157" s="468"/>
      <c r="K157" s="468"/>
    </row>
    <row r="158" spans="1:11" ht="12.95" customHeight="1" thickTop="1" thickBot="1">
      <c r="A158" s="1452" t="s">
        <v>1111</v>
      </c>
      <c r="B158" s="574">
        <v>3705</v>
      </c>
      <c r="C158" s="576">
        <v>403285</v>
      </c>
      <c r="D158" s="578">
        <v>13300</v>
      </c>
      <c r="E158" s="561"/>
      <c r="F158" s="576">
        <v>34416</v>
      </c>
      <c r="G158" s="576"/>
      <c r="H158" s="468"/>
      <c r="I158" s="468"/>
      <c r="J158" s="468"/>
      <c r="K158" s="468"/>
    </row>
    <row r="159" spans="1:11" ht="12.95" customHeight="1" thickTop="1" thickBot="1">
      <c r="A159" s="1452" t="s">
        <v>39</v>
      </c>
      <c r="B159" s="574">
        <v>3715</v>
      </c>
      <c r="C159" s="576"/>
      <c r="D159" s="468"/>
      <c r="E159" s="561"/>
      <c r="F159" s="576"/>
      <c r="G159" s="576"/>
      <c r="H159" s="468"/>
      <c r="I159" s="468"/>
      <c r="J159" s="468"/>
      <c r="K159" s="468"/>
    </row>
    <row r="160" spans="1:11" ht="12.95" customHeight="1" thickTop="1" thickBot="1">
      <c r="A160" s="1452" t="s">
        <v>40</v>
      </c>
      <c r="B160" s="574">
        <v>3720</v>
      </c>
      <c r="C160" s="576"/>
      <c r="D160" s="468"/>
      <c r="E160" s="561"/>
      <c r="F160" s="576"/>
      <c r="G160" s="576"/>
      <c r="H160" s="468"/>
      <c r="I160" s="468"/>
      <c r="J160" s="468"/>
      <c r="K160" s="468"/>
    </row>
    <row r="161" spans="1:11" ht="12.95" customHeight="1" thickTop="1" thickBot="1">
      <c r="A161" s="1452" t="s">
        <v>415</v>
      </c>
      <c r="B161" s="574">
        <v>3725</v>
      </c>
      <c r="C161" s="531"/>
      <c r="D161" s="468"/>
      <c r="E161" s="561"/>
      <c r="F161" s="531"/>
      <c r="G161" s="531"/>
      <c r="H161" s="468"/>
      <c r="I161" s="468"/>
      <c r="J161" s="468"/>
      <c r="K161" s="468"/>
    </row>
    <row r="162" spans="1:11" ht="12.95" customHeight="1" thickTop="1" thickBot="1">
      <c r="A162" s="1452" t="s">
        <v>416</v>
      </c>
      <c r="B162" s="574">
        <v>3726</v>
      </c>
      <c r="C162" s="531"/>
      <c r="D162" s="468"/>
      <c r="E162" s="561"/>
      <c r="F162" s="531"/>
      <c r="G162" s="531"/>
      <c r="H162" s="468"/>
      <c r="I162" s="468"/>
      <c r="J162" s="468"/>
      <c r="K162" s="468"/>
    </row>
    <row r="163" spans="1:11" ht="12.95" customHeight="1" thickTop="1" thickBot="1">
      <c r="A163" s="1452" t="s">
        <v>41</v>
      </c>
      <c r="B163" s="574">
        <v>3766</v>
      </c>
      <c r="C163" s="576"/>
      <c r="D163" s="578"/>
      <c r="E163" s="561"/>
      <c r="F163" s="576"/>
      <c r="G163" s="531"/>
      <c r="H163" s="468"/>
      <c r="I163" s="468"/>
      <c r="J163" s="468"/>
      <c r="K163" s="468"/>
    </row>
    <row r="164" spans="1:11" ht="12.95" customHeight="1" thickTop="1" thickBot="1">
      <c r="A164" s="1452" t="s">
        <v>1042</v>
      </c>
      <c r="B164" s="574">
        <v>3767</v>
      </c>
      <c r="C164" s="576"/>
      <c r="D164" s="531"/>
      <c r="E164" s="561"/>
      <c r="F164" s="531"/>
      <c r="G164" s="531"/>
      <c r="H164" s="468"/>
      <c r="I164" s="468"/>
      <c r="J164" s="468"/>
      <c r="K164" s="468"/>
    </row>
    <row r="165" spans="1:11" ht="12.95" customHeight="1" thickTop="1" thickBot="1">
      <c r="A165" s="1452" t="s">
        <v>1043</v>
      </c>
      <c r="B165" s="574">
        <v>3775</v>
      </c>
      <c r="C165" s="576"/>
      <c r="D165" s="573"/>
      <c r="E165" s="530"/>
      <c r="F165" s="573"/>
      <c r="G165" s="532"/>
      <c r="H165" s="530"/>
      <c r="I165" s="468"/>
      <c r="J165" s="468"/>
      <c r="K165" s="530"/>
    </row>
    <row r="166" spans="1:11" ht="12.95" customHeight="1" thickTop="1" thickBot="1">
      <c r="A166" s="1452" t="s">
        <v>1503</v>
      </c>
      <c r="B166" s="574">
        <v>3780</v>
      </c>
      <c r="C166" s="531"/>
      <c r="D166" s="530"/>
      <c r="E166" s="531"/>
      <c r="F166" s="531"/>
      <c r="G166" s="531"/>
      <c r="H166" s="531"/>
      <c r="I166" s="468"/>
      <c r="J166" s="468"/>
      <c r="K166" s="531"/>
    </row>
    <row r="167" spans="1:11" ht="12.95" customHeight="1" thickTop="1" thickBot="1">
      <c r="A167" s="1452" t="s">
        <v>913</v>
      </c>
      <c r="B167" s="574">
        <v>3815</v>
      </c>
      <c r="C167" s="576"/>
      <c r="D167" s="468"/>
      <c r="E167" s="561"/>
      <c r="F167" s="576"/>
      <c r="G167" s="468"/>
      <c r="H167" s="468"/>
      <c r="I167" s="468"/>
      <c r="J167" s="468"/>
      <c r="K167" s="468"/>
    </row>
    <row r="168" spans="1:11" ht="12.95" customHeight="1" thickTop="1" thickBot="1">
      <c r="A168" s="1452" t="s">
        <v>417</v>
      </c>
      <c r="B168" s="574">
        <v>3825</v>
      </c>
      <c r="C168" s="576"/>
      <c r="D168" s="468"/>
      <c r="E168" s="561"/>
      <c r="F168" s="576"/>
      <c r="G168" s="468"/>
      <c r="H168" s="468"/>
      <c r="I168" s="468"/>
      <c r="J168" s="468"/>
      <c r="K168" s="468"/>
    </row>
    <row r="169" spans="1:11" ht="12.95" customHeight="1" thickTop="1" thickBot="1">
      <c r="A169" s="1452" t="s">
        <v>366</v>
      </c>
      <c r="B169" s="574">
        <v>3920</v>
      </c>
      <c r="C169" s="566"/>
      <c r="D169" s="578"/>
      <c r="E169" s="468"/>
      <c r="F169" s="566"/>
      <c r="G169" s="468"/>
      <c r="H169" s="530"/>
      <c r="I169" s="468"/>
      <c r="J169" s="468"/>
      <c r="K169" s="468"/>
    </row>
    <row r="170" spans="1:11" ht="12.95" customHeight="1" thickTop="1" thickBot="1">
      <c r="A170" s="1452" t="s">
        <v>367</v>
      </c>
      <c r="B170" s="574">
        <v>3925</v>
      </c>
      <c r="C170" s="521"/>
      <c r="D170" s="576"/>
      <c r="E170" s="521"/>
      <c r="F170" s="521"/>
      <c r="G170" s="468"/>
      <c r="H170" s="531"/>
      <c r="I170" s="468"/>
      <c r="J170" s="468"/>
      <c r="K170" s="530"/>
    </row>
    <row r="171" spans="1:11" ht="14.25" thickTop="1" thickBot="1">
      <c r="A171" s="1452" t="s">
        <v>72</v>
      </c>
      <c r="B171" s="574">
        <v>3999</v>
      </c>
      <c r="C171" s="579">
        <v>61933</v>
      </c>
      <c r="D171" s="580"/>
      <c r="E171" s="580"/>
      <c r="F171" s="580"/>
      <c r="G171" s="581"/>
      <c r="H171" s="582"/>
      <c r="I171" s="581"/>
      <c r="J171" s="581"/>
      <c r="K171" s="582"/>
    </row>
    <row r="172" spans="1:11" ht="12.95" customHeight="1" thickTop="1" thickBot="1">
      <c r="A172" s="2138" t="s">
        <v>418</v>
      </c>
      <c r="B172" s="2139"/>
      <c r="C172" s="1670">
        <f t="shared" ref="C172:K172" si="6">SUM(C131,C140,C144,C145:C149,C154,C155:C170,C171)</f>
        <v>706264</v>
      </c>
      <c r="D172" s="1670">
        <f t="shared" si="6"/>
        <v>13300</v>
      </c>
      <c r="E172" s="1670">
        <f t="shared" si="6"/>
        <v>0</v>
      </c>
      <c r="F172" s="1670">
        <f t="shared" si="6"/>
        <v>352588</v>
      </c>
      <c r="G172" s="1670">
        <f t="shared" si="6"/>
        <v>0</v>
      </c>
      <c r="H172" s="1670">
        <f t="shared" si="6"/>
        <v>0</v>
      </c>
      <c r="I172" s="1670">
        <f t="shared" si="6"/>
        <v>0</v>
      </c>
      <c r="J172" s="1670">
        <f t="shared" si="6"/>
        <v>0</v>
      </c>
      <c r="K172" s="1651">
        <f t="shared" si="6"/>
        <v>0</v>
      </c>
    </row>
    <row r="173" spans="1:11" ht="12.95" customHeight="1" thickTop="1" thickBot="1">
      <c r="A173" s="1656" t="s">
        <v>419</v>
      </c>
      <c r="B173" s="1662" t="s">
        <v>596</v>
      </c>
      <c r="C173" s="1663">
        <f>SUM(C121,C172)</f>
        <v>6633346</v>
      </c>
      <c r="D173" s="1663">
        <f>SUM(D121,D172)</f>
        <v>558207</v>
      </c>
      <c r="E173" s="1663">
        <f>SUM(E121,E172)</f>
        <v>0</v>
      </c>
      <c r="F173" s="1663">
        <f t="shared" ref="F173:K173" si="7">SUM(F121,F172)</f>
        <v>518517</v>
      </c>
      <c r="G173" s="1663">
        <f t="shared" si="7"/>
        <v>0</v>
      </c>
      <c r="H173" s="1663">
        <f t="shared" si="7"/>
        <v>0</v>
      </c>
      <c r="I173" s="1663">
        <f t="shared" si="7"/>
        <v>0</v>
      </c>
      <c r="J173" s="1663">
        <f t="shared" si="7"/>
        <v>0</v>
      </c>
      <c r="K173" s="1650">
        <f t="shared" si="7"/>
        <v>0</v>
      </c>
    </row>
    <row r="174" spans="1:11" ht="16.7" customHeight="1" thickTop="1">
      <c r="A174" s="1541" t="s">
        <v>837</v>
      </c>
      <c r="B174" s="1519"/>
      <c r="C174" s="1522"/>
      <c r="D174" s="1523"/>
      <c r="E174" s="1523"/>
      <c r="F174" s="1523"/>
      <c r="G174" s="1523"/>
      <c r="H174" s="1523"/>
      <c r="I174" s="1523"/>
      <c r="J174" s="1523"/>
      <c r="K174" s="1524"/>
    </row>
    <row r="175" spans="1:11" ht="15.75" customHeight="1">
      <c r="A175" s="2140" t="s">
        <v>1551</v>
      </c>
      <c r="B175" s="2141"/>
      <c r="C175" s="520"/>
      <c r="D175" s="520"/>
      <c r="E175" s="509"/>
      <c r="F175" s="468"/>
      <c r="G175" s="468"/>
      <c r="H175" s="468"/>
      <c r="I175" s="468"/>
      <c r="J175" s="468"/>
      <c r="K175" s="468"/>
    </row>
    <row r="176" spans="1:11" ht="12.75"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144" t="s">
        <v>1736</v>
      </c>
      <c r="B178" s="2145"/>
      <c r="C178" s="1655">
        <f>SUM(C176:C177)</f>
        <v>0</v>
      </c>
      <c r="D178" s="1655">
        <f t="shared" ref="D178:K178" si="8">SUM(D176:D177)</f>
        <v>0</v>
      </c>
      <c r="E178" s="1655">
        <f t="shared" si="8"/>
        <v>0</v>
      </c>
      <c r="F178" s="1655">
        <f t="shared" si="8"/>
        <v>0</v>
      </c>
      <c r="G178" s="1655">
        <f t="shared" si="8"/>
        <v>0</v>
      </c>
      <c r="H178" s="1655">
        <f t="shared" si="8"/>
        <v>0</v>
      </c>
      <c r="I178" s="1655">
        <f t="shared" si="8"/>
        <v>0</v>
      </c>
      <c r="J178" s="1655">
        <f t="shared" si="8"/>
        <v>0</v>
      </c>
      <c r="K178" s="1636">
        <f t="shared" si="8"/>
        <v>0</v>
      </c>
    </row>
    <row r="179" spans="1:11" s="457" customFormat="1" ht="15.75" customHeight="1" thickTop="1">
      <c r="A179" s="2148" t="s">
        <v>1735</v>
      </c>
      <c r="B179" s="2149"/>
      <c r="C179" s="599"/>
      <c r="D179" s="600"/>
      <c r="E179" s="601"/>
      <c r="F179" s="602"/>
      <c r="G179" s="602"/>
      <c r="H179" s="602"/>
      <c r="I179" s="602"/>
      <c r="J179" s="602"/>
      <c r="K179" s="602"/>
    </row>
    <row r="180" spans="1:11" ht="12.95" customHeight="1">
      <c r="A180" s="463" t="s">
        <v>1105</v>
      </c>
      <c r="B180" s="470">
        <v>4045</v>
      </c>
      <c r="C180" s="551"/>
      <c r="D180" s="468"/>
      <c r="E180" s="561"/>
      <c r="F180" s="468"/>
      <c r="G180" s="468"/>
      <c r="H180" s="468"/>
      <c r="I180" s="468"/>
      <c r="J180" s="468"/>
      <c r="K180" s="468"/>
    </row>
    <row r="181" spans="1:11" ht="12.95" customHeight="1">
      <c r="A181" s="463" t="s">
        <v>1106</v>
      </c>
      <c r="B181" s="470">
        <v>4050</v>
      </c>
      <c r="C181" s="551"/>
      <c r="D181" s="467"/>
      <c r="E181" s="561"/>
      <c r="F181" s="468"/>
      <c r="G181" s="468"/>
      <c r="H181" s="467"/>
      <c r="I181" s="468"/>
      <c r="J181" s="468"/>
      <c r="K181" s="468"/>
    </row>
    <row r="182" spans="1:11" ht="12.9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146" t="s">
        <v>818</v>
      </c>
      <c r="B184" s="2147"/>
      <c r="C184" s="1655">
        <f>SUM(C180:C183)</f>
        <v>0</v>
      </c>
      <c r="D184" s="1655">
        <f>SUM(D180:D183)</f>
        <v>0</v>
      </c>
      <c r="E184" s="468"/>
      <c r="F184" s="1655">
        <f>SUM(F180:F183)</f>
        <v>0</v>
      </c>
      <c r="G184" s="1655">
        <f>SUM(G180:G183)</f>
        <v>0</v>
      </c>
      <c r="H184" s="1655">
        <f>SUM(H180:H183)</f>
        <v>0</v>
      </c>
      <c r="I184" s="468"/>
      <c r="J184" s="468"/>
      <c r="K184" s="1636">
        <f>SUM(K180:K183)</f>
        <v>0</v>
      </c>
    </row>
    <row r="185" spans="1:11" ht="22.5" customHeight="1" thickTop="1">
      <c r="A185" s="2142" t="s">
        <v>1867</v>
      </c>
      <c r="B185" s="2143"/>
      <c r="C185" s="584"/>
      <c r="D185" s="566"/>
      <c r="E185" s="509"/>
      <c r="F185" s="566"/>
      <c r="G185" s="566"/>
      <c r="H185" s="468"/>
      <c r="I185" s="468"/>
      <c r="J185" s="468"/>
      <c r="K185" s="468"/>
    </row>
    <row r="186" spans="1:11" ht="15.75" customHeight="1">
      <c r="A186" s="1555" t="s">
        <v>1664</v>
      </c>
      <c r="B186" s="1556"/>
      <c r="C186" s="522"/>
      <c r="D186" s="521"/>
      <c r="E186" s="509"/>
      <c r="F186" s="521"/>
      <c r="G186" s="521"/>
      <c r="H186" s="468"/>
      <c r="I186" s="468"/>
      <c r="J186" s="468"/>
      <c r="K186" s="468"/>
    </row>
    <row r="187" spans="1:11" ht="12.95" customHeight="1">
      <c r="A187" s="463" t="s">
        <v>1665</v>
      </c>
      <c r="B187" s="470">
        <v>4100</v>
      </c>
      <c r="C187" s="516"/>
      <c r="D187" s="481"/>
      <c r="E187" s="561"/>
      <c r="F187" s="481"/>
      <c r="G187" s="481"/>
      <c r="H187" s="468"/>
      <c r="I187" s="468"/>
      <c r="J187" s="468"/>
      <c r="K187" s="468"/>
    </row>
    <row r="188" spans="1:11" ht="12.95" customHeight="1">
      <c r="A188" s="463" t="s">
        <v>1666</v>
      </c>
      <c r="B188" s="470">
        <v>4105</v>
      </c>
      <c r="C188" s="551"/>
      <c r="D188" s="466"/>
      <c r="E188" s="561"/>
      <c r="F188" s="466"/>
      <c r="G188" s="466"/>
      <c r="H188" s="468"/>
      <c r="I188" s="468"/>
      <c r="J188" s="468"/>
      <c r="K188" s="468"/>
    </row>
    <row r="189" spans="1:11" ht="12.95" customHeight="1">
      <c r="A189" s="463" t="s">
        <v>1668</v>
      </c>
      <c r="B189" s="470">
        <v>4107</v>
      </c>
      <c r="C189" s="551">
        <v>8921</v>
      </c>
      <c r="D189" s="466"/>
      <c r="E189" s="561"/>
      <c r="F189" s="466"/>
      <c r="G189" s="466"/>
      <c r="H189" s="468"/>
      <c r="I189" s="468"/>
      <c r="J189" s="468"/>
      <c r="K189" s="468"/>
    </row>
    <row r="190" spans="1:11" ht="12.95" customHeight="1">
      <c r="A190" s="463" t="s">
        <v>1667</v>
      </c>
      <c r="B190" s="470">
        <v>4199</v>
      </c>
      <c r="C190" s="551"/>
      <c r="D190" s="466"/>
      <c r="E190" s="561"/>
      <c r="F190" s="466"/>
      <c r="G190" s="466"/>
      <c r="H190" s="468"/>
      <c r="I190" s="468"/>
      <c r="J190" s="468"/>
      <c r="K190" s="468"/>
    </row>
    <row r="191" spans="1:11" ht="12.95" customHeight="1" thickBot="1">
      <c r="A191" s="1656" t="s">
        <v>1669</v>
      </c>
      <c r="B191" s="1657"/>
      <c r="C191" s="1655">
        <f>SUM(C187:C190)</f>
        <v>8921</v>
      </c>
      <c r="D191" s="1655">
        <f>SUM(D187:D190)</f>
        <v>0</v>
      </c>
      <c r="E191" s="561"/>
      <c r="F191" s="1655">
        <f>SUM(F187:F190)</f>
        <v>0</v>
      </c>
      <c r="G191" s="1655">
        <f>SUM(G187:G190)</f>
        <v>0</v>
      </c>
      <c r="H191" s="468"/>
      <c r="I191" s="468"/>
      <c r="J191" s="468"/>
      <c r="K191" s="468"/>
    </row>
    <row r="192" spans="1:11" ht="15.75" customHeight="1" thickTop="1">
      <c r="A192" s="1552" t="s">
        <v>475</v>
      </c>
      <c r="B192" s="1557"/>
      <c r="C192" s="553"/>
      <c r="D192" s="566"/>
      <c r="E192" s="561"/>
      <c r="F192" s="553"/>
      <c r="G192" s="553"/>
      <c r="H192" s="468"/>
      <c r="I192" s="468"/>
      <c r="J192" s="468"/>
      <c r="K192" s="468"/>
    </row>
    <row r="193" spans="1:11">
      <c r="A193" s="463" t="s">
        <v>1504</v>
      </c>
      <c r="B193" s="470">
        <v>4200</v>
      </c>
      <c r="C193" s="467"/>
      <c r="D193" s="468"/>
      <c r="E193" s="561"/>
      <c r="F193" s="553"/>
      <c r="G193" s="585"/>
      <c r="H193" s="468"/>
      <c r="I193" s="468"/>
      <c r="J193" s="468"/>
      <c r="K193" s="468"/>
    </row>
    <row r="194" spans="1:11" ht="12.95" customHeight="1">
      <c r="A194" s="463" t="s">
        <v>1118</v>
      </c>
      <c r="B194" s="470">
        <v>4210</v>
      </c>
      <c r="C194" s="466">
        <v>359433</v>
      </c>
      <c r="D194" s="468"/>
      <c r="E194" s="561"/>
      <c r="F194" s="468"/>
      <c r="G194" s="585"/>
      <c r="H194" s="468"/>
      <c r="I194" s="468"/>
      <c r="J194" s="468"/>
      <c r="K194" s="468"/>
    </row>
    <row r="195" spans="1:11" ht="12.95" customHeight="1">
      <c r="A195" s="463" t="s">
        <v>1107</v>
      </c>
      <c r="B195" s="470">
        <v>4215</v>
      </c>
      <c r="C195" s="551"/>
      <c r="D195" s="468"/>
      <c r="E195" s="561"/>
      <c r="F195" s="468"/>
      <c r="G195" s="585"/>
      <c r="H195" s="468"/>
      <c r="I195" s="468"/>
      <c r="J195" s="468"/>
      <c r="K195" s="468"/>
    </row>
    <row r="196" spans="1:11" ht="12.95" customHeight="1">
      <c r="A196" s="463" t="s">
        <v>1119</v>
      </c>
      <c r="B196" s="470">
        <v>4220</v>
      </c>
      <c r="C196" s="551">
        <v>121362</v>
      </c>
      <c r="D196" s="468"/>
      <c r="E196" s="561"/>
      <c r="F196" s="468"/>
      <c r="G196" s="585"/>
      <c r="H196" s="468"/>
      <c r="I196" s="468"/>
      <c r="J196" s="468"/>
      <c r="K196" s="468"/>
    </row>
    <row r="197" spans="1:11" ht="12.95" customHeight="1">
      <c r="A197" s="463" t="s">
        <v>1505</v>
      </c>
      <c r="B197" s="470">
        <v>4225</v>
      </c>
      <c r="C197" s="551"/>
      <c r="D197" s="468"/>
      <c r="E197" s="561"/>
      <c r="F197" s="468"/>
      <c r="G197" s="585"/>
      <c r="H197" s="468"/>
      <c r="I197" s="468"/>
      <c r="J197" s="468"/>
      <c r="K197" s="468"/>
    </row>
    <row r="198" spans="1:11" ht="12.95" customHeight="1">
      <c r="A198" s="463" t="s">
        <v>1506</v>
      </c>
      <c r="B198" s="470">
        <v>4226</v>
      </c>
      <c r="C198" s="551"/>
      <c r="D198" s="468"/>
      <c r="E198" s="561"/>
      <c r="F198" s="468"/>
      <c r="G198" s="585"/>
      <c r="H198" s="468"/>
      <c r="I198" s="468"/>
      <c r="J198" s="468"/>
      <c r="K198" s="468"/>
    </row>
    <row r="199" spans="1:11" ht="12.95" customHeight="1">
      <c r="A199" s="463" t="s">
        <v>825</v>
      </c>
      <c r="B199" s="470">
        <v>4240</v>
      </c>
      <c r="C199" s="489"/>
      <c r="D199" s="468"/>
      <c r="E199" s="561"/>
      <c r="F199" s="468"/>
      <c r="G199" s="586"/>
      <c r="H199" s="468"/>
      <c r="I199" s="468"/>
      <c r="J199" s="468"/>
      <c r="K199" s="468"/>
    </row>
    <row r="200" spans="1:11" ht="12.95" customHeight="1">
      <c r="A200" s="463" t="s">
        <v>73</v>
      </c>
      <c r="B200" s="470">
        <v>4299</v>
      </c>
      <c r="C200" s="551"/>
      <c r="D200" s="468"/>
      <c r="E200" s="561"/>
      <c r="F200" s="468"/>
      <c r="G200" s="585"/>
      <c r="H200" s="468"/>
      <c r="I200" s="468"/>
      <c r="J200" s="468"/>
      <c r="K200" s="468"/>
    </row>
    <row r="201" spans="1:11" ht="12.95" customHeight="1" thickBot="1">
      <c r="A201" s="1656" t="s">
        <v>569</v>
      </c>
      <c r="B201" s="1657"/>
      <c r="C201" s="1636">
        <f>SUM(C193:C200)</f>
        <v>480795</v>
      </c>
      <c r="D201" s="468"/>
      <c r="E201" s="468"/>
      <c r="F201" s="468"/>
      <c r="G201" s="1636">
        <f>SUM(G193:G200)</f>
        <v>0</v>
      </c>
      <c r="H201" s="468"/>
      <c r="I201" s="468"/>
      <c r="J201" s="468"/>
      <c r="K201" s="468"/>
    </row>
    <row r="202" spans="1:11" ht="15.75" customHeight="1" thickTop="1">
      <c r="A202" s="1552" t="s">
        <v>1200</v>
      </c>
      <c r="B202" s="1557"/>
      <c r="C202" s="553"/>
      <c r="D202" s="468"/>
      <c r="E202" s="468"/>
      <c r="F202" s="468"/>
      <c r="G202" s="468"/>
      <c r="H202" s="468"/>
      <c r="I202" s="468"/>
      <c r="J202" s="468"/>
      <c r="K202" s="468"/>
    </row>
    <row r="203" spans="1:11" ht="12.95" customHeight="1">
      <c r="A203" s="463" t="s">
        <v>974</v>
      </c>
      <c r="B203" s="470">
        <v>4300</v>
      </c>
      <c r="C203" s="466">
        <v>487247</v>
      </c>
      <c r="D203" s="466"/>
      <c r="E203" s="468"/>
      <c r="F203" s="466"/>
      <c r="G203" s="466"/>
      <c r="H203" s="468"/>
      <c r="I203" s="468"/>
      <c r="J203" s="468"/>
      <c r="K203" s="468"/>
    </row>
    <row r="204" spans="1:11" ht="12.95" customHeight="1">
      <c r="A204" s="463" t="s">
        <v>975</v>
      </c>
      <c r="B204" s="470">
        <v>4305</v>
      </c>
      <c r="C204" s="551"/>
      <c r="D204" s="466"/>
      <c r="E204" s="468"/>
      <c r="F204" s="466"/>
      <c r="G204" s="466"/>
      <c r="H204" s="468"/>
      <c r="I204" s="468"/>
      <c r="J204" s="468"/>
      <c r="K204" s="468"/>
    </row>
    <row r="205" spans="1:11" ht="12.95" customHeight="1">
      <c r="A205" s="463" t="s">
        <v>976</v>
      </c>
      <c r="B205" s="470">
        <v>4332</v>
      </c>
      <c r="C205" s="551"/>
      <c r="D205" s="466"/>
      <c r="E205" s="468"/>
      <c r="F205" s="466"/>
      <c r="G205" s="466"/>
      <c r="H205" s="468"/>
      <c r="I205" s="468"/>
      <c r="J205" s="468"/>
      <c r="K205" s="468"/>
    </row>
    <row r="206" spans="1:11" ht="12.95" customHeight="1">
      <c r="A206" s="463" t="s">
        <v>1089</v>
      </c>
      <c r="B206" s="470">
        <v>4334</v>
      </c>
      <c r="C206" s="551"/>
      <c r="D206" s="466"/>
      <c r="E206" s="468"/>
      <c r="F206" s="466"/>
      <c r="G206" s="466"/>
      <c r="H206" s="468"/>
      <c r="I206" s="468"/>
      <c r="J206" s="468"/>
      <c r="K206" s="468"/>
    </row>
    <row r="207" spans="1:11" ht="12.95" customHeight="1">
      <c r="A207" s="463" t="s">
        <v>1090</v>
      </c>
      <c r="B207" s="470">
        <v>4335</v>
      </c>
      <c r="C207" s="551"/>
      <c r="D207" s="466"/>
      <c r="E207" s="468"/>
      <c r="F207" s="466"/>
      <c r="G207" s="466"/>
      <c r="H207" s="468"/>
      <c r="I207" s="468"/>
      <c r="J207" s="468"/>
      <c r="K207" s="468"/>
    </row>
    <row r="208" spans="1:11" ht="12.95" customHeight="1">
      <c r="A208" s="463" t="s">
        <v>1153</v>
      </c>
      <c r="B208" s="470">
        <v>4337</v>
      </c>
      <c r="C208" s="489"/>
      <c r="D208" s="467"/>
      <c r="E208" s="468"/>
      <c r="F208" s="467"/>
      <c r="G208" s="467"/>
      <c r="H208" s="468"/>
      <c r="I208" s="468"/>
      <c r="J208" s="468"/>
      <c r="K208" s="468"/>
    </row>
    <row r="209" spans="1:11" ht="12.95" customHeight="1">
      <c r="A209" s="463" t="s">
        <v>1091</v>
      </c>
      <c r="B209" s="470">
        <v>4340</v>
      </c>
      <c r="C209" s="551"/>
      <c r="D209" s="466"/>
      <c r="E209" s="468"/>
      <c r="F209" s="466"/>
      <c r="G209" s="466"/>
      <c r="H209" s="468"/>
      <c r="I209" s="468"/>
      <c r="J209" s="468"/>
      <c r="K209" s="468"/>
    </row>
    <row r="210" spans="1:11" ht="12.95" customHeight="1">
      <c r="A210" s="463" t="s">
        <v>74</v>
      </c>
      <c r="B210" s="470">
        <v>4399</v>
      </c>
      <c r="C210" s="551"/>
      <c r="D210" s="466"/>
      <c r="E210" s="468"/>
      <c r="F210" s="466"/>
      <c r="G210" s="466"/>
      <c r="H210" s="468"/>
      <c r="I210" s="468"/>
      <c r="J210" s="468"/>
      <c r="K210" s="468"/>
    </row>
    <row r="211" spans="1:11" ht="12.95" customHeight="1" thickBot="1">
      <c r="A211" s="1656" t="s">
        <v>420</v>
      </c>
      <c r="B211" s="1657"/>
      <c r="C211" s="1655">
        <f>SUM(C203:C210)</f>
        <v>487247</v>
      </c>
      <c r="D211" s="1655">
        <f>SUM(D203:D210)</f>
        <v>0</v>
      </c>
      <c r="E211" s="468"/>
      <c r="F211" s="1655">
        <f>SUM(F203:F210)</f>
        <v>0</v>
      </c>
      <c r="G211" s="1655">
        <f>SUM(G203:G210)</f>
        <v>0</v>
      </c>
      <c r="H211" s="468"/>
      <c r="I211" s="468"/>
      <c r="J211" s="468"/>
      <c r="K211" s="468"/>
    </row>
    <row r="212" spans="1:11" ht="15.75" customHeight="1" thickTop="1">
      <c r="A212" s="1552" t="s">
        <v>1201</v>
      </c>
      <c r="B212" s="1557"/>
      <c r="C212" s="553"/>
      <c r="D212" s="553"/>
      <c r="E212" s="468"/>
      <c r="F212" s="553"/>
      <c r="G212" s="553"/>
      <c r="H212" s="468"/>
      <c r="I212" s="468"/>
      <c r="J212" s="468"/>
      <c r="K212" s="468"/>
    </row>
    <row r="213" spans="1:11" ht="12.95" customHeight="1">
      <c r="A213" s="463" t="s">
        <v>783</v>
      </c>
      <c r="B213" s="470">
        <v>4400</v>
      </c>
      <c r="C213" s="551"/>
      <c r="D213" s="466"/>
      <c r="E213" s="468"/>
      <c r="F213" s="466"/>
      <c r="G213" s="466"/>
      <c r="H213" s="468"/>
      <c r="I213" s="468"/>
      <c r="J213" s="468"/>
      <c r="K213" s="468"/>
    </row>
    <row r="214" spans="1:11" ht="12.95" customHeight="1">
      <c r="A214" s="463" t="s">
        <v>1507</v>
      </c>
      <c r="B214" s="470">
        <v>4421</v>
      </c>
      <c r="C214" s="551"/>
      <c r="D214" s="466"/>
      <c r="E214" s="468"/>
      <c r="F214" s="466"/>
      <c r="G214" s="466"/>
      <c r="H214" s="468"/>
      <c r="I214" s="468"/>
      <c r="J214" s="468"/>
      <c r="K214" s="468"/>
    </row>
    <row r="215" spans="1:11" ht="12.95" customHeight="1">
      <c r="A215" s="463" t="s">
        <v>75</v>
      </c>
      <c r="B215" s="470">
        <v>4499</v>
      </c>
      <c r="C215" s="551"/>
      <c r="D215" s="466"/>
      <c r="E215" s="468"/>
      <c r="F215" s="466"/>
      <c r="G215" s="466"/>
      <c r="H215" s="468"/>
      <c r="I215" s="468"/>
      <c r="J215" s="468"/>
      <c r="K215" s="468"/>
    </row>
    <row r="216" spans="1:11" ht="12.95" customHeight="1" thickBot="1">
      <c r="A216" s="1656" t="s">
        <v>944</v>
      </c>
      <c r="B216" s="1657"/>
      <c r="C216" s="1655">
        <f>SUM(C213:C215)</f>
        <v>0</v>
      </c>
      <c r="D216" s="1655">
        <f>SUM(D213:D215)</f>
        <v>0</v>
      </c>
      <c r="E216" s="468" t="s">
        <v>1231</v>
      </c>
      <c r="F216" s="1655">
        <f>SUM(F213:F215)</f>
        <v>0</v>
      </c>
      <c r="G216" s="1655">
        <f>SUM(G213:G215)</f>
        <v>0</v>
      </c>
      <c r="H216" s="468"/>
      <c r="I216" s="468"/>
      <c r="J216" s="468"/>
      <c r="K216" s="468"/>
    </row>
    <row r="217" spans="1:11" ht="15.75" customHeight="1" thickTop="1">
      <c r="A217" s="1552" t="s">
        <v>1154</v>
      </c>
      <c r="B217" s="1557"/>
      <c r="C217" s="553"/>
      <c r="D217" s="553"/>
      <c r="E217" s="468"/>
      <c r="F217" s="553"/>
      <c r="G217" s="553"/>
      <c r="H217" s="468"/>
      <c r="I217" s="468"/>
      <c r="J217" s="468"/>
      <c r="K217" s="468"/>
    </row>
    <row r="218" spans="1:11" ht="12.95" customHeight="1">
      <c r="A218" s="463" t="s">
        <v>1112</v>
      </c>
      <c r="B218" s="470">
        <v>4600</v>
      </c>
      <c r="C218" s="551"/>
      <c r="D218" s="466"/>
      <c r="E218" s="468"/>
      <c r="F218" s="466"/>
      <c r="G218" s="466"/>
      <c r="H218" s="468"/>
      <c r="I218" s="468"/>
      <c r="J218" s="468"/>
      <c r="K218" s="468"/>
    </row>
    <row r="219" spans="1:11" ht="12.95" customHeight="1">
      <c r="A219" s="463" t="s">
        <v>1113</v>
      </c>
      <c r="B219" s="470">
        <v>4605</v>
      </c>
      <c r="C219" s="551"/>
      <c r="D219" s="466"/>
      <c r="E219" s="468"/>
      <c r="F219" s="466"/>
      <c r="G219" s="466"/>
      <c r="H219" s="468"/>
      <c r="I219" s="468"/>
      <c r="J219" s="468"/>
      <c r="K219" s="468"/>
    </row>
    <row r="220" spans="1:11" ht="12.95" customHeight="1">
      <c r="A220" s="463" t="s">
        <v>1508</v>
      </c>
      <c r="B220" s="557">
        <v>4620</v>
      </c>
      <c r="C220" s="551"/>
      <c r="D220" s="466"/>
      <c r="E220" s="468"/>
      <c r="F220" s="466"/>
      <c r="G220" s="466"/>
      <c r="H220" s="468"/>
      <c r="I220" s="468"/>
      <c r="J220" s="468"/>
      <c r="K220" s="468"/>
    </row>
    <row r="221" spans="1:11" ht="12.95" customHeight="1">
      <c r="A221" s="463" t="s">
        <v>1114</v>
      </c>
      <c r="B221" s="470">
        <v>4625</v>
      </c>
      <c r="C221" s="551"/>
      <c r="D221" s="466"/>
      <c r="E221" s="468"/>
      <c r="F221" s="466"/>
      <c r="G221" s="466"/>
      <c r="H221" s="468"/>
      <c r="I221" s="468"/>
      <c r="J221" s="468"/>
      <c r="K221" s="468"/>
    </row>
    <row r="222" spans="1:11" ht="12.95" customHeight="1">
      <c r="A222" s="463" t="s">
        <v>1115</v>
      </c>
      <c r="B222" s="470">
        <v>4630</v>
      </c>
      <c r="C222" s="551"/>
      <c r="D222" s="466"/>
      <c r="E222" s="468"/>
      <c r="F222" s="466"/>
      <c r="G222" s="466"/>
      <c r="H222" s="468"/>
      <c r="I222" s="468"/>
      <c r="J222" s="468"/>
      <c r="K222" s="468"/>
    </row>
    <row r="223" spans="1:11" ht="12.95" customHeight="1">
      <c r="A223" s="1453" t="s">
        <v>76</v>
      </c>
      <c r="B223" s="557">
        <v>4699</v>
      </c>
      <c r="C223" s="551"/>
      <c r="D223" s="466"/>
      <c r="E223" s="468"/>
      <c r="F223" s="466"/>
      <c r="G223" s="466"/>
      <c r="H223" s="468"/>
      <c r="I223" s="468"/>
      <c r="J223" s="468"/>
      <c r="K223" s="468"/>
    </row>
    <row r="224" spans="1:11" ht="12.95" customHeight="1" thickBot="1">
      <c r="A224" s="1656" t="s">
        <v>467</v>
      </c>
      <c r="B224" s="1657"/>
      <c r="C224" s="1655">
        <f>SUM(C218:C223)</f>
        <v>0</v>
      </c>
      <c r="D224" s="1655">
        <f>SUM(D218:D223)</f>
        <v>0</v>
      </c>
      <c r="E224" s="468"/>
      <c r="F224" s="1655">
        <f>SUM(F218:F223)</f>
        <v>0</v>
      </c>
      <c r="G224" s="1655">
        <f>SUM(G218:G223)</f>
        <v>0</v>
      </c>
      <c r="H224" s="468"/>
      <c r="I224" s="468"/>
      <c r="J224" s="468"/>
      <c r="K224" s="468"/>
    </row>
    <row r="225" spans="1:11" ht="15.75" customHeight="1" thickTop="1">
      <c r="A225" s="1552" t="s">
        <v>1155</v>
      </c>
      <c r="B225" s="1557"/>
      <c r="C225" s="553"/>
      <c r="D225" s="553"/>
      <c r="E225" s="468"/>
      <c r="F225" s="553"/>
      <c r="G225" s="553"/>
      <c r="H225" s="468"/>
      <c r="I225" s="468"/>
      <c r="J225" s="468"/>
      <c r="K225" s="468"/>
    </row>
    <row r="226" spans="1:11" ht="12.95" customHeight="1">
      <c r="A226" s="463" t="s">
        <v>820</v>
      </c>
      <c r="B226" s="470">
        <v>4770</v>
      </c>
      <c r="C226" s="551"/>
      <c r="D226" s="466"/>
      <c r="E226" s="468"/>
      <c r="F226" s="468"/>
      <c r="G226" s="466"/>
      <c r="H226" s="468"/>
      <c r="I226" s="468"/>
      <c r="J226" s="468"/>
      <c r="K226" s="468"/>
    </row>
    <row r="227" spans="1:11" ht="12.95" customHeight="1">
      <c r="A227" s="463" t="s">
        <v>69</v>
      </c>
      <c r="B227" s="470">
        <v>4799</v>
      </c>
      <c r="C227" s="551"/>
      <c r="D227" s="466"/>
      <c r="E227" s="468"/>
      <c r="F227" s="468"/>
      <c r="G227" s="466"/>
      <c r="H227" s="468"/>
      <c r="I227" s="468"/>
      <c r="J227" s="468"/>
      <c r="K227" s="468"/>
    </row>
    <row r="228" spans="1:11" ht="12.95" customHeight="1" thickBot="1">
      <c r="A228" s="1671" t="s">
        <v>1145</v>
      </c>
      <c r="B228" s="1672"/>
      <c r="C228" s="1655">
        <f>SUM(C226:C227)</f>
        <v>0</v>
      </c>
      <c r="D228" s="1655">
        <f>SUM(D226:D227)</f>
        <v>0</v>
      </c>
      <c r="E228" s="468"/>
      <c r="F228" s="468"/>
      <c r="G228" s="1655">
        <f>SUM(G226:G227)</f>
        <v>0</v>
      </c>
      <c r="H228" s="468"/>
      <c r="I228" s="468"/>
      <c r="J228" s="468"/>
      <c r="K228" s="468"/>
    </row>
    <row r="229" spans="1:11" ht="12.95" customHeight="1" thickTop="1" thickBot="1">
      <c r="A229" s="493" t="s">
        <v>781</v>
      </c>
      <c r="B229" s="491">
        <v>4810</v>
      </c>
      <c r="C229" s="575"/>
      <c r="D229" s="576"/>
      <c r="E229" s="468"/>
      <c r="F229" s="468"/>
      <c r="G229" s="576"/>
      <c r="H229" s="468"/>
      <c r="I229" s="468"/>
      <c r="J229" s="468"/>
      <c r="K229" s="468"/>
    </row>
    <row r="230" spans="1:11" ht="12.95" customHeight="1" thickTop="1">
      <c r="A230" s="493" t="s">
        <v>368</v>
      </c>
      <c r="B230" s="491">
        <v>4850</v>
      </c>
      <c r="C230" s="489"/>
      <c r="D230" s="467"/>
      <c r="E230" s="467"/>
      <c r="F230" s="467"/>
      <c r="G230" s="467"/>
      <c r="H230" s="467"/>
      <c r="I230" s="468"/>
      <c r="J230" s="467"/>
      <c r="K230" s="467"/>
    </row>
    <row r="231" spans="1:11" ht="12.95" customHeight="1">
      <c r="A231" s="493" t="s">
        <v>369</v>
      </c>
      <c r="B231" s="491">
        <v>4851</v>
      </c>
      <c r="C231" s="489"/>
      <c r="D231" s="467"/>
      <c r="E231" s="468"/>
      <c r="F231" s="474"/>
      <c r="G231" s="467"/>
      <c r="H231" s="468"/>
      <c r="I231" s="468"/>
      <c r="J231" s="468"/>
      <c r="K231" s="468"/>
    </row>
    <row r="232" spans="1:11" ht="12.95" customHeight="1">
      <c r="A232" s="493" t="s">
        <v>370</v>
      </c>
      <c r="B232" s="491">
        <v>4852</v>
      </c>
      <c r="C232" s="489"/>
      <c r="D232" s="467"/>
      <c r="E232" s="467"/>
      <c r="F232" s="467"/>
      <c r="G232" s="467"/>
      <c r="H232" s="467"/>
      <c r="I232" s="468"/>
      <c r="J232" s="467"/>
      <c r="K232" s="467"/>
    </row>
    <row r="233" spans="1:11" ht="12.95" customHeight="1">
      <c r="A233" s="493" t="s">
        <v>371</v>
      </c>
      <c r="B233" s="491">
        <v>4853</v>
      </c>
      <c r="C233" s="489"/>
      <c r="D233" s="467"/>
      <c r="E233" s="467"/>
      <c r="F233" s="467"/>
      <c r="G233" s="467"/>
      <c r="H233" s="467"/>
      <c r="I233" s="468"/>
      <c r="J233" s="467"/>
      <c r="K233" s="467"/>
    </row>
    <row r="234" spans="1:11" ht="12.95" customHeight="1">
      <c r="A234" s="493" t="s">
        <v>372</v>
      </c>
      <c r="B234" s="491">
        <v>4854</v>
      </c>
      <c r="C234" s="489"/>
      <c r="D234" s="467"/>
      <c r="E234" s="467"/>
      <c r="F234" s="467"/>
      <c r="G234" s="467"/>
      <c r="H234" s="467"/>
      <c r="I234" s="468"/>
      <c r="J234" s="467"/>
      <c r="K234" s="467"/>
    </row>
    <row r="235" spans="1:11" ht="12.95" customHeight="1">
      <c r="A235" s="493" t="s">
        <v>484</v>
      </c>
      <c r="B235" s="491">
        <v>4855</v>
      </c>
      <c r="C235" s="489"/>
      <c r="D235" s="467"/>
      <c r="E235" s="467"/>
      <c r="F235" s="467"/>
      <c r="G235" s="467"/>
      <c r="H235" s="467"/>
      <c r="I235" s="468"/>
      <c r="J235" s="467"/>
      <c r="K235" s="467"/>
    </row>
    <row r="236" spans="1:11" ht="12.95" customHeight="1">
      <c r="A236" s="493" t="s">
        <v>373</v>
      </c>
      <c r="B236" s="491">
        <v>4856</v>
      </c>
      <c r="C236" s="489"/>
      <c r="D236" s="467"/>
      <c r="E236" s="467"/>
      <c r="F236" s="467"/>
      <c r="G236" s="467"/>
      <c r="H236" s="467"/>
      <c r="I236" s="468"/>
      <c r="J236" s="467"/>
      <c r="K236" s="467"/>
    </row>
    <row r="237" spans="1:11" ht="12.95" customHeight="1">
      <c r="A237" s="493" t="s">
        <v>374</v>
      </c>
      <c r="B237" s="491">
        <v>4857</v>
      </c>
      <c r="C237" s="489"/>
      <c r="D237" s="467"/>
      <c r="E237" s="467"/>
      <c r="F237" s="467"/>
      <c r="G237" s="467"/>
      <c r="H237" s="467"/>
      <c r="I237" s="468"/>
      <c r="J237" s="467"/>
      <c r="K237" s="467"/>
    </row>
    <row r="238" spans="1:11" ht="12.95" customHeight="1">
      <c r="A238" s="493" t="s">
        <v>375</v>
      </c>
      <c r="B238" s="491">
        <v>4860</v>
      </c>
      <c r="C238" s="489"/>
      <c r="D238" s="467"/>
      <c r="E238" s="467"/>
      <c r="F238" s="467"/>
      <c r="G238" s="467"/>
      <c r="H238" s="467"/>
      <c r="I238" s="468"/>
      <c r="J238" s="467"/>
      <c r="K238" s="467"/>
    </row>
    <row r="239" spans="1:11" ht="12.95" customHeight="1">
      <c r="A239" s="493" t="s">
        <v>376</v>
      </c>
      <c r="B239" s="491">
        <v>4861</v>
      </c>
      <c r="C239" s="489"/>
      <c r="D239" s="467"/>
      <c r="E239" s="467"/>
      <c r="F239" s="467"/>
      <c r="G239" s="467"/>
      <c r="H239" s="467"/>
      <c r="I239" s="468"/>
      <c r="J239" s="467"/>
      <c r="K239" s="467"/>
    </row>
    <row r="240" spans="1:11" ht="12.95" customHeight="1">
      <c r="A240" s="493" t="s">
        <v>377</v>
      </c>
      <c r="B240" s="491">
        <v>4862</v>
      </c>
      <c r="C240" s="489"/>
      <c r="D240" s="467"/>
      <c r="E240" s="475"/>
      <c r="F240" s="467"/>
      <c r="G240" s="467"/>
      <c r="H240" s="475"/>
      <c r="I240" s="468"/>
      <c r="J240" s="475"/>
      <c r="K240" s="475"/>
    </row>
    <row r="241" spans="1:11" ht="12.95" customHeight="1">
      <c r="A241" s="493" t="s">
        <v>378</v>
      </c>
      <c r="B241" s="491">
        <v>4863</v>
      </c>
      <c r="C241" s="489"/>
      <c r="D241" s="467"/>
      <c r="E241" s="468"/>
      <c r="F241" s="475"/>
      <c r="G241" s="526"/>
      <c r="H241" s="468"/>
      <c r="I241" s="468"/>
      <c r="J241" s="468"/>
      <c r="K241" s="468"/>
    </row>
    <row r="242" spans="1:11" ht="12.95" customHeight="1">
      <c r="A242" s="493" t="s">
        <v>489</v>
      </c>
      <c r="B242" s="491">
        <v>4864</v>
      </c>
      <c r="C242" s="489"/>
      <c r="D242" s="467"/>
      <c r="E242" s="467"/>
      <c r="F242" s="467"/>
      <c r="G242" s="467"/>
      <c r="H242" s="467"/>
      <c r="I242" s="468"/>
      <c r="J242" s="467"/>
      <c r="K242" s="467"/>
    </row>
    <row r="243" spans="1:11" ht="12.95" customHeight="1">
      <c r="A243" s="493" t="s">
        <v>490</v>
      </c>
      <c r="B243" s="491">
        <v>4865</v>
      </c>
      <c r="C243" s="489"/>
      <c r="D243" s="467"/>
      <c r="E243" s="467"/>
      <c r="F243" s="467"/>
      <c r="G243" s="467"/>
      <c r="H243" s="467"/>
      <c r="I243" s="468"/>
      <c r="J243" s="467"/>
      <c r="K243" s="467"/>
    </row>
    <row r="244" spans="1:11" ht="12.95" customHeight="1">
      <c r="A244" s="493" t="s">
        <v>488</v>
      </c>
      <c r="B244" s="491">
        <v>4866</v>
      </c>
      <c r="C244" s="489"/>
      <c r="D244" s="467"/>
      <c r="E244" s="467"/>
      <c r="F244" s="467"/>
      <c r="G244" s="467"/>
      <c r="H244" s="467"/>
      <c r="I244" s="468"/>
      <c r="J244" s="467"/>
      <c r="K244" s="467"/>
    </row>
    <row r="245" spans="1:11" ht="12.95" customHeight="1">
      <c r="A245" s="493" t="s">
        <v>487</v>
      </c>
      <c r="B245" s="491">
        <v>4867</v>
      </c>
      <c r="C245" s="489"/>
      <c r="D245" s="467"/>
      <c r="E245" s="467"/>
      <c r="F245" s="467"/>
      <c r="G245" s="467"/>
      <c r="H245" s="467"/>
      <c r="I245" s="468"/>
      <c r="J245" s="467"/>
      <c r="K245" s="467"/>
    </row>
    <row r="246" spans="1:11" ht="12.95" customHeight="1">
      <c r="A246" s="493" t="s">
        <v>486</v>
      </c>
      <c r="B246" s="491">
        <v>4868</v>
      </c>
      <c r="C246" s="489"/>
      <c r="D246" s="467"/>
      <c r="E246" s="467"/>
      <c r="F246" s="467"/>
      <c r="G246" s="467"/>
      <c r="H246" s="467"/>
      <c r="I246" s="468"/>
      <c r="J246" s="467"/>
      <c r="K246" s="467"/>
    </row>
    <row r="247" spans="1:11" ht="12.95" customHeight="1">
      <c r="A247" s="493" t="s">
        <v>485</v>
      </c>
      <c r="B247" s="491">
        <v>4869</v>
      </c>
      <c r="C247" s="489"/>
      <c r="D247" s="467"/>
      <c r="E247" s="467"/>
      <c r="F247" s="467"/>
      <c r="G247" s="467"/>
      <c r="H247" s="467"/>
      <c r="I247" s="468"/>
      <c r="J247" s="467"/>
      <c r="K247" s="467"/>
    </row>
    <row r="248" spans="1:11" ht="12.95" customHeight="1">
      <c r="A248" s="493" t="s">
        <v>1190</v>
      </c>
      <c r="B248" s="491">
        <v>4870</v>
      </c>
      <c r="C248" s="489"/>
      <c r="D248" s="467"/>
      <c r="E248" s="467"/>
      <c r="F248" s="467"/>
      <c r="G248" s="467"/>
      <c r="H248" s="467"/>
      <c r="I248" s="468"/>
      <c r="J248" s="467"/>
      <c r="K248" s="467"/>
    </row>
    <row r="249" spans="1:11" ht="12.95" customHeight="1">
      <c r="A249" s="493" t="s">
        <v>821</v>
      </c>
      <c r="B249" s="491">
        <v>4871</v>
      </c>
      <c r="C249" s="489"/>
      <c r="D249" s="467"/>
      <c r="E249" s="467"/>
      <c r="F249" s="467"/>
      <c r="G249" s="467"/>
      <c r="H249" s="467"/>
      <c r="I249" s="468"/>
      <c r="J249" s="467"/>
      <c r="K249" s="467"/>
    </row>
    <row r="250" spans="1:11" ht="12.95" customHeight="1">
      <c r="A250" s="493" t="s">
        <v>822</v>
      </c>
      <c r="B250" s="491">
        <v>4872</v>
      </c>
      <c r="C250" s="489"/>
      <c r="D250" s="467"/>
      <c r="E250" s="467"/>
      <c r="F250" s="467"/>
      <c r="G250" s="467"/>
      <c r="H250" s="467"/>
      <c r="I250" s="468"/>
      <c r="J250" s="467"/>
      <c r="K250" s="467"/>
    </row>
    <row r="251" spans="1:11" ht="12.95" customHeight="1">
      <c r="A251" s="493" t="s">
        <v>823</v>
      </c>
      <c r="B251" s="491">
        <v>4873</v>
      </c>
      <c r="C251" s="489"/>
      <c r="D251" s="467"/>
      <c r="E251" s="467"/>
      <c r="F251" s="467"/>
      <c r="G251" s="467"/>
      <c r="H251" s="467"/>
      <c r="I251" s="468"/>
      <c r="J251" s="467"/>
      <c r="K251" s="467"/>
    </row>
    <row r="252" spans="1:11" ht="12.95" customHeight="1">
      <c r="A252" s="493" t="s">
        <v>824</v>
      </c>
      <c r="B252" s="491">
        <v>4874</v>
      </c>
      <c r="C252" s="489"/>
      <c r="D252" s="467"/>
      <c r="E252" s="467"/>
      <c r="F252" s="467"/>
      <c r="G252" s="467"/>
      <c r="H252" s="467"/>
      <c r="I252" s="468"/>
      <c r="J252" s="467"/>
      <c r="K252" s="467"/>
    </row>
    <row r="253" spans="1:11" ht="12.95" customHeight="1">
      <c r="A253" s="493" t="s">
        <v>491</v>
      </c>
      <c r="B253" s="491">
        <v>4875</v>
      </c>
      <c r="C253" s="489"/>
      <c r="D253" s="467"/>
      <c r="E253" s="467"/>
      <c r="F253" s="467"/>
      <c r="G253" s="467"/>
      <c r="H253" s="467"/>
      <c r="I253" s="468"/>
      <c r="J253" s="467"/>
      <c r="K253" s="467"/>
    </row>
    <row r="254" spans="1:11" ht="12.95" customHeight="1">
      <c r="A254" s="493" t="s">
        <v>794</v>
      </c>
      <c r="B254" s="491">
        <v>4876</v>
      </c>
      <c r="C254" s="489"/>
      <c r="D254" s="467"/>
      <c r="E254" s="467"/>
      <c r="F254" s="467"/>
      <c r="G254" s="467"/>
      <c r="H254" s="467"/>
      <c r="I254" s="468"/>
      <c r="J254" s="467"/>
      <c r="K254" s="467"/>
    </row>
    <row r="255" spans="1:11" ht="12.95" customHeight="1">
      <c r="A255" s="493" t="s">
        <v>795</v>
      </c>
      <c r="B255" s="491">
        <v>4877</v>
      </c>
      <c r="C255" s="489"/>
      <c r="D255" s="467"/>
      <c r="E255" s="467"/>
      <c r="F255" s="467"/>
      <c r="G255" s="467"/>
      <c r="H255" s="467"/>
      <c r="I255" s="468"/>
      <c r="J255" s="467"/>
      <c r="K255" s="467"/>
    </row>
    <row r="256" spans="1:11" ht="12.95" customHeight="1">
      <c r="A256" s="493" t="s">
        <v>796</v>
      </c>
      <c r="B256" s="491">
        <v>4878</v>
      </c>
      <c r="C256" s="489"/>
      <c r="D256" s="467"/>
      <c r="E256" s="467"/>
      <c r="F256" s="467"/>
      <c r="G256" s="467"/>
      <c r="H256" s="467"/>
      <c r="I256" s="468"/>
      <c r="J256" s="467"/>
      <c r="K256" s="467"/>
    </row>
    <row r="257" spans="1:11" ht="12.95" customHeight="1">
      <c r="A257" s="493" t="s">
        <v>797</v>
      </c>
      <c r="B257" s="491">
        <v>4879</v>
      </c>
      <c r="C257" s="489"/>
      <c r="D257" s="467"/>
      <c r="E257" s="467"/>
      <c r="F257" s="467"/>
      <c r="G257" s="467"/>
      <c r="H257" s="467"/>
      <c r="I257" s="468"/>
      <c r="J257" s="467"/>
      <c r="K257" s="467"/>
    </row>
    <row r="258" spans="1:11" ht="12.95" customHeight="1">
      <c r="A258" s="225" t="s">
        <v>1509</v>
      </c>
      <c r="B258" s="587">
        <v>4880</v>
      </c>
      <c r="C258" s="489"/>
      <c r="D258" s="467"/>
      <c r="E258" s="467"/>
      <c r="F258" s="467"/>
      <c r="G258" s="467"/>
      <c r="H258" s="467"/>
      <c r="I258" s="468"/>
      <c r="J258" s="467"/>
      <c r="K258" s="467"/>
    </row>
    <row r="259" spans="1:11" ht="12.95" customHeight="1" thickBot="1">
      <c r="A259" s="1673" t="s">
        <v>798</v>
      </c>
      <c r="B259" s="1674"/>
      <c r="C259" s="1666">
        <f t="shared" ref="C259:H259" si="9">SUM(C230:C258)</f>
        <v>0</v>
      </c>
      <c r="D259" s="1655">
        <f t="shared" si="9"/>
        <v>0</v>
      </c>
      <c r="E259" s="1655">
        <f t="shared" si="9"/>
        <v>0</v>
      </c>
      <c r="F259" s="1655">
        <f t="shared" si="9"/>
        <v>0</v>
      </c>
      <c r="G259" s="1655">
        <f t="shared" si="9"/>
        <v>0</v>
      </c>
      <c r="H259" s="1655">
        <f t="shared" si="9"/>
        <v>0</v>
      </c>
      <c r="I259" s="553"/>
      <c r="J259" s="1655">
        <f>SUM(J230:J258)</f>
        <v>0</v>
      </c>
      <c r="K259" s="1636">
        <f>SUM(K230:K258)</f>
        <v>0</v>
      </c>
    </row>
    <row r="260" spans="1:11" ht="12.95" customHeight="1" thickTop="1" thickBot="1">
      <c r="A260" s="1454" t="s">
        <v>1472</v>
      </c>
      <c r="B260" s="588">
        <v>4901</v>
      </c>
      <c r="C260" s="589"/>
      <c r="D260" s="469"/>
      <c r="E260" s="468"/>
      <c r="F260" s="468"/>
      <c r="G260" s="468"/>
      <c r="H260" s="468"/>
      <c r="I260" s="468"/>
      <c r="J260" s="468"/>
      <c r="K260" s="468"/>
    </row>
    <row r="261" spans="1:11" ht="12.95" customHeight="1" thickTop="1" thickBot="1">
      <c r="A261" s="1455" t="s">
        <v>1517</v>
      </c>
      <c r="B261" s="590">
        <v>4902</v>
      </c>
      <c r="C261" s="591"/>
      <c r="D261" s="592"/>
      <c r="E261" s="469"/>
      <c r="F261" s="592"/>
      <c r="G261" s="592"/>
      <c r="H261" s="469"/>
      <c r="I261" s="468"/>
      <c r="J261" s="469"/>
      <c r="K261" s="469"/>
    </row>
    <row r="262" spans="1:11" ht="12.95" customHeight="1" thickTop="1" thickBot="1">
      <c r="A262" s="493" t="s">
        <v>1146</v>
      </c>
      <c r="B262" s="491">
        <v>4904</v>
      </c>
      <c r="C262" s="593"/>
      <c r="D262" s="591"/>
      <c r="E262" s="469"/>
      <c r="F262" s="553"/>
      <c r="G262" s="591"/>
      <c r="H262" s="469"/>
      <c r="I262" s="468"/>
      <c r="J262" s="468"/>
      <c r="K262" s="468"/>
    </row>
    <row r="263" spans="1:11" ht="12.95" customHeight="1" thickTop="1" thickBot="1">
      <c r="A263" s="463" t="s">
        <v>1510</v>
      </c>
      <c r="B263" s="470">
        <v>4905</v>
      </c>
      <c r="C263" s="573"/>
      <c r="D263" s="468"/>
      <c r="E263" s="468"/>
      <c r="F263" s="578"/>
      <c r="G263" s="573"/>
      <c r="H263" s="468"/>
      <c r="I263" s="468"/>
      <c r="J263" s="468"/>
      <c r="K263" s="468"/>
    </row>
    <row r="264" spans="1:11" ht="12.95" customHeight="1" thickTop="1" thickBot="1">
      <c r="A264" s="463" t="s">
        <v>1511</v>
      </c>
      <c r="B264" s="470">
        <v>4909</v>
      </c>
      <c r="C264" s="576"/>
      <c r="D264" s="468"/>
      <c r="E264" s="468"/>
      <c r="F264" s="576"/>
      <c r="G264" s="576"/>
      <c r="H264" s="468"/>
      <c r="I264" s="468"/>
      <c r="J264" s="468"/>
      <c r="K264" s="468"/>
    </row>
    <row r="265" spans="1:11" ht="12.95" customHeight="1" thickTop="1" thickBot="1">
      <c r="A265" s="463" t="s">
        <v>945</v>
      </c>
      <c r="B265" s="470">
        <v>4910</v>
      </c>
      <c r="C265" s="576"/>
      <c r="D265" s="468"/>
      <c r="E265" s="468"/>
      <c r="F265" s="576"/>
      <c r="G265" s="576"/>
      <c r="H265" s="468"/>
      <c r="I265" s="468"/>
      <c r="J265" s="468"/>
      <c r="K265" s="468"/>
    </row>
    <row r="266" spans="1:11" ht="12.95" customHeight="1" thickTop="1" thickBot="1">
      <c r="A266" s="463" t="s">
        <v>202</v>
      </c>
      <c r="B266" s="470">
        <v>4920</v>
      </c>
      <c r="C266" s="576"/>
      <c r="D266" s="578"/>
      <c r="E266" s="468"/>
      <c r="F266" s="573"/>
      <c r="G266" s="573"/>
      <c r="H266" s="468"/>
      <c r="I266" s="468"/>
      <c r="J266" s="468"/>
      <c r="K266" s="468"/>
    </row>
    <row r="267" spans="1:11" ht="12.95" customHeight="1" thickTop="1" thickBot="1">
      <c r="A267" s="463" t="s">
        <v>441</v>
      </c>
      <c r="B267" s="470">
        <v>4930</v>
      </c>
      <c r="C267" s="576"/>
      <c r="D267" s="576"/>
      <c r="E267" s="468"/>
      <c r="F267" s="576"/>
      <c r="G267" s="576"/>
      <c r="H267" s="468"/>
      <c r="I267" s="468"/>
      <c r="J267" s="468"/>
      <c r="K267" s="468"/>
    </row>
    <row r="268" spans="1:11" ht="12.95" customHeight="1" thickTop="1" thickBot="1">
      <c r="A268" s="463" t="s">
        <v>782</v>
      </c>
      <c r="B268" s="470">
        <v>4932</v>
      </c>
      <c r="C268" s="576"/>
      <c r="D268" s="576"/>
      <c r="E268" s="468"/>
      <c r="F268" s="576"/>
      <c r="G268" s="576"/>
      <c r="H268" s="468"/>
      <c r="I268" s="468"/>
      <c r="J268" s="468"/>
      <c r="K268" s="468"/>
    </row>
    <row r="269" spans="1:11" ht="12.95" customHeight="1" thickTop="1" thickBot="1">
      <c r="A269" s="463" t="s">
        <v>946</v>
      </c>
      <c r="B269" s="470">
        <v>4960</v>
      </c>
      <c r="C269" s="575"/>
      <c r="D269" s="576"/>
      <c r="E269" s="468"/>
      <c r="F269" s="576"/>
      <c r="G269" s="576"/>
      <c r="H269" s="468"/>
      <c r="I269" s="468"/>
      <c r="J269" s="468"/>
      <c r="K269" s="468"/>
    </row>
    <row r="270" spans="1:11" ht="12.95" customHeight="1" thickTop="1" thickBot="1">
      <c r="A270" s="463" t="s">
        <v>589</v>
      </c>
      <c r="B270" s="470">
        <v>4991</v>
      </c>
      <c r="C270" s="575">
        <v>33881</v>
      </c>
      <c r="D270" s="576"/>
      <c r="E270" s="468"/>
      <c r="F270" s="576"/>
      <c r="G270" s="576"/>
      <c r="H270" s="468"/>
      <c r="I270" s="468"/>
      <c r="J270" s="468"/>
      <c r="K270" s="468"/>
    </row>
    <row r="271" spans="1:11" ht="12.95" customHeight="1" thickTop="1" thickBot="1">
      <c r="A271" s="463" t="s">
        <v>395</v>
      </c>
      <c r="B271" s="470">
        <v>4992</v>
      </c>
      <c r="C271" s="575">
        <v>138362</v>
      </c>
      <c r="D271" s="576"/>
      <c r="E271" s="468"/>
      <c r="F271" s="576"/>
      <c r="G271" s="576"/>
      <c r="H271" s="468"/>
      <c r="I271" s="468"/>
      <c r="J271" s="468"/>
      <c r="K271" s="468"/>
    </row>
    <row r="272" spans="1:11" s="594" customFormat="1" ht="12.95" customHeight="1" thickTop="1" thickBot="1">
      <c r="A272" s="563" t="s">
        <v>77</v>
      </c>
      <c r="B272" s="557">
        <v>4999</v>
      </c>
      <c r="C272" s="575"/>
      <c r="D272" s="576"/>
      <c r="E272" s="468"/>
      <c r="F272" s="576"/>
      <c r="G272" s="576"/>
      <c r="H272" s="530"/>
      <c r="I272" s="468"/>
      <c r="J272" s="468"/>
      <c r="K272" s="530"/>
    </row>
    <row r="273" spans="1:11" ht="14.25" thickTop="1" thickBot="1">
      <c r="A273" s="1656" t="s">
        <v>1737</v>
      </c>
      <c r="B273" s="1675"/>
      <c r="C273" s="1663">
        <f t="shared" ref="C273:H273" si="10">SUM(C191,C201,C211,C216,C224,C228,C229,C259:C272)</f>
        <v>1149206</v>
      </c>
      <c r="D273" s="1663">
        <f t="shared" si="10"/>
        <v>0</v>
      </c>
      <c r="E273" s="1663">
        <f t="shared" si="10"/>
        <v>0</v>
      </c>
      <c r="F273" s="1663">
        <f t="shared" si="10"/>
        <v>0</v>
      </c>
      <c r="G273" s="1663">
        <f t="shared" si="10"/>
        <v>0</v>
      </c>
      <c r="H273" s="1663">
        <f t="shared" si="10"/>
        <v>0</v>
      </c>
      <c r="I273" s="468"/>
      <c r="J273" s="1663">
        <f>SUM(J191,J201,J211,J216,J224,J228,J229,J259:J272)</f>
        <v>0</v>
      </c>
      <c r="K273" s="1650">
        <f>SUM(K191,K201,K211,K216,K224,K228,K229,K259:K272)</f>
        <v>0</v>
      </c>
    </row>
    <row r="274" spans="1:11" ht="14.25" thickTop="1" thickBot="1">
      <c r="A274" s="1676" t="s">
        <v>1147</v>
      </c>
      <c r="B274" s="1677" t="s">
        <v>915</v>
      </c>
      <c r="C274" s="1663">
        <f>SUM(C178,C184,C273)</f>
        <v>1149206</v>
      </c>
      <c r="D274" s="1663">
        <f>SUM(D178,D184,D273)</f>
        <v>0</v>
      </c>
      <c r="E274" s="1663">
        <f>SUM(E178,E273)</f>
        <v>0</v>
      </c>
      <c r="F274" s="1663">
        <f t="shared" ref="F274:K274" si="11">SUM(F178,F184,F273)</f>
        <v>0</v>
      </c>
      <c r="G274" s="1663">
        <f t="shared" si="11"/>
        <v>0</v>
      </c>
      <c r="H274" s="1663">
        <f t="shared" si="11"/>
        <v>0</v>
      </c>
      <c r="I274" s="1663">
        <f t="shared" si="11"/>
        <v>0</v>
      </c>
      <c r="J274" s="1663">
        <f t="shared" si="11"/>
        <v>0</v>
      </c>
      <c r="K274" s="1650">
        <f t="shared" si="11"/>
        <v>0</v>
      </c>
    </row>
    <row r="275" spans="1:11" ht="14.25" thickTop="1" thickBot="1">
      <c r="A275" s="1678" t="s">
        <v>269</v>
      </c>
      <c r="B275" s="1679"/>
      <c r="C275" s="1663">
        <f t="shared" ref="C275:K275" si="12">SUM(C109,C114,C173,C274)</f>
        <v>9127026</v>
      </c>
      <c r="D275" s="1663">
        <f t="shared" si="12"/>
        <v>1094512</v>
      </c>
      <c r="E275" s="1663">
        <f t="shared" si="12"/>
        <v>145097</v>
      </c>
      <c r="F275" s="1663">
        <f t="shared" si="12"/>
        <v>648580</v>
      </c>
      <c r="G275" s="1663">
        <f t="shared" si="12"/>
        <v>326855</v>
      </c>
      <c r="H275" s="1663">
        <f t="shared" si="12"/>
        <v>520526</v>
      </c>
      <c r="I275" s="1663">
        <f t="shared" si="12"/>
        <v>35005</v>
      </c>
      <c r="J275" s="1663">
        <f t="shared" si="12"/>
        <v>191660</v>
      </c>
      <c r="K275" s="1650">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xSplit="2" ySplit="2" topLeftCell="C285" activePane="bottomRight" state="frozen"/>
      <selection activeCell="I21" sqref="I21:S21"/>
      <selection pane="topRight" activeCell="I21" sqref="I21:S21"/>
      <selection pane="bottomLeft" activeCell="I21" sqref="I21:S21"/>
      <selection pane="bottomRight" activeCell="I21" sqref="I21:S21"/>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118" t="s">
        <v>1866</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15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158" t="s">
        <v>315</v>
      </c>
      <c r="B3" s="2159"/>
      <c r="C3" s="1500"/>
      <c r="D3" s="1500"/>
      <c r="E3" s="1500"/>
      <c r="F3" s="1500"/>
      <c r="G3" s="1500"/>
      <c r="H3" s="1500"/>
      <c r="I3" s="1500"/>
      <c r="J3" s="1500"/>
      <c r="K3" s="1501"/>
      <c r="L3" s="1502"/>
      <c r="M3" s="610"/>
      <c r="N3" s="610"/>
    </row>
    <row r="4" spans="1:14" s="259" customFormat="1" ht="15.75" customHeight="1">
      <c r="A4" s="1558" t="s">
        <v>46</v>
      </c>
      <c r="B4" s="1559" t="s">
        <v>591</v>
      </c>
      <c r="C4" s="611"/>
      <c r="D4" s="611"/>
      <c r="E4" s="611"/>
      <c r="F4" s="611"/>
      <c r="G4" s="611"/>
      <c r="H4" s="611"/>
      <c r="I4" s="612"/>
      <c r="J4" s="611"/>
      <c r="K4" s="613"/>
      <c r="L4" s="611"/>
      <c r="M4" s="614"/>
      <c r="N4" s="614"/>
    </row>
    <row r="5" spans="1:14">
      <c r="A5" s="1456" t="s">
        <v>1018</v>
      </c>
      <c r="B5" s="615">
        <v>1100</v>
      </c>
      <c r="C5" s="466">
        <v>2734986</v>
      </c>
      <c r="D5" s="466">
        <v>767236</v>
      </c>
      <c r="E5" s="466">
        <v>77247</v>
      </c>
      <c r="F5" s="466">
        <v>94000</v>
      </c>
      <c r="G5" s="466">
        <v>18249</v>
      </c>
      <c r="H5" s="466"/>
      <c r="I5" s="467"/>
      <c r="J5" s="467"/>
      <c r="K5" s="1619">
        <f>SUM(C5:J5)</f>
        <v>3691718</v>
      </c>
      <c r="L5" s="466">
        <v>3747429</v>
      </c>
    </row>
    <row r="6" spans="1:14">
      <c r="A6" s="1456" t="s">
        <v>1487</v>
      </c>
      <c r="B6" s="615" t="s">
        <v>1485</v>
      </c>
      <c r="C6" s="477"/>
      <c r="D6" s="477"/>
      <c r="E6" s="466"/>
      <c r="F6" s="477"/>
      <c r="G6" s="477"/>
      <c r="H6" s="477"/>
      <c r="I6" s="477"/>
      <c r="J6" s="477"/>
      <c r="K6" s="1619">
        <f>SUM(C6,E6)</f>
        <v>0</v>
      </c>
      <c r="L6" s="466"/>
    </row>
    <row r="7" spans="1:14">
      <c r="A7" s="1456" t="s">
        <v>165</v>
      </c>
      <c r="B7" s="615" t="s">
        <v>1024</v>
      </c>
      <c r="C7" s="467">
        <v>198967</v>
      </c>
      <c r="D7" s="467">
        <v>40529</v>
      </c>
      <c r="E7" s="467">
        <v>16311</v>
      </c>
      <c r="F7" s="467">
        <v>55125</v>
      </c>
      <c r="G7" s="467"/>
      <c r="H7" s="467"/>
      <c r="I7" s="467"/>
      <c r="J7" s="467"/>
      <c r="K7" s="1619">
        <f t="shared" ref="K7:K32" si="0">SUM(C7:J7)</f>
        <v>310932</v>
      </c>
      <c r="L7" s="466">
        <v>314076</v>
      </c>
    </row>
    <row r="8" spans="1:14">
      <c r="A8" s="1456" t="s">
        <v>166</v>
      </c>
      <c r="B8" s="615">
        <v>1200</v>
      </c>
      <c r="C8" s="466">
        <v>792222</v>
      </c>
      <c r="D8" s="466">
        <v>168480</v>
      </c>
      <c r="E8" s="466"/>
      <c r="F8" s="466"/>
      <c r="G8" s="466"/>
      <c r="H8" s="466"/>
      <c r="I8" s="467"/>
      <c r="J8" s="467"/>
      <c r="K8" s="1619">
        <f t="shared" si="0"/>
        <v>960702</v>
      </c>
      <c r="L8" s="466">
        <v>914701</v>
      </c>
    </row>
    <row r="9" spans="1:14">
      <c r="A9" s="1456" t="s">
        <v>745</v>
      </c>
      <c r="B9" s="615" t="s">
        <v>1025</v>
      </c>
      <c r="C9" s="467"/>
      <c r="D9" s="467"/>
      <c r="E9" s="467"/>
      <c r="F9" s="467"/>
      <c r="G9" s="467"/>
      <c r="H9" s="467"/>
      <c r="I9" s="467"/>
      <c r="J9" s="467"/>
      <c r="K9" s="1619">
        <f t="shared" si="0"/>
        <v>0</v>
      </c>
      <c r="L9" s="466"/>
    </row>
    <row r="10" spans="1:14">
      <c r="A10" s="1456" t="s">
        <v>746</v>
      </c>
      <c r="B10" s="615">
        <v>1250</v>
      </c>
      <c r="C10" s="466">
        <v>226326</v>
      </c>
      <c r="D10" s="466">
        <v>53838</v>
      </c>
      <c r="E10" s="466">
        <v>92734</v>
      </c>
      <c r="F10" s="466">
        <v>103179</v>
      </c>
      <c r="G10" s="466">
        <v>20222</v>
      </c>
      <c r="H10" s="466"/>
      <c r="I10" s="467"/>
      <c r="J10" s="467"/>
      <c r="K10" s="1619">
        <f t="shared" si="0"/>
        <v>496299</v>
      </c>
      <c r="L10" s="466">
        <v>444043</v>
      </c>
    </row>
    <row r="11" spans="1:14">
      <c r="A11" s="1456" t="s">
        <v>1192</v>
      </c>
      <c r="B11" s="615" t="s">
        <v>163</v>
      </c>
      <c r="C11" s="467"/>
      <c r="D11" s="467"/>
      <c r="E11" s="467"/>
      <c r="F11" s="467"/>
      <c r="G11" s="467"/>
      <c r="H11" s="467"/>
      <c r="I11" s="467"/>
      <c r="J11" s="467"/>
      <c r="K11" s="1619">
        <f t="shared" si="0"/>
        <v>0</v>
      </c>
      <c r="L11" s="466"/>
    </row>
    <row r="12" spans="1:14">
      <c r="A12" s="1456" t="s">
        <v>1019</v>
      </c>
      <c r="B12" s="615">
        <v>1300</v>
      </c>
      <c r="C12" s="466"/>
      <c r="D12" s="466"/>
      <c r="E12" s="466"/>
      <c r="F12" s="466"/>
      <c r="G12" s="466"/>
      <c r="H12" s="466"/>
      <c r="I12" s="467"/>
      <c r="J12" s="467"/>
      <c r="K12" s="1619">
        <f t="shared" si="0"/>
        <v>0</v>
      </c>
      <c r="L12" s="466"/>
    </row>
    <row r="13" spans="1:14">
      <c r="A13" s="1456" t="s">
        <v>747</v>
      </c>
      <c r="B13" s="615">
        <v>1400</v>
      </c>
      <c r="C13" s="466"/>
      <c r="D13" s="466"/>
      <c r="E13" s="466"/>
      <c r="F13" s="466"/>
      <c r="G13" s="466"/>
      <c r="H13" s="466"/>
      <c r="I13" s="467"/>
      <c r="J13" s="467"/>
      <c r="K13" s="1619">
        <f t="shared" si="0"/>
        <v>0</v>
      </c>
      <c r="L13" s="466"/>
    </row>
    <row r="14" spans="1:14">
      <c r="A14" s="1456" t="s">
        <v>1020</v>
      </c>
      <c r="B14" s="615">
        <v>1500</v>
      </c>
      <c r="C14" s="466">
        <v>96796</v>
      </c>
      <c r="D14" s="466">
        <v>29416</v>
      </c>
      <c r="E14" s="466">
        <v>4532</v>
      </c>
      <c r="F14" s="466">
        <v>14945</v>
      </c>
      <c r="G14" s="466"/>
      <c r="H14" s="466"/>
      <c r="I14" s="467"/>
      <c r="J14" s="467"/>
      <c r="K14" s="1619">
        <f t="shared" si="0"/>
        <v>145689</v>
      </c>
      <c r="L14" s="466">
        <v>149704</v>
      </c>
    </row>
    <row r="15" spans="1:14">
      <c r="A15" s="1456" t="s">
        <v>1021</v>
      </c>
      <c r="B15" s="615">
        <v>1600</v>
      </c>
      <c r="C15" s="466"/>
      <c r="D15" s="466"/>
      <c r="E15" s="466"/>
      <c r="F15" s="466"/>
      <c r="G15" s="466"/>
      <c r="H15" s="466"/>
      <c r="I15" s="467"/>
      <c r="J15" s="467"/>
      <c r="K15" s="1619">
        <f t="shared" si="0"/>
        <v>0</v>
      </c>
      <c r="L15" s="466"/>
    </row>
    <row r="16" spans="1:14">
      <c r="A16" s="1456" t="s">
        <v>1044</v>
      </c>
      <c r="B16" s="615" t="s">
        <v>444</v>
      </c>
      <c r="C16" s="466"/>
      <c r="D16" s="466"/>
      <c r="E16" s="466"/>
      <c r="F16" s="466"/>
      <c r="G16" s="466"/>
      <c r="H16" s="466"/>
      <c r="I16" s="467"/>
      <c r="J16" s="467"/>
      <c r="K16" s="1619">
        <f t="shared" si="0"/>
        <v>0</v>
      </c>
      <c r="L16" s="466"/>
    </row>
    <row r="17" spans="1:12">
      <c r="A17" s="1456" t="s">
        <v>748</v>
      </c>
      <c r="B17" s="615" t="s">
        <v>164</v>
      </c>
      <c r="C17" s="467"/>
      <c r="D17" s="467"/>
      <c r="E17" s="467"/>
      <c r="F17" s="467"/>
      <c r="G17" s="467"/>
      <c r="H17" s="467"/>
      <c r="I17" s="467"/>
      <c r="J17" s="467"/>
      <c r="K17" s="1619">
        <f t="shared" si="0"/>
        <v>0</v>
      </c>
      <c r="L17" s="466"/>
    </row>
    <row r="18" spans="1:12">
      <c r="A18" s="1456" t="s">
        <v>1148</v>
      </c>
      <c r="B18" s="615">
        <v>1800</v>
      </c>
      <c r="C18" s="466">
        <v>67496</v>
      </c>
      <c r="D18" s="466">
        <v>14237</v>
      </c>
      <c r="E18" s="466">
        <v>95</v>
      </c>
      <c r="F18" s="466">
        <v>522</v>
      </c>
      <c r="G18" s="466"/>
      <c r="H18" s="466"/>
      <c r="I18" s="467"/>
      <c r="J18" s="467"/>
      <c r="K18" s="1619">
        <f t="shared" si="0"/>
        <v>82350</v>
      </c>
      <c r="L18" s="466">
        <v>116393</v>
      </c>
    </row>
    <row r="19" spans="1:12">
      <c r="A19" s="1456" t="s">
        <v>136</v>
      </c>
      <c r="B19" s="615">
        <v>1900</v>
      </c>
      <c r="C19" s="466"/>
      <c r="D19" s="466"/>
      <c r="E19" s="466"/>
      <c r="F19" s="466"/>
      <c r="G19" s="466"/>
      <c r="H19" s="466"/>
      <c r="I19" s="467"/>
      <c r="J19" s="467"/>
      <c r="K19" s="1619">
        <f t="shared" si="0"/>
        <v>0</v>
      </c>
      <c r="L19" s="466">
        <v>54000</v>
      </c>
    </row>
    <row r="20" spans="1:12">
      <c r="A20" s="1457" t="s">
        <v>762</v>
      </c>
      <c r="B20" s="603" t="s">
        <v>749</v>
      </c>
      <c r="C20" s="477"/>
      <c r="D20" s="477"/>
      <c r="E20" s="477"/>
      <c r="F20" s="477"/>
      <c r="G20" s="477"/>
      <c r="H20" s="474"/>
      <c r="I20" s="617"/>
      <c r="J20" s="475"/>
      <c r="K20" s="1619">
        <f t="shared" si="0"/>
        <v>0</v>
      </c>
      <c r="L20" s="471"/>
    </row>
    <row r="21" spans="1:12">
      <c r="A21" s="1457" t="s">
        <v>763</v>
      </c>
      <c r="B21" s="603" t="s">
        <v>750</v>
      </c>
      <c r="C21" s="477"/>
      <c r="D21" s="477"/>
      <c r="E21" s="477"/>
      <c r="F21" s="477"/>
      <c r="G21" s="477"/>
      <c r="H21" s="474"/>
      <c r="I21" s="617"/>
      <c r="J21" s="477"/>
      <c r="K21" s="1619">
        <f t="shared" si="0"/>
        <v>0</v>
      </c>
      <c r="L21" s="471"/>
    </row>
    <row r="22" spans="1:12">
      <c r="A22" s="1457" t="s">
        <v>764</v>
      </c>
      <c r="B22" s="603" t="s">
        <v>751</v>
      </c>
      <c r="C22" s="477"/>
      <c r="D22" s="477"/>
      <c r="E22" s="477"/>
      <c r="F22" s="477"/>
      <c r="G22" s="477"/>
      <c r="H22" s="474"/>
      <c r="I22" s="617"/>
      <c r="J22" s="477"/>
      <c r="K22" s="1619">
        <f t="shared" si="0"/>
        <v>0</v>
      </c>
      <c r="L22" s="471"/>
    </row>
    <row r="23" spans="1:12">
      <c r="A23" s="1457" t="s">
        <v>765</v>
      </c>
      <c r="B23" s="603" t="s">
        <v>752</v>
      </c>
      <c r="C23" s="477"/>
      <c r="D23" s="477"/>
      <c r="E23" s="477"/>
      <c r="F23" s="477"/>
      <c r="G23" s="477"/>
      <c r="H23" s="474"/>
      <c r="I23" s="617"/>
      <c r="J23" s="477"/>
      <c r="K23" s="1619">
        <f t="shared" si="0"/>
        <v>0</v>
      </c>
      <c r="L23" s="471"/>
    </row>
    <row r="24" spans="1:12" ht="12.95" customHeight="1">
      <c r="A24" s="1457" t="s">
        <v>766</v>
      </c>
      <c r="B24" s="603" t="s">
        <v>753</v>
      </c>
      <c r="C24" s="477"/>
      <c r="D24" s="477"/>
      <c r="E24" s="477"/>
      <c r="F24" s="477"/>
      <c r="G24" s="477"/>
      <c r="H24" s="474"/>
      <c r="I24" s="617"/>
      <c r="J24" s="477"/>
      <c r="K24" s="1619">
        <f t="shared" si="0"/>
        <v>0</v>
      </c>
      <c r="L24" s="471"/>
    </row>
    <row r="25" spans="1:12" ht="12.95" customHeight="1">
      <c r="A25" s="1457" t="s">
        <v>835</v>
      </c>
      <c r="B25" s="603" t="s">
        <v>754</v>
      </c>
      <c r="C25" s="477"/>
      <c r="D25" s="477"/>
      <c r="E25" s="477"/>
      <c r="F25" s="477"/>
      <c r="G25" s="477"/>
      <c r="H25" s="474"/>
      <c r="I25" s="617"/>
      <c r="J25" s="477"/>
      <c r="K25" s="1619">
        <f t="shared" si="0"/>
        <v>0</v>
      </c>
      <c r="L25" s="471"/>
    </row>
    <row r="26" spans="1:12">
      <c r="A26" s="1457" t="s">
        <v>643</v>
      </c>
      <c r="B26" s="603" t="s">
        <v>755</v>
      </c>
      <c r="C26" s="477"/>
      <c r="D26" s="477"/>
      <c r="E26" s="477"/>
      <c r="F26" s="477"/>
      <c r="G26" s="477"/>
      <c r="H26" s="474"/>
      <c r="I26" s="617"/>
      <c r="J26" s="477"/>
      <c r="K26" s="1619">
        <f t="shared" si="0"/>
        <v>0</v>
      </c>
      <c r="L26" s="471"/>
    </row>
    <row r="27" spans="1:12">
      <c r="A27" s="1457" t="s">
        <v>644</v>
      </c>
      <c r="B27" s="603" t="s">
        <v>756</v>
      </c>
      <c r="C27" s="477"/>
      <c r="D27" s="477"/>
      <c r="E27" s="477"/>
      <c r="F27" s="477"/>
      <c r="G27" s="477"/>
      <c r="H27" s="474"/>
      <c r="I27" s="617"/>
      <c r="J27" s="477"/>
      <c r="K27" s="1619">
        <f t="shared" si="0"/>
        <v>0</v>
      </c>
      <c r="L27" s="471"/>
    </row>
    <row r="28" spans="1:12">
      <c r="A28" s="1457" t="s">
        <v>152</v>
      </c>
      <c r="B28" s="603" t="s">
        <v>757</v>
      </c>
      <c r="C28" s="477"/>
      <c r="D28" s="477"/>
      <c r="E28" s="477"/>
      <c r="F28" s="477"/>
      <c r="G28" s="477"/>
      <c r="H28" s="474"/>
      <c r="I28" s="617"/>
      <c r="J28" s="477"/>
      <c r="K28" s="1619">
        <f t="shared" si="0"/>
        <v>0</v>
      </c>
      <c r="L28" s="471"/>
    </row>
    <row r="29" spans="1:12">
      <c r="A29" s="1457" t="s">
        <v>153</v>
      </c>
      <c r="B29" s="603" t="s">
        <v>758</v>
      </c>
      <c r="C29" s="477"/>
      <c r="D29" s="477"/>
      <c r="E29" s="477"/>
      <c r="F29" s="477"/>
      <c r="G29" s="477"/>
      <c r="H29" s="474"/>
      <c r="I29" s="617"/>
      <c r="J29" s="477"/>
      <c r="K29" s="1619">
        <f t="shared" si="0"/>
        <v>0</v>
      </c>
      <c r="L29" s="471"/>
    </row>
    <row r="30" spans="1:12">
      <c r="A30" s="1457" t="s">
        <v>154</v>
      </c>
      <c r="B30" s="603" t="s">
        <v>759</v>
      </c>
      <c r="C30" s="477"/>
      <c r="D30" s="477"/>
      <c r="E30" s="477"/>
      <c r="F30" s="477"/>
      <c r="G30" s="477"/>
      <c r="H30" s="474"/>
      <c r="I30" s="617"/>
      <c r="J30" s="477"/>
      <c r="K30" s="1619">
        <f t="shared" si="0"/>
        <v>0</v>
      </c>
      <c r="L30" s="471"/>
    </row>
    <row r="31" spans="1:12">
      <c r="A31" s="1457" t="s">
        <v>155</v>
      </c>
      <c r="B31" s="603" t="s">
        <v>760</v>
      </c>
      <c r="C31" s="477"/>
      <c r="D31" s="477"/>
      <c r="E31" s="477"/>
      <c r="F31" s="477"/>
      <c r="G31" s="477"/>
      <c r="H31" s="474"/>
      <c r="I31" s="617"/>
      <c r="J31" s="477"/>
      <c r="K31" s="1619">
        <f t="shared" si="0"/>
        <v>0</v>
      </c>
      <c r="L31" s="471"/>
    </row>
    <row r="32" spans="1:12">
      <c r="A32" s="1458" t="s">
        <v>1191</v>
      </c>
      <c r="B32" s="615" t="s">
        <v>761</v>
      </c>
      <c r="C32" s="477"/>
      <c r="D32" s="477"/>
      <c r="E32" s="477"/>
      <c r="F32" s="477"/>
      <c r="G32" s="477"/>
      <c r="H32" s="474"/>
      <c r="I32" s="617"/>
      <c r="J32" s="480"/>
      <c r="K32" s="1619">
        <f t="shared" si="0"/>
        <v>0</v>
      </c>
      <c r="L32" s="471"/>
    </row>
    <row r="33" spans="1:14" ht="12.95" customHeight="1" thickBot="1">
      <c r="A33" s="1616" t="s">
        <v>1739</v>
      </c>
      <c r="B33" s="1617" t="s">
        <v>591</v>
      </c>
      <c r="C33" s="1618">
        <f>SUM(C5:C32)</f>
        <v>4116793</v>
      </c>
      <c r="D33" s="1618">
        <f t="shared" ref="D33:L33" si="1">SUM(D5:D32)</f>
        <v>1073736</v>
      </c>
      <c r="E33" s="1618">
        <f t="shared" si="1"/>
        <v>190919</v>
      </c>
      <c r="F33" s="1618">
        <f t="shared" si="1"/>
        <v>267771</v>
      </c>
      <c r="G33" s="1618">
        <f t="shared" si="1"/>
        <v>38471</v>
      </c>
      <c r="H33" s="1618">
        <f t="shared" si="1"/>
        <v>0</v>
      </c>
      <c r="I33" s="1618">
        <f t="shared" si="1"/>
        <v>0</v>
      </c>
      <c r="J33" s="1618">
        <f t="shared" si="1"/>
        <v>0</v>
      </c>
      <c r="K33" s="1618">
        <f t="shared" si="1"/>
        <v>5687690</v>
      </c>
      <c r="L33" s="1618">
        <f t="shared" si="1"/>
        <v>5740346</v>
      </c>
    </row>
    <row r="34" spans="1:14" s="621" customFormat="1" ht="15.75" customHeight="1" thickTop="1">
      <c r="A34" s="1560" t="s">
        <v>48</v>
      </c>
      <c r="B34" s="156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456" t="s">
        <v>1150</v>
      </c>
      <c r="B36" s="615">
        <v>2110</v>
      </c>
      <c r="C36" s="481">
        <v>71635</v>
      </c>
      <c r="D36" s="481">
        <v>8704</v>
      </c>
      <c r="E36" s="481"/>
      <c r="F36" s="481"/>
      <c r="G36" s="481"/>
      <c r="H36" s="481"/>
      <c r="I36" s="467"/>
      <c r="J36" s="467"/>
      <c r="K36" s="1619">
        <f t="shared" ref="K36:K41" si="2">SUM(C36:J36)</f>
        <v>80339</v>
      </c>
      <c r="L36" s="466"/>
    </row>
    <row r="37" spans="1:14">
      <c r="A37" s="1456" t="s">
        <v>1151</v>
      </c>
      <c r="B37" s="615">
        <v>2120</v>
      </c>
      <c r="C37" s="466">
        <v>94474</v>
      </c>
      <c r="D37" s="466">
        <v>18492</v>
      </c>
      <c r="E37" s="466"/>
      <c r="F37" s="466"/>
      <c r="G37" s="466"/>
      <c r="H37" s="466"/>
      <c r="I37" s="467"/>
      <c r="J37" s="467"/>
      <c r="K37" s="1619">
        <f t="shared" si="2"/>
        <v>112966</v>
      </c>
      <c r="L37" s="466">
        <v>195212</v>
      </c>
    </row>
    <row r="38" spans="1:14">
      <c r="A38" s="1456" t="s">
        <v>207</v>
      </c>
      <c r="B38" s="615">
        <v>2130</v>
      </c>
      <c r="C38" s="466">
        <v>91171</v>
      </c>
      <c r="D38" s="466">
        <v>7065</v>
      </c>
      <c r="E38" s="466">
        <v>161</v>
      </c>
      <c r="F38" s="466">
        <v>1754</v>
      </c>
      <c r="G38" s="466"/>
      <c r="H38" s="466"/>
      <c r="I38" s="467"/>
      <c r="J38" s="467"/>
      <c r="K38" s="1619">
        <f t="shared" si="2"/>
        <v>100151</v>
      </c>
      <c r="L38" s="466">
        <v>104858</v>
      </c>
    </row>
    <row r="39" spans="1:14">
      <c r="A39" s="1456" t="s">
        <v>208</v>
      </c>
      <c r="B39" s="615">
        <v>2140</v>
      </c>
      <c r="C39" s="466"/>
      <c r="D39" s="466"/>
      <c r="E39" s="466"/>
      <c r="F39" s="466"/>
      <c r="G39" s="466"/>
      <c r="H39" s="466"/>
      <c r="I39" s="467"/>
      <c r="J39" s="467"/>
      <c r="K39" s="1619">
        <f t="shared" si="2"/>
        <v>0</v>
      </c>
      <c r="L39" s="466"/>
    </row>
    <row r="40" spans="1:14">
      <c r="A40" s="1456" t="s">
        <v>209</v>
      </c>
      <c r="B40" s="615">
        <v>2150</v>
      </c>
      <c r="C40" s="466">
        <v>159246</v>
      </c>
      <c r="D40" s="466">
        <v>38536</v>
      </c>
      <c r="E40" s="466"/>
      <c r="F40" s="466"/>
      <c r="G40" s="466"/>
      <c r="H40" s="466"/>
      <c r="I40" s="467"/>
      <c r="J40" s="467"/>
      <c r="K40" s="1619">
        <f t="shared" si="2"/>
        <v>197782</v>
      </c>
      <c r="L40" s="466">
        <v>204004</v>
      </c>
    </row>
    <row r="41" spans="1:14">
      <c r="A41" s="1456" t="s">
        <v>1740</v>
      </c>
      <c r="B41" s="615">
        <v>2190</v>
      </c>
      <c r="C41" s="466"/>
      <c r="D41" s="466"/>
      <c r="E41" s="466"/>
      <c r="F41" s="466"/>
      <c r="G41" s="466"/>
      <c r="H41" s="466"/>
      <c r="I41" s="467"/>
      <c r="J41" s="467"/>
      <c r="K41" s="1619">
        <f t="shared" si="2"/>
        <v>0</v>
      </c>
      <c r="L41" s="466"/>
    </row>
    <row r="42" spans="1:14" ht="12.95" customHeight="1" thickBot="1">
      <c r="A42" s="1616" t="s">
        <v>581</v>
      </c>
      <c r="B42" s="1617" t="s">
        <v>740</v>
      </c>
      <c r="C42" s="1618">
        <f>SUM(C36:C41)</f>
        <v>416526</v>
      </c>
      <c r="D42" s="1618">
        <f t="shared" ref="D42:L42" si="3">SUM(D36:D41)</f>
        <v>72797</v>
      </c>
      <c r="E42" s="1618">
        <f t="shared" si="3"/>
        <v>161</v>
      </c>
      <c r="F42" s="1618">
        <f t="shared" si="3"/>
        <v>1754</v>
      </c>
      <c r="G42" s="1618">
        <f t="shared" si="3"/>
        <v>0</v>
      </c>
      <c r="H42" s="1618">
        <f t="shared" si="3"/>
        <v>0</v>
      </c>
      <c r="I42" s="1618">
        <f t="shared" si="3"/>
        <v>0</v>
      </c>
      <c r="J42" s="1618">
        <f t="shared" si="3"/>
        <v>0</v>
      </c>
      <c r="K42" s="1618">
        <f t="shared" si="3"/>
        <v>491238</v>
      </c>
      <c r="L42" s="1618">
        <f t="shared" si="3"/>
        <v>504074</v>
      </c>
    </row>
    <row r="43" spans="1:14" ht="15.75" customHeight="1" thickTop="1">
      <c r="A43" s="625" t="s">
        <v>613</v>
      </c>
      <c r="B43" s="626"/>
      <c r="C43" s="627"/>
      <c r="D43" s="627"/>
      <c r="E43" s="627"/>
      <c r="F43" s="627"/>
      <c r="G43" s="627"/>
      <c r="H43" s="627"/>
      <c r="I43" s="617"/>
      <c r="J43" s="617"/>
      <c r="K43" s="627"/>
      <c r="L43" s="627"/>
    </row>
    <row r="44" spans="1:14">
      <c r="A44" s="1456" t="s">
        <v>868</v>
      </c>
      <c r="B44" s="615">
        <v>2210</v>
      </c>
      <c r="C44" s="481">
        <v>86117</v>
      </c>
      <c r="D44" s="481">
        <v>30063</v>
      </c>
      <c r="E44" s="481"/>
      <c r="F44" s="481">
        <v>13873</v>
      </c>
      <c r="G44" s="481"/>
      <c r="H44" s="481"/>
      <c r="I44" s="467"/>
      <c r="J44" s="467"/>
      <c r="K44" s="1620">
        <f>SUM(C44:J44)</f>
        <v>130053</v>
      </c>
      <c r="L44" s="481">
        <v>137062</v>
      </c>
    </row>
    <row r="45" spans="1:14">
      <c r="A45" s="1456" t="s">
        <v>869</v>
      </c>
      <c r="B45" s="615">
        <v>2220</v>
      </c>
      <c r="C45" s="466">
        <v>2454</v>
      </c>
      <c r="D45" s="466">
        <v>332</v>
      </c>
      <c r="E45" s="466"/>
      <c r="F45" s="466">
        <v>2773</v>
      </c>
      <c r="G45" s="466">
        <v>6900</v>
      </c>
      <c r="H45" s="466"/>
      <c r="I45" s="467"/>
      <c r="J45" s="467"/>
      <c r="K45" s="1620">
        <f>SUM(C45:J45)</f>
        <v>12459</v>
      </c>
      <c r="L45" s="466">
        <v>15512</v>
      </c>
    </row>
    <row r="46" spans="1:14">
      <c r="A46" s="1456" t="s">
        <v>870</v>
      </c>
      <c r="B46" s="615">
        <v>2230</v>
      </c>
      <c r="C46" s="466"/>
      <c r="D46" s="466"/>
      <c r="E46" s="466"/>
      <c r="F46" s="466"/>
      <c r="G46" s="466"/>
      <c r="H46" s="466"/>
      <c r="I46" s="467"/>
      <c r="J46" s="467"/>
      <c r="K46" s="1620">
        <f>SUM(C46:J46)</f>
        <v>0</v>
      </c>
      <c r="L46" s="466"/>
    </row>
    <row r="47" spans="1:14" ht="12.95" customHeight="1" thickBot="1">
      <c r="A47" s="1616" t="s">
        <v>582</v>
      </c>
      <c r="B47" s="1617" t="s">
        <v>32</v>
      </c>
      <c r="C47" s="1618">
        <f>SUM(C44:C46)</f>
        <v>88571</v>
      </c>
      <c r="D47" s="1618">
        <f t="shared" ref="D47:K47" si="4">SUM(D44:D46)</f>
        <v>30395</v>
      </c>
      <c r="E47" s="1618">
        <f t="shared" si="4"/>
        <v>0</v>
      </c>
      <c r="F47" s="1618">
        <f t="shared" si="4"/>
        <v>16646</v>
      </c>
      <c r="G47" s="1618">
        <f t="shared" si="4"/>
        <v>6900</v>
      </c>
      <c r="H47" s="1618">
        <f t="shared" si="4"/>
        <v>0</v>
      </c>
      <c r="I47" s="1618">
        <f t="shared" si="4"/>
        <v>0</v>
      </c>
      <c r="J47" s="1618">
        <f t="shared" si="4"/>
        <v>0</v>
      </c>
      <c r="K47" s="1618">
        <f t="shared" si="4"/>
        <v>142512</v>
      </c>
      <c r="L47" s="1618">
        <f>SUM(L44:L46)</f>
        <v>152574</v>
      </c>
    </row>
    <row r="48" spans="1:14" ht="15.75" customHeight="1" thickTop="1">
      <c r="A48" s="625" t="s">
        <v>631</v>
      </c>
      <c r="B48" s="626"/>
      <c r="C48" s="627"/>
      <c r="D48" s="627"/>
      <c r="E48" s="627"/>
      <c r="F48" s="627"/>
      <c r="G48" s="627"/>
      <c r="H48" s="627"/>
      <c r="I48" s="617"/>
      <c r="J48" s="617"/>
      <c r="K48" s="627"/>
      <c r="L48" s="627"/>
    </row>
    <row r="49" spans="1:14">
      <c r="A49" s="1456" t="s">
        <v>871</v>
      </c>
      <c r="B49" s="615">
        <v>2310</v>
      </c>
      <c r="C49" s="481">
        <v>1949</v>
      </c>
      <c r="D49" s="481"/>
      <c r="E49" s="481">
        <v>20607</v>
      </c>
      <c r="F49" s="481"/>
      <c r="G49" s="481"/>
      <c r="H49" s="481"/>
      <c r="I49" s="467"/>
      <c r="J49" s="467"/>
      <c r="K49" s="1620">
        <f>SUM(C49:J49)</f>
        <v>22556</v>
      </c>
      <c r="L49" s="481">
        <v>19949</v>
      </c>
    </row>
    <row r="50" spans="1:14">
      <c r="A50" s="1456" t="s">
        <v>872</v>
      </c>
      <c r="B50" s="615">
        <v>2320</v>
      </c>
      <c r="C50" s="466">
        <v>200509</v>
      </c>
      <c r="D50" s="466">
        <v>62126</v>
      </c>
      <c r="E50" s="466">
        <v>46291</v>
      </c>
      <c r="F50" s="466">
        <v>10918</v>
      </c>
      <c r="G50" s="466"/>
      <c r="H50" s="466"/>
      <c r="I50" s="467"/>
      <c r="J50" s="467"/>
      <c r="K50" s="1620">
        <f>SUM(C50:J50)</f>
        <v>319844</v>
      </c>
      <c r="L50" s="466">
        <v>317232</v>
      </c>
    </row>
    <row r="51" spans="1:14">
      <c r="A51" s="1456" t="s">
        <v>44</v>
      </c>
      <c r="B51" s="615">
        <v>2330</v>
      </c>
      <c r="C51" s="466"/>
      <c r="D51" s="466"/>
      <c r="E51" s="466"/>
      <c r="F51" s="466"/>
      <c r="G51" s="466"/>
      <c r="H51" s="466"/>
      <c r="I51" s="467"/>
      <c r="J51" s="467"/>
      <c r="K51" s="1620">
        <f>SUM(C51:J51)</f>
        <v>0</v>
      </c>
      <c r="L51" s="466"/>
    </row>
    <row r="52" spans="1:14" ht="22.5">
      <c r="A52" s="1457" t="s">
        <v>316</v>
      </c>
      <c r="B52" s="628" t="s">
        <v>384</v>
      </c>
      <c r="C52" s="474"/>
      <c r="D52" s="474"/>
      <c r="E52" s="474"/>
      <c r="F52" s="474"/>
      <c r="G52" s="474"/>
      <c r="H52" s="474"/>
      <c r="I52" s="474"/>
      <c r="J52" s="474"/>
      <c r="K52" s="1620">
        <f>SUM(C52:J52)</f>
        <v>0</v>
      </c>
      <c r="L52" s="474"/>
    </row>
    <row r="53" spans="1:14" ht="12.95" customHeight="1" thickBot="1">
      <c r="A53" s="1616" t="s">
        <v>741</v>
      </c>
      <c r="B53" s="1617" t="s">
        <v>33</v>
      </c>
      <c r="C53" s="1618">
        <f>SUM(C49:C52)</f>
        <v>202458</v>
      </c>
      <c r="D53" s="1618">
        <f t="shared" ref="D53:L53" si="5">SUM(D49:D52)</f>
        <v>62126</v>
      </c>
      <c r="E53" s="1618">
        <f t="shared" si="5"/>
        <v>66898</v>
      </c>
      <c r="F53" s="1618">
        <f t="shared" si="5"/>
        <v>10918</v>
      </c>
      <c r="G53" s="1618">
        <f t="shared" si="5"/>
        <v>0</v>
      </c>
      <c r="H53" s="1618">
        <f t="shared" si="5"/>
        <v>0</v>
      </c>
      <c r="I53" s="1618">
        <f t="shared" si="5"/>
        <v>0</v>
      </c>
      <c r="J53" s="1618">
        <f t="shared" si="5"/>
        <v>0</v>
      </c>
      <c r="K53" s="1618">
        <f t="shared" si="5"/>
        <v>342400</v>
      </c>
      <c r="L53" s="1618">
        <f t="shared" si="5"/>
        <v>337181</v>
      </c>
    </row>
    <row r="54" spans="1:14" ht="15.75" customHeight="1" thickTop="1">
      <c r="A54" s="625" t="s">
        <v>632</v>
      </c>
      <c r="B54" s="626"/>
      <c r="C54" s="627"/>
      <c r="D54" s="627"/>
      <c r="E54" s="627"/>
      <c r="F54" s="627"/>
      <c r="G54" s="627"/>
      <c r="H54" s="627"/>
      <c r="I54" s="617"/>
      <c r="J54" s="617"/>
      <c r="K54" s="627"/>
      <c r="L54" s="627"/>
    </row>
    <row r="55" spans="1:14">
      <c r="A55" s="1456" t="s">
        <v>1127</v>
      </c>
      <c r="B55" s="615">
        <v>2410</v>
      </c>
      <c r="C55" s="481">
        <v>430912</v>
      </c>
      <c r="D55" s="481">
        <v>170421</v>
      </c>
      <c r="E55" s="481">
        <v>10632</v>
      </c>
      <c r="F55" s="481">
        <v>4601</v>
      </c>
      <c r="G55" s="481"/>
      <c r="H55" s="481"/>
      <c r="I55" s="467"/>
      <c r="J55" s="467"/>
      <c r="K55" s="1620">
        <f>SUM(C55:J55)</f>
        <v>616566</v>
      </c>
      <c r="L55" s="481">
        <v>608839</v>
      </c>
    </row>
    <row r="56" spans="1:14" ht="12.95" customHeight="1">
      <c r="A56" s="1460" t="s">
        <v>394</v>
      </c>
      <c r="B56" s="629">
        <v>2490</v>
      </c>
      <c r="C56" s="466"/>
      <c r="D56" s="466"/>
      <c r="E56" s="466"/>
      <c r="F56" s="466"/>
      <c r="G56" s="466"/>
      <c r="H56" s="466"/>
      <c r="I56" s="467"/>
      <c r="J56" s="467"/>
      <c r="K56" s="1620">
        <f>SUM(C56:J56)</f>
        <v>0</v>
      </c>
      <c r="L56" s="466"/>
    </row>
    <row r="57" spans="1:14" s="343" customFormat="1" ht="12.95" customHeight="1" thickBot="1">
      <c r="A57" s="1616" t="s">
        <v>281</v>
      </c>
      <c r="B57" s="1621" t="s">
        <v>34</v>
      </c>
      <c r="C57" s="1622">
        <f>SUM(C55:C56)</f>
        <v>430912</v>
      </c>
      <c r="D57" s="1622">
        <f t="shared" ref="D57:K57" si="6">SUM(D55:D56)</f>
        <v>170421</v>
      </c>
      <c r="E57" s="1622">
        <f t="shared" si="6"/>
        <v>10632</v>
      </c>
      <c r="F57" s="1622">
        <f t="shared" si="6"/>
        <v>4601</v>
      </c>
      <c r="G57" s="1622">
        <f t="shared" si="6"/>
        <v>0</v>
      </c>
      <c r="H57" s="1622">
        <f t="shared" si="6"/>
        <v>0</v>
      </c>
      <c r="I57" s="1622">
        <f t="shared" si="6"/>
        <v>0</v>
      </c>
      <c r="J57" s="1622">
        <f t="shared" si="6"/>
        <v>0</v>
      </c>
      <c r="K57" s="1622">
        <f t="shared" si="6"/>
        <v>616566</v>
      </c>
      <c r="L57" s="1618">
        <f>SUM(L55:L56)</f>
        <v>608839</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456" t="s">
        <v>1128</v>
      </c>
      <c r="B59" s="615">
        <v>2510</v>
      </c>
      <c r="C59" s="481"/>
      <c r="D59" s="481"/>
      <c r="E59" s="481"/>
      <c r="F59" s="481"/>
      <c r="G59" s="481"/>
      <c r="H59" s="481"/>
      <c r="I59" s="467"/>
      <c r="J59" s="467"/>
      <c r="K59" s="1620">
        <f t="shared" ref="K59:K64" si="7">SUM(C59:J59)</f>
        <v>0</v>
      </c>
      <c r="L59" s="481"/>
      <c r="M59" s="610"/>
      <c r="N59" s="610"/>
    </row>
    <row r="60" spans="1:14" s="343" customFormat="1">
      <c r="A60" s="1456" t="s">
        <v>483</v>
      </c>
      <c r="B60" s="615">
        <v>2520</v>
      </c>
      <c r="C60" s="466"/>
      <c r="D60" s="466"/>
      <c r="E60" s="466"/>
      <c r="F60" s="466"/>
      <c r="G60" s="466"/>
      <c r="H60" s="466"/>
      <c r="I60" s="467"/>
      <c r="J60" s="467"/>
      <c r="K60" s="1620">
        <f t="shared" si="7"/>
        <v>0</v>
      </c>
      <c r="L60" s="466"/>
      <c r="M60" s="610"/>
      <c r="N60" s="610"/>
    </row>
    <row r="61" spans="1:14" s="343" customFormat="1">
      <c r="A61" s="1456" t="s">
        <v>206</v>
      </c>
      <c r="B61" s="615">
        <v>2540</v>
      </c>
      <c r="C61" s="466"/>
      <c r="D61" s="466"/>
      <c r="E61" s="466">
        <v>13619</v>
      </c>
      <c r="F61" s="466"/>
      <c r="G61" s="466"/>
      <c r="H61" s="466"/>
      <c r="I61" s="467"/>
      <c r="J61" s="467"/>
      <c r="K61" s="1620">
        <f t="shared" si="7"/>
        <v>13619</v>
      </c>
      <c r="L61" s="466">
        <v>15000</v>
      </c>
      <c r="M61" s="610"/>
      <c r="N61" s="610"/>
    </row>
    <row r="62" spans="1:14" s="343" customFormat="1">
      <c r="A62" s="1456" t="s">
        <v>1010</v>
      </c>
      <c r="B62" s="615">
        <v>2550</v>
      </c>
      <c r="C62" s="466"/>
      <c r="D62" s="466"/>
      <c r="E62" s="466"/>
      <c r="F62" s="466"/>
      <c r="G62" s="466"/>
      <c r="H62" s="466"/>
      <c r="I62" s="467"/>
      <c r="J62" s="467"/>
      <c r="K62" s="1620">
        <f t="shared" si="7"/>
        <v>0</v>
      </c>
      <c r="L62" s="466"/>
      <c r="M62" s="610"/>
      <c r="N62" s="610"/>
    </row>
    <row r="63" spans="1:14" s="610" customFormat="1">
      <c r="A63" s="1456" t="s">
        <v>102</v>
      </c>
      <c r="B63" s="615">
        <v>2560</v>
      </c>
      <c r="C63" s="466">
        <v>272616</v>
      </c>
      <c r="D63" s="466">
        <v>22909</v>
      </c>
      <c r="E63" s="466">
        <v>14505</v>
      </c>
      <c r="F63" s="466">
        <v>239572</v>
      </c>
      <c r="G63" s="466">
        <v>4682</v>
      </c>
      <c r="H63" s="466"/>
      <c r="I63" s="467"/>
      <c r="J63" s="467"/>
      <c r="K63" s="1620">
        <f t="shared" si="7"/>
        <v>554284</v>
      </c>
      <c r="L63" s="466">
        <v>554798</v>
      </c>
    </row>
    <row r="64" spans="1:14" s="610" customFormat="1">
      <c r="A64" s="1461" t="s">
        <v>103</v>
      </c>
      <c r="B64" s="631">
        <v>2570</v>
      </c>
      <c r="C64" s="481"/>
      <c r="D64" s="481"/>
      <c r="E64" s="481"/>
      <c r="F64" s="481"/>
      <c r="G64" s="481"/>
      <c r="H64" s="481"/>
      <c r="I64" s="467"/>
      <c r="J64" s="467"/>
      <c r="K64" s="1620">
        <f t="shared" si="7"/>
        <v>0</v>
      </c>
      <c r="L64" s="481"/>
    </row>
    <row r="65" spans="1:14" s="343" customFormat="1" ht="12.95" customHeight="1" thickBot="1">
      <c r="A65" s="1616" t="s">
        <v>743</v>
      </c>
      <c r="B65" s="1617" t="s">
        <v>35</v>
      </c>
      <c r="C65" s="1618">
        <f>SUM(C59:C64)</f>
        <v>272616</v>
      </c>
      <c r="D65" s="1618">
        <f t="shared" ref="D65:L65" si="8">SUM(D59:D64)</f>
        <v>22909</v>
      </c>
      <c r="E65" s="1618">
        <f t="shared" si="8"/>
        <v>28124</v>
      </c>
      <c r="F65" s="1618">
        <f t="shared" si="8"/>
        <v>239572</v>
      </c>
      <c r="G65" s="1618">
        <f t="shared" si="8"/>
        <v>4682</v>
      </c>
      <c r="H65" s="1618">
        <f t="shared" si="8"/>
        <v>0</v>
      </c>
      <c r="I65" s="1618">
        <f t="shared" si="8"/>
        <v>0</v>
      </c>
      <c r="J65" s="1618">
        <f t="shared" si="8"/>
        <v>0</v>
      </c>
      <c r="K65" s="1618">
        <f t="shared" si="8"/>
        <v>567903</v>
      </c>
      <c r="L65" s="1618">
        <f t="shared" si="8"/>
        <v>569798</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456" t="s">
        <v>1120</v>
      </c>
      <c r="B67" s="615">
        <v>2610</v>
      </c>
      <c r="C67" s="466"/>
      <c r="D67" s="466"/>
      <c r="E67" s="466"/>
      <c r="F67" s="466"/>
      <c r="G67" s="466"/>
      <c r="H67" s="466"/>
      <c r="I67" s="467"/>
      <c r="J67" s="467"/>
      <c r="K67" s="1620">
        <f>SUM(C67:J67)</f>
        <v>0</v>
      </c>
      <c r="L67" s="481"/>
      <c r="M67" s="610"/>
      <c r="N67" s="610"/>
    </row>
    <row r="68" spans="1:14" s="343" customFormat="1">
      <c r="A68" s="1456" t="s">
        <v>628</v>
      </c>
      <c r="B68" s="615">
        <v>2620</v>
      </c>
      <c r="C68" s="466"/>
      <c r="D68" s="466"/>
      <c r="E68" s="466"/>
      <c r="F68" s="466"/>
      <c r="G68" s="466"/>
      <c r="H68" s="466"/>
      <c r="I68" s="467"/>
      <c r="J68" s="467"/>
      <c r="K68" s="1620">
        <f>SUM(C68:J68)</f>
        <v>0</v>
      </c>
      <c r="L68" s="466"/>
      <c r="M68" s="610"/>
      <c r="N68" s="610"/>
    </row>
    <row r="69" spans="1:14" s="343" customFormat="1">
      <c r="A69" s="1456" t="s">
        <v>1121</v>
      </c>
      <c r="B69" s="615">
        <v>2630</v>
      </c>
      <c r="C69" s="466"/>
      <c r="D69" s="466"/>
      <c r="E69" s="466"/>
      <c r="F69" s="466"/>
      <c r="G69" s="466"/>
      <c r="H69" s="466"/>
      <c r="I69" s="467"/>
      <c r="J69" s="467"/>
      <c r="K69" s="1620">
        <f>SUM(C69:J69)</f>
        <v>0</v>
      </c>
      <c r="L69" s="466"/>
      <c r="M69" s="610"/>
      <c r="N69" s="610"/>
    </row>
    <row r="70" spans="1:14" s="343" customFormat="1">
      <c r="A70" s="1456" t="s">
        <v>423</v>
      </c>
      <c r="B70" s="615">
        <v>2640</v>
      </c>
      <c r="C70" s="466"/>
      <c r="D70" s="466"/>
      <c r="E70" s="466">
        <v>526</v>
      </c>
      <c r="F70" s="466"/>
      <c r="G70" s="466"/>
      <c r="H70" s="466"/>
      <c r="I70" s="467"/>
      <c r="J70" s="467"/>
      <c r="K70" s="1620">
        <f>SUM(C70:J70)</f>
        <v>526</v>
      </c>
      <c r="L70" s="466">
        <v>0</v>
      </c>
      <c r="M70" s="610"/>
      <c r="N70" s="610"/>
    </row>
    <row r="71" spans="1:14" s="343" customFormat="1">
      <c r="A71" s="1456" t="s">
        <v>424</v>
      </c>
      <c r="B71" s="615">
        <v>2660</v>
      </c>
      <c r="C71" s="466"/>
      <c r="D71" s="466"/>
      <c r="E71" s="466"/>
      <c r="F71" s="466"/>
      <c r="G71" s="466"/>
      <c r="H71" s="466"/>
      <c r="I71" s="467"/>
      <c r="J71" s="467"/>
      <c r="K71" s="1620">
        <f>SUM(C71:J71)</f>
        <v>0</v>
      </c>
      <c r="L71" s="466"/>
      <c r="M71" s="610"/>
      <c r="N71" s="610"/>
    </row>
    <row r="72" spans="1:14" s="343" customFormat="1" ht="12.95" customHeight="1" thickBot="1">
      <c r="A72" s="1616" t="s">
        <v>37</v>
      </c>
      <c r="B72" s="1623" t="s">
        <v>36</v>
      </c>
      <c r="C72" s="1618">
        <f>SUM(C67:C71)</f>
        <v>0</v>
      </c>
      <c r="D72" s="1618">
        <f t="shared" ref="D72:K72" si="9">SUM(D67:D71)</f>
        <v>0</v>
      </c>
      <c r="E72" s="1618">
        <f t="shared" si="9"/>
        <v>526</v>
      </c>
      <c r="F72" s="1618">
        <f t="shared" si="9"/>
        <v>0</v>
      </c>
      <c r="G72" s="1618">
        <f t="shared" si="9"/>
        <v>0</v>
      </c>
      <c r="H72" s="1618">
        <f t="shared" si="9"/>
        <v>0</v>
      </c>
      <c r="I72" s="1618">
        <f t="shared" si="9"/>
        <v>0</v>
      </c>
      <c r="J72" s="1618">
        <f t="shared" si="9"/>
        <v>0</v>
      </c>
      <c r="K72" s="1618">
        <f t="shared" si="9"/>
        <v>526</v>
      </c>
      <c r="L72" s="1618">
        <f>SUM(L67:L71)</f>
        <v>0</v>
      </c>
      <c r="M72" s="610"/>
      <c r="N72" s="610"/>
    </row>
    <row r="73" spans="1:14" s="343" customFormat="1" ht="14.25" thickTop="1" thickBot="1">
      <c r="A73" s="1462" t="s">
        <v>1037</v>
      </c>
      <c r="B73" s="633" t="s">
        <v>595</v>
      </c>
      <c r="C73" s="573"/>
      <c r="D73" s="573"/>
      <c r="E73" s="573"/>
      <c r="F73" s="573"/>
      <c r="G73" s="573"/>
      <c r="H73" s="573"/>
      <c r="I73" s="531"/>
      <c r="J73" s="531"/>
      <c r="K73" s="1618">
        <f>SUM(C73:J73)</f>
        <v>0</v>
      </c>
      <c r="L73" s="576"/>
      <c r="M73" s="610"/>
      <c r="N73" s="610"/>
    </row>
    <row r="74" spans="1:14" ht="12.95" customHeight="1" thickTop="1" thickBot="1">
      <c r="A74" s="1616" t="s">
        <v>865</v>
      </c>
      <c r="B74" s="1624">
        <v>2000</v>
      </c>
      <c r="C74" s="1625">
        <f>SUM(C42,C47,C53,C57,C65,C72,C73)</f>
        <v>1411083</v>
      </c>
      <c r="D74" s="1625">
        <f t="shared" ref="D74:K74" si="10">SUM(D42,D47,D53,D57,D65,D72,D73)</f>
        <v>358648</v>
      </c>
      <c r="E74" s="1625">
        <f t="shared" si="10"/>
        <v>106341</v>
      </c>
      <c r="F74" s="1625">
        <f t="shared" si="10"/>
        <v>273491</v>
      </c>
      <c r="G74" s="1625">
        <f t="shared" si="10"/>
        <v>11582</v>
      </c>
      <c r="H74" s="1625">
        <f t="shared" si="10"/>
        <v>0</v>
      </c>
      <c r="I74" s="1625">
        <f t="shared" si="10"/>
        <v>0</v>
      </c>
      <c r="J74" s="1625">
        <f t="shared" si="10"/>
        <v>0</v>
      </c>
      <c r="K74" s="1625">
        <f t="shared" si="10"/>
        <v>2161145</v>
      </c>
      <c r="L74" s="1625">
        <f>SUM(L42,L47,L53,L57,L65,L72,L73)</f>
        <v>2172466</v>
      </c>
    </row>
    <row r="75" spans="1:14" s="259" customFormat="1" ht="15.75" customHeight="1" thickTop="1" thickBot="1">
      <c r="A75" s="1562" t="s">
        <v>49</v>
      </c>
      <c r="B75" s="1563" t="s">
        <v>596</v>
      </c>
      <c r="C75" s="573">
        <v>18119</v>
      </c>
      <c r="D75" s="573">
        <v>19600</v>
      </c>
      <c r="E75" s="573"/>
      <c r="F75" s="573"/>
      <c r="G75" s="573"/>
      <c r="H75" s="573"/>
      <c r="I75" s="531"/>
      <c r="J75" s="531"/>
      <c r="K75" s="1618">
        <f>SUM(C75:J75)</f>
        <v>37719</v>
      </c>
      <c r="L75" s="576">
        <v>49224</v>
      </c>
      <c r="M75" s="614"/>
      <c r="N75" s="614"/>
    </row>
    <row r="76" spans="1:14" s="634" customFormat="1" ht="15.75" customHeight="1" thickTop="1">
      <c r="A76" s="1564" t="s">
        <v>383</v>
      </c>
      <c r="B76" s="156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456" t="s">
        <v>517</v>
      </c>
      <c r="B78" s="615">
        <v>4110</v>
      </c>
      <c r="C78" s="617"/>
      <c r="D78" s="617"/>
      <c r="E78" s="481"/>
      <c r="F78" s="617"/>
      <c r="G78" s="617"/>
      <c r="H78" s="635">
        <v>2125</v>
      </c>
      <c r="I78" s="477"/>
      <c r="J78" s="477"/>
      <c r="K78" s="1619">
        <f t="shared" ref="K78:K83" si="11">SUM(C78:J78)</f>
        <v>2125</v>
      </c>
      <c r="L78" s="481">
        <v>0</v>
      </c>
    </row>
    <row r="79" spans="1:14">
      <c r="A79" s="1456" t="s">
        <v>322</v>
      </c>
      <c r="B79" s="615">
        <v>4120</v>
      </c>
      <c r="C79" s="617"/>
      <c r="D79" s="617"/>
      <c r="E79" s="466"/>
      <c r="F79" s="617"/>
      <c r="G79" s="617"/>
      <c r="H79" s="466">
        <v>144001</v>
      </c>
      <c r="I79" s="477"/>
      <c r="J79" s="477"/>
      <c r="K79" s="1619">
        <f t="shared" si="11"/>
        <v>144001</v>
      </c>
      <c r="L79" s="466">
        <v>180000</v>
      </c>
    </row>
    <row r="80" spans="1:14">
      <c r="A80" s="1456" t="s">
        <v>323</v>
      </c>
      <c r="B80" s="615">
        <v>4130</v>
      </c>
      <c r="C80" s="617"/>
      <c r="D80" s="617"/>
      <c r="E80" s="466"/>
      <c r="F80" s="617"/>
      <c r="G80" s="617"/>
      <c r="H80" s="466"/>
      <c r="I80" s="477"/>
      <c r="J80" s="477"/>
      <c r="K80" s="1619">
        <f t="shared" si="11"/>
        <v>0</v>
      </c>
      <c r="L80" s="466"/>
    </row>
    <row r="81" spans="1:12">
      <c r="A81" s="1456" t="s">
        <v>721</v>
      </c>
      <c r="B81" s="615">
        <v>4140</v>
      </c>
      <c r="C81" s="617"/>
      <c r="D81" s="617"/>
      <c r="E81" s="466"/>
      <c r="F81" s="617"/>
      <c r="G81" s="617"/>
      <c r="H81" s="466"/>
      <c r="I81" s="477"/>
      <c r="J81" s="477"/>
      <c r="K81" s="1619">
        <f t="shared" si="11"/>
        <v>0</v>
      </c>
      <c r="L81" s="466"/>
    </row>
    <row r="82" spans="1:12">
      <c r="A82" s="1456" t="s">
        <v>88</v>
      </c>
      <c r="B82" s="615">
        <v>4170</v>
      </c>
      <c r="C82" s="617"/>
      <c r="D82" s="617"/>
      <c r="E82" s="466"/>
      <c r="F82" s="617"/>
      <c r="G82" s="617"/>
      <c r="H82" s="466"/>
      <c r="I82" s="477"/>
      <c r="J82" s="477"/>
      <c r="K82" s="1619">
        <f t="shared" si="11"/>
        <v>0</v>
      </c>
      <c r="L82" s="466"/>
    </row>
    <row r="83" spans="1:12">
      <c r="A83" s="1460" t="s">
        <v>722</v>
      </c>
      <c r="B83" s="629">
        <v>4190</v>
      </c>
      <c r="C83" s="617"/>
      <c r="D83" s="617"/>
      <c r="E83" s="466"/>
      <c r="F83" s="617"/>
      <c r="G83" s="617"/>
      <c r="H83" s="466"/>
      <c r="I83" s="477"/>
      <c r="J83" s="477"/>
      <c r="K83" s="1619">
        <f t="shared" si="11"/>
        <v>0</v>
      </c>
      <c r="L83" s="466"/>
    </row>
    <row r="84" spans="1:12" ht="13.5" thickBot="1">
      <c r="A84" s="1616" t="s">
        <v>1544</v>
      </c>
      <c r="B84" s="1626">
        <v>4100</v>
      </c>
      <c r="C84" s="617"/>
      <c r="D84" s="617"/>
      <c r="E84" s="1618">
        <f>SUM(E78:E83)</f>
        <v>0</v>
      </c>
      <c r="F84" s="617"/>
      <c r="G84" s="617"/>
      <c r="H84" s="1618">
        <f>SUM(H78:H83)</f>
        <v>146126</v>
      </c>
      <c r="I84" s="477"/>
      <c r="J84" s="477"/>
      <c r="K84" s="1618">
        <f>SUM(K78:K83)</f>
        <v>146126</v>
      </c>
      <c r="L84" s="1618">
        <f>SUM(L78:L83)</f>
        <v>180000</v>
      </c>
    </row>
    <row r="85" spans="1:12" ht="12.95" customHeight="1" thickTop="1" thickBot="1">
      <c r="A85" s="1463" t="s">
        <v>273</v>
      </c>
      <c r="B85" s="636">
        <v>4210</v>
      </c>
      <c r="C85" s="617"/>
      <c r="D85" s="617"/>
      <c r="E85" s="637"/>
      <c r="F85" s="617"/>
      <c r="G85" s="617"/>
      <c r="H85" s="535"/>
      <c r="I85" s="477"/>
      <c r="J85" s="477"/>
      <c r="K85" s="1625">
        <f>H85</f>
        <v>0</v>
      </c>
      <c r="L85" s="530"/>
    </row>
    <row r="86" spans="1:12" ht="12.95" customHeight="1" thickTop="1" thickBot="1">
      <c r="A86" s="1464" t="s">
        <v>723</v>
      </c>
      <c r="B86" s="638">
        <v>4220</v>
      </c>
      <c r="C86" s="617"/>
      <c r="D86" s="617"/>
      <c r="E86" s="639"/>
      <c r="F86" s="617"/>
      <c r="G86" s="617"/>
      <c r="H86" s="467"/>
      <c r="I86" s="477"/>
      <c r="J86" s="477"/>
      <c r="K86" s="1625">
        <f t="shared" ref="K86:K98" si="12">H86</f>
        <v>0</v>
      </c>
      <c r="L86" s="530"/>
    </row>
    <row r="87" spans="1:12" ht="14.25" thickTop="1" thickBot="1">
      <c r="A87" s="1465" t="s">
        <v>724</v>
      </c>
      <c r="B87" s="640">
        <v>4230</v>
      </c>
      <c r="C87" s="617"/>
      <c r="D87" s="617"/>
      <c r="E87" s="639"/>
      <c r="F87" s="617"/>
      <c r="G87" s="617"/>
      <c r="H87" s="467"/>
      <c r="I87" s="477"/>
      <c r="J87" s="477"/>
      <c r="K87" s="1625">
        <f t="shared" si="12"/>
        <v>0</v>
      </c>
      <c r="L87" s="530"/>
    </row>
    <row r="88" spans="1:12" ht="12.95" customHeight="1" thickTop="1" thickBot="1">
      <c r="A88" s="1465" t="s">
        <v>789</v>
      </c>
      <c r="B88" s="640">
        <v>4240</v>
      </c>
      <c r="C88" s="617"/>
      <c r="D88" s="617"/>
      <c r="E88" s="639"/>
      <c r="F88" s="617"/>
      <c r="G88" s="617"/>
      <c r="H88" s="467"/>
      <c r="I88" s="477"/>
      <c r="J88" s="477"/>
      <c r="K88" s="1625">
        <f t="shared" si="12"/>
        <v>0</v>
      </c>
      <c r="L88" s="530"/>
    </row>
    <row r="89" spans="1:12" ht="12.95" customHeight="1" thickTop="1" thickBot="1">
      <c r="A89" s="1465" t="s">
        <v>725</v>
      </c>
      <c r="B89" s="640">
        <v>4270</v>
      </c>
      <c r="C89" s="617"/>
      <c r="D89" s="617"/>
      <c r="E89" s="639"/>
      <c r="F89" s="617"/>
      <c r="G89" s="617"/>
      <c r="H89" s="467"/>
      <c r="I89" s="477"/>
      <c r="J89" s="477"/>
      <c r="K89" s="1625">
        <f t="shared" si="12"/>
        <v>0</v>
      </c>
      <c r="L89" s="530"/>
    </row>
    <row r="90" spans="1:12" ht="12.95" customHeight="1" thickTop="1" thickBot="1">
      <c r="A90" s="1465" t="s">
        <v>710</v>
      </c>
      <c r="B90" s="640">
        <v>4280</v>
      </c>
      <c r="C90" s="617"/>
      <c r="D90" s="617"/>
      <c r="E90" s="639"/>
      <c r="F90" s="617"/>
      <c r="G90" s="617"/>
      <c r="H90" s="467"/>
      <c r="I90" s="477"/>
      <c r="J90" s="477"/>
      <c r="K90" s="1625">
        <f t="shared" si="12"/>
        <v>0</v>
      </c>
      <c r="L90" s="530"/>
    </row>
    <row r="91" spans="1:12" ht="12.95" customHeight="1" thickTop="1" thickBot="1">
      <c r="A91" s="1465" t="s">
        <v>711</v>
      </c>
      <c r="B91" s="640">
        <v>4290</v>
      </c>
      <c r="C91" s="617"/>
      <c r="D91" s="617"/>
      <c r="E91" s="639"/>
      <c r="F91" s="617"/>
      <c r="G91" s="617"/>
      <c r="H91" s="467"/>
      <c r="I91" s="477"/>
      <c r="J91" s="477"/>
      <c r="K91" s="1625">
        <f t="shared" si="12"/>
        <v>0</v>
      </c>
      <c r="L91" s="530"/>
    </row>
    <row r="92" spans="1:12" ht="14.25" thickTop="1" thickBot="1">
      <c r="A92" s="1628" t="s">
        <v>1620</v>
      </c>
      <c r="B92" s="1626">
        <v>4200</v>
      </c>
      <c r="C92" s="617"/>
      <c r="D92" s="617"/>
      <c r="E92" s="639"/>
      <c r="F92" s="617"/>
      <c r="G92" s="617"/>
      <c r="H92" s="1618">
        <f>SUM(H85:H91)</f>
        <v>0</v>
      </c>
      <c r="I92" s="477"/>
      <c r="J92" s="477"/>
      <c r="K92" s="1625">
        <f t="shared" si="12"/>
        <v>0</v>
      </c>
      <c r="L92" s="1618">
        <f>SUM(L85:L91)</f>
        <v>0</v>
      </c>
    </row>
    <row r="93" spans="1:12" ht="14.25" thickTop="1" thickBot="1">
      <c r="A93" s="1464" t="s">
        <v>712</v>
      </c>
      <c r="B93" s="641">
        <v>4310</v>
      </c>
      <c r="C93" s="617"/>
      <c r="D93" s="617"/>
      <c r="E93" s="639"/>
      <c r="F93" s="617"/>
      <c r="G93" s="617"/>
      <c r="H93" s="642"/>
      <c r="I93" s="477"/>
      <c r="J93" s="477"/>
      <c r="K93" s="1625">
        <f t="shared" si="12"/>
        <v>0</v>
      </c>
      <c r="L93" s="532"/>
    </row>
    <row r="94" spans="1:12" ht="12.95" customHeight="1" thickTop="1" thickBot="1">
      <c r="A94" s="1465" t="s">
        <v>713</v>
      </c>
      <c r="B94" s="640">
        <v>4320</v>
      </c>
      <c r="C94" s="617"/>
      <c r="D94" s="617"/>
      <c r="E94" s="639"/>
      <c r="F94" s="617"/>
      <c r="G94" s="617"/>
      <c r="H94" s="467"/>
      <c r="I94" s="477"/>
      <c r="J94" s="477"/>
      <c r="K94" s="1625">
        <f t="shared" si="12"/>
        <v>0</v>
      </c>
      <c r="L94" s="530"/>
    </row>
    <row r="95" spans="1:12" ht="15" customHeight="1" thickTop="1" thickBot="1">
      <c r="A95" s="1465" t="s">
        <v>1547</v>
      </c>
      <c r="B95" s="640">
        <v>4330</v>
      </c>
      <c r="C95" s="617"/>
      <c r="D95" s="617"/>
      <c r="E95" s="639"/>
      <c r="F95" s="617"/>
      <c r="G95" s="617"/>
      <c r="H95" s="467"/>
      <c r="I95" s="477"/>
      <c r="J95" s="477"/>
      <c r="K95" s="1625">
        <f t="shared" si="12"/>
        <v>0</v>
      </c>
      <c r="L95" s="530"/>
    </row>
    <row r="96" spans="1:12" ht="14.25" thickTop="1" thickBot="1">
      <c r="A96" s="1465" t="s">
        <v>714</v>
      </c>
      <c r="B96" s="640">
        <v>4340</v>
      </c>
      <c r="C96" s="617"/>
      <c r="D96" s="617"/>
      <c r="E96" s="639"/>
      <c r="F96" s="617"/>
      <c r="G96" s="617"/>
      <c r="H96" s="467"/>
      <c r="I96" s="477"/>
      <c r="J96" s="477"/>
      <c r="K96" s="1625">
        <f t="shared" si="12"/>
        <v>0</v>
      </c>
      <c r="L96" s="530"/>
    </row>
    <row r="97" spans="1:14" ht="12.95" customHeight="1" thickTop="1" thickBot="1">
      <c r="A97" s="1465" t="s">
        <v>787</v>
      </c>
      <c r="B97" s="640">
        <v>4370</v>
      </c>
      <c r="C97" s="617"/>
      <c r="D97" s="617"/>
      <c r="E97" s="639"/>
      <c r="F97" s="617"/>
      <c r="G97" s="617"/>
      <c r="H97" s="467"/>
      <c r="I97" s="477"/>
      <c r="J97" s="477"/>
      <c r="K97" s="1625">
        <f t="shared" si="12"/>
        <v>0</v>
      </c>
      <c r="L97" s="530"/>
    </row>
    <row r="98" spans="1:14" ht="14.25" thickTop="1" thickBot="1">
      <c r="A98" s="1465" t="s">
        <v>788</v>
      </c>
      <c r="B98" s="640">
        <v>4380</v>
      </c>
      <c r="C98" s="617"/>
      <c r="D98" s="617"/>
      <c r="E98" s="643"/>
      <c r="F98" s="617"/>
      <c r="G98" s="617"/>
      <c r="H98" s="467"/>
      <c r="I98" s="477"/>
      <c r="J98" s="477"/>
      <c r="K98" s="1625">
        <f t="shared" si="12"/>
        <v>0</v>
      </c>
      <c r="L98" s="530"/>
    </row>
    <row r="99" spans="1:14" ht="14.25" thickTop="1" thickBot="1">
      <c r="A99" s="1465" t="s">
        <v>385</v>
      </c>
      <c r="B99" s="640">
        <v>4390</v>
      </c>
      <c r="C99" s="617"/>
      <c r="D99" s="617"/>
      <c r="E99" s="532"/>
      <c r="F99" s="617"/>
      <c r="G99" s="617"/>
      <c r="H99" s="467"/>
      <c r="I99" s="477"/>
      <c r="J99" s="477"/>
      <c r="K99" s="1625">
        <f>SUM(E99,H99)</f>
        <v>0</v>
      </c>
      <c r="L99" s="530"/>
    </row>
    <row r="100" spans="1:14" ht="14.25" thickTop="1" thickBot="1">
      <c r="A100" s="1628" t="s">
        <v>1545</v>
      </c>
      <c r="B100" s="1629">
        <v>4300</v>
      </c>
      <c r="C100" s="617"/>
      <c r="D100" s="617"/>
      <c r="E100" s="1625">
        <f>SUM(E93:E99)</f>
        <v>0</v>
      </c>
      <c r="F100" s="617"/>
      <c r="G100" s="617"/>
      <c r="H100" s="1625">
        <f>SUM(H93:H99)</f>
        <v>0</v>
      </c>
      <c r="I100" s="477"/>
      <c r="J100" s="477"/>
      <c r="K100" s="1625">
        <f>SUM(K93:K99)</f>
        <v>0</v>
      </c>
      <c r="L100" s="1625">
        <f>SUM(L93:L99)</f>
        <v>0</v>
      </c>
    </row>
    <row r="101" spans="1:14" ht="12.95" customHeight="1" thickTop="1" thickBot="1">
      <c r="A101" s="1462" t="s">
        <v>1548</v>
      </c>
      <c r="B101" s="644" t="s">
        <v>988</v>
      </c>
      <c r="C101" s="617"/>
      <c r="D101" s="617"/>
      <c r="E101" s="531"/>
      <c r="F101" s="617"/>
      <c r="G101" s="617"/>
      <c r="H101" s="531"/>
      <c r="I101" s="477"/>
      <c r="J101" s="477"/>
      <c r="K101" s="1627">
        <f>SUM(C101:J101)</f>
        <v>0</v>
      </c>
      <c r="L101" s="530"/>
    </row>
    <row r="102" spans="1:14" ht="12.95" customHeight="1" thickTop="1" thickBot="1">
      <c r="A102" s="1616" t="s">
        <v>1546</v>
      </c>
      <c r="B102" s="1626">
        <v>4000</v>
      </c>
      <c r="C102" s="617"/>
      <c r="D102" s="617"/>
      <c r="E102" s="1625">
        <f>SUM(E84,E92,E100,E101)</f>
        <v>0</v>
      </c>
      <c r="F102" s="617"/>
      <c r="G102" s="617"/>
      <c r="H102" s="1625">
        <f>SUM(H84,H92,H100,H101)</f>
        <v>146126</v>
      </c>
      <c r="I102" s="477"/>
      <c r="J102" s="477"/>
      <c r="K102" s="1625">
        <f>SUM(K84,K92,K100,K101)</f>
        <v>146126</v>
      </c>
      <c r="L102" s="1625">
        <f>SUM(L84,L92,L100,L101)</f>
        <v>180000</v>
      </c>
    </row>
    <row r="103" spans="1:14" s="634" customFormat="1" ht="15.75" customHeight="1" thickTop="1">
      <c r="A103" s="1564" t="s">
        <v>534</v>
      </c>
      <c r="B103" s="156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456" t="s">
        <v>89</v>
      </c>
      <c r="B105" s="615">
        <v>5110</v>
      </c>
      <c r="C105" s="617"/>
      <c r="D105" s="617"/>
      <c r="E105" s="617"/>
      <c r="F105" s="617"/>
      <c r="G105" s="617"/>
      <c r="H105" s="481"/>
      <c r="I105" s="468"/>
      <c r="J105" s="468"/>
      <c r="K105" s="1619">
        <f>H105</f>
        <v>0</v>
      </c>
      <c r="L105" s="481"/>
      <c r="M105" s="210"/>
      <c r="N105" s="210"/>
    </row>
    <row r="106" spans="1:14" s="598" customFormat="1">
      <c r="A106" s="1456" t="s">
        <v>90</v>
      </c>
      <c r="B106" s="615">
        <v>5120</v>
      </c>
      <c r="C106" s="617"/>
      <c r="D106" s="617"/>
      <c r="E106" s="617"/>
      <c r="F106" s="617"/>
      <c r="G106" s="617"/>
      <c r="H106" s="466"/>
      <c r="I106" s="468"/>
      <c r="J106" s="468"/>
      <c r="K106" s="1619">
        <f>H106</f>
        <v>0</v>
      </c>
      <c r="L106" s="466"/>
      <c r="M106" s="210"/>
      <c r="N106" s="210"/>
    </row>
    <row r="107" spans="1:14" s="598" customFormat="1" ht="12.95" customHeight="1">
      <c r="A107" s="1456" t="s">
        <v>1232</v>
      </c>
      <c r="B107" s="615">
        <v>5130</v>
      </c>
      <c r="C107" s="617"/>
      <c r="D107" s="617"/>
      <c r="E107" s="617"/>
      <c r="F107" s="617"/>
      <c r="G107" s="617"/>
      <c r="H107" s="466"/>
      <c r="I107" s="468"/>
      <c r="J107" s="468"/>
      <c r="K107" s="1619">
        <f>H107</f>
        <v>0</v>
      </c>
      <c r="L107" s="466"/>
      <c r="M107" s="210"/>
      <c r="N107" s="210"/>
    </row>
    <row r="108" spans="1:14" s="598" customFormat="1">
      <c r="A108" s="1456" t="s">
        <v>91</v>
      </c>
      <c r="B108" s="615" t="s">
        <v>610</v>
      </c>
      <c r="C108" s="617"/>
      <c r="D108" s="617"/>
      <c r="E108" s="617"/>
      <c r="F108" s="617"/>
      <c r="G108" s="617"/>
      <c r="H108" s="466"/>
      <c r="I108" s="468"/>
      <c r="J108" s="468"/>
      <c r="K108" s="1619">
        <f>H108</f>
        <v>0</v>
      </c>
      <c r="L108" s="466"/>
      <c r="M108" s="210"/>
      <c r="N108" s="210"/>
    </row>
    <row r="109" spans="1:14" s="598" customFormat="1">
      <c r="A109" s="1456" t="s">
        <v>272</v>
      </c>
      <c r="B109" s="629">
        <v>5150</v>
      </c>
      <c r="C109" s="617"/>
      <c r="D109" s="617"/>
      <c r="E109" s="617"/>
      <c r="F109" s="617"/>
      <c r="G109" s="617"/>
      <c r="H109" s="466"/>
      <c r="I109" s="468"/>
      <c r="J109" s="468"/>
      <c r="K109" s="1619">
        <f>H109</f>
        <v>0</v>
      </c>
      <c r="L109" s="466"/>
      <c r="M109" s="210"/>
      <c r="N109" s="210"/>
    </row>
    <row r="110" spans="1:14" s="598" customFormat="1" ht="12.95" customHeight="1" thickBot="1">
      <c r="A110" s="1616" t="s">
        <v>1164</v>
      </c>
      <c r="B110" s="1623" t="s">
        <v>742</v>
      </c>
      <c r="C110" s="617"/>
      <c r="D110" s="617"/>
      <c r="E110" s="617"/>
      <c r="F110" s="617"/>
      <c r="G110" s="617"/>
      <c r="H110" s="1618">
        <f>SUM(H105:H109)</f>
        <v>0</v>
      </c>
      <c r="I110" s="468"/>
      <c r="J110" s="468"/>
      <c r="K110" s="1618">
        <f>SUM(K105:K109)</f>
        <v>0</v>
      </c>
      <c r="L110" s="1618">
        <f>SUM(L105:L109)</f>
        <v>0</v>
      </c>
      <c r="M110" s="210"/>
      <c r="N110" s="210"/>
    </row>
    <row r="111" spans="1:14" s="598" customFormat="1" ht="12.95" customHeight="1" thickTop="1" thickBot="1">
      <c r="A111" s="1466" t="s">
        <v>386</v>
      </c>
      <c r="B111" s="648" t="s">
        <v>38</v>
      </c>
      <c r="C111" s="617"/>
      <c r="D111" s="617"/>
      <c r="E111" s="617"/>
      <c r="F111" s="617"/>
      <c r="G111" s="617"/>
      <c r="H111" s="535"/>
      <c r="I111" s="468"/>
      <c r="J111" s="468"/>
      <c r="K111" s="1631">
        <f>H111</f>
        <v>0</v>
      </c>
      <c r="L111" s="532"/>
      <c r="M111" s="210"/>
      <c r="N111" s="210"/>
    </row>
    <row r="112" spans="1:14" s="598" customFormat="1" ht="12.95" customHeight="1" thickTop="1" thickBot="1">
      <c r="A112" s="1616" t="s">
        <v>659</v>
      </c>
      <c r="B112" s="1617" t="s">
        <v>513</v>
      </c>
      <c r="C112" s="617"/>
      <c r="D112" s="617"/>
      <c r="E112" s="617"/>
      <c r="F112" s="617"/>
      <c r="G112" s="617"/>
      <c r="H112" s="1618">
        <f>SUM(H110:H111)</f>
        <v>0</v>
      </c>
      <c r="I112" s="468"/>
      <c r="J112" s="468"/>
      <c r="K112" s="1618">
        <f>SUM(K110:K111)</f>
        <v>0</v>
      </c>
      <c r="L112" s="1625">
        <f>SUM(L110,L111)</f>
        <v>0</v>
      </c>
      <c r="M112" s="210"/>
      <c r="N112" s="210"/>
    </row>
    <row r="113" spans="1:14" s="259" customFormat="1" ht="15.75" customHeight="1" thickTop="1" thickBot="1">
      <c r="A113" s="1558" t="s">
        <v>535</v>
      </c>
      <c r="B113" s="1565" t="s">
        <v>916</v>
      </c>
      <c r="C113" s="624"/>
      <c r="D113" s="624"/>
      <c r="E113" s="617"/>
      <c r="F113" s="617"/>
      <c r="G113" s="617"/>
      <c r="H113" s="624"/>
      <c r="I113" s="468"/>
      <c r="J113" s="468"/>
      <c r="K113" s="624"/>
      <c r="L113" s="531"/>
      <c r="M113" s="614"/>
      <c r="N113" s="614"/>
    </row>
    <row r="114" spans="1:14" ht="12.95" customHeight="1" thickTop="1" thickBot="1">
      <c r="A114" s="1616" t="s">
        <v>50</v>
      </c>
      <c r="B114" s="1630"/>
      <c r="C114" s="1618">
        <f>SUM(C33,C74,C75,C102,C112,C113)</f>
        <v>5545995</v>
      </c>
      <c r="D114" s="1618">
        <f t="shared" ref="D114:K114" si="13">SUM(D33,D74,D75,D102,D112,D113)</f>
        <v>1451984</v>
      </c>
      <c r="E114" s="1618">
        <f t="shared" si="13"/>
        <v>297260</v>
      </c>
      <c r="F114" s="1618">
        <f t="shared" si="13"/>
        <v>541262</v>
      </c>
      <c r="G114" s="1618">
        <f t="shared" si="13"/>
        <v>50053</v>
      </c>
      <c r="H114" s="1618">
        <f>SUM(H33,H74,H75,H102,H112,H113)</f>
        <v>146126</v>
      </c>
      <c r="I114" s="1618">
        <f t="shared" si="13"/>
        <v>0</v>
      </c>
      <c r="J114" s="1618">
        <f t="shared" si="13"/>
        <v>0</v>
      </c>
      <c r="K114" s="1618">
        <f t="shared" si="13"/>
        <v>8032680</v>
      </c>
      <c r="L114" s="1618">
        <f>SUM(L33,L74,L75,L102,L112,L113)</f>
        <v>8142036</v>
      </c>
    </row>
    <row r="115" spans="1:14" ht="13.5" thickTop="1">
      <c r="A115" s="2150" t="s">
        <v>1053</v>
      </c>
      <c r="B115" s="2151"/>
      <c r="C115" s="619"/>
      <c r="D115" s="619"/>
      <c r="E115" s="619"/>
      <c r="F115" s="619"/>
      <c r="G115" s="619"/>
      <c r="H115" s="619"/>
      <c r="I115" s="619"/>
      <c r="J115" s="619"/>
      <c r="K115" s="1632">
        <f>'Revenues 9-14'!C275-'Expenditures 15-22'!K114</f>
        <v>1094346</v>
      </c>
      <c r="L115" s="619"/>
    </row>
    <row r="116" spans="1:14" s="180" customFormat="1" ht="9.1999999999999993" customHeight="1">
      <c r="A116" s="649"/>
      <c r="B116" s="650"/>
      <c r="C116" s="651"/>
      <c r="D116" s="651"/>
      <c r="E116" s="651"/>
      <c r="F116" s="651"/>
      <c r="G116" s="651"/>
      <c r="H116" s="651"/>
      <c r="I116" s="651"/>
      <c r="J116" s="651"/>
      <c r="K116" s="651"/>
      <c r="L116" s="651"/>
      <c r="M116" s="210"/>
      <c r="N116" s="210"/>
    </row>
    <row r="117" spans="1:14" s="652" customFormat="1" ht="16.7" customHeight="1">
      <c r="A117" s="2155" t="s">
        <v>314</v>
      </c>
      <c r="B117" s="2156"/>
      <c r="C117" s="1578"/>
      <c r="D117" s="1579"/>
      <c r="E117" s="1579"/>
      <c r="F117" s="1579"/>
      <c r="G117" s="1579"/>
      <c r="H117" s="1579"/>
      <c r="I117" s="1579"/>
      <c r="J117" s="1579"/>
      <c r="K117" s="1579"/>
      <c r="L117" s="1580"/>
      <c r="M117" s="175"/>
      <c r="N117" s="175"/>
    </row>
    <row r="118" spans="1:14" ht="15.75" customHeight="1">
      <c r="A118" s="1566" t="s">
        <v>1095</v>
      </c>
      <c r="B118" s="156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95" customHeight="1">
      <c r="A120" s="1460" t="s">
        <v>167</v>
      </c>
      <c r="B120" s="629">
        <v>2190</v>
      </c>
      <c r="C120" s="466"/>
      <c r="D120" s="466"/>
      <c r="E120" s="466"/>
      <c r="F120" s="466"/>
      <c r="G120" s="466"/>
      <c r="H120" s="466"/>
      <c r="I120" s="467"/>
      <c r="J120" s="467"/>
      <c r="K120" s="1619">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456" t="s">
        <v>1128</v>
      </c>
      <c r="B122" s="615">
        <v>2510</v>
      </c>
      <c r="C122" s="466"/>
      <c r="D122" s="466"/>
      <c r="E122" s="466"/>
      <c r="F122" s="466"/>
      <c r="G122" s="466"/>
      <c r="H122" s="466"/>
      <c r="I122" s="467"/>
      <c r="J122" s="467"/>
      <c r="K122" s="1618">
        <f>SUM(C122:J122)</f>
        <v>0</v>
      </c>
      <c r="L122" s="466"/>
    </row>
    <row r="123" spans="1:14" ht="14.25" thickTop="1" thickBot="1">
      <c r="A123" s="1456" t="s">
        <v>4</v>
      </c>
      <c r="B123" s="615">
        <v>2530</v>
      </c>
      <c r="C123" s="466"/>
      <c r="D123" s="466"/>
      <c r="E123" s="466"/>
      <c r="F123" s="466"/>
      <c r="G123" s="466"/>
      <c r="H123" s="466"/>
      <c r="I123" s="467"/>
      <c r="J123" s="467"/>
      <c r="K123" s="1618">
        <f>SUM(C123:J123)</f>
        <v>0</v>
      </c>
      <c r="L123" s="466"/>
    </row>
    <row r="124" spans="1:14" ht="14.25" thickTop="1" thickBot="1">
      <c r="A124" s="1456" t="s">
        <v>206</v>
      </c>
      <c r="B124" s="615">
        <v>2540</v>
      </c>
      <c r="C124" s="466">
        <v>406366</v>
      </c>
      <c r="D124" s="466">
        <v>127415</v>
      </c>
      <c r="E124" s="466">
        <v>185025</v>
      </c>
      <c r="F124" s="466">
        <v>272930</v>
      </c>
      <c r="G124" s="466">
        <v>11776</v>
      </c>
      <c r="H124" s="466"/>
      <c r="I124" s="467"/>
      <c r="J124" s="467"/>
      <c r="K124" s="1618">
        <f>SUM(C124:J124)</f>
        <v>1003512</v>
      </c>
      <c r="L124" s="466">
        <v>984187</v>
      </c>
    </row>
    <row r="125" spans="1:14" ht="14.25" thickTop="1" thickBot="1">
      <c r="A125" s="1456" t="s">
        <v>1010</v>
      </c>
      <c r="B125" s="615">
        <v>2550</v>
      </c>
      <c r="C125" s="466"/>
      <c r="D125" s="466"/>
      <c r="E125" s="466"/>
      <c r="F125" s="466"/>
      <c r="G125" s="466"/>
      <c r="H125" s="466"/>
      <c r="I125" s="467"/>
      <c r="J125" s="467"/>
      <c r="K125" s="1618">
        <f>SUM(C125:J125)</f>
        <v>0</v>
      </c>
      <c r="L125" s="466"/>
    </row>
    <row r="126" spans="1:14" ht="14.25" thickTop="1" thickBot="1">
      <c r="A126" s="1456" t="s">
        <v>102</v>
      </c>
      <c r="B126" s="615">
        <v>2560</v>
      </c>
      <c r="C126" s="655"/>
      <c r="D126" s="655"/>
      <c r="E126" s="655"/>
      <c r="F126" s="655"/>
      <c r="G126" s="466"/>
      <c r="H126" s="655"/>
      <c r="I126" s="474"/>
      <c r="J126" s="617"/>
      <c r="K126" s="1618">
        <f>SUM(C126:J126)</f>
        <v>0</v>
      </c>
      <c r="L126" s="466"/>
    </row>
    <row r="127" spans="1:14" ht="12.95" customHeight="1" thickTop="1" thickBot="1">
      <c r="A127" s="1616" t="s">
        <v>743</v>
      </c>
      <c r="B127" s="1617" t="s">
        <v>35</v>
      </c>
      <c r="C127" s="1618">
        <f>SUM(C122:C126)</f>
        <v>406366</v>
      </c>
      <c r="D127" s="1618">
        <f t="shared" ref="D127:L127" si="14">SUM(D122:D126)</f>
        <v>127415</v>
      </c>
      <c r="E127" s="1618">
        <f t="shared" si="14"/>
        <v>185025</v>
      </c>
      <c r="F127" s="1618">
        <f t="shared" si="14"/>
        <v>272930</v>
      </c>
      <c r="G127" s="1618">
        <f t="shared" si="14"/>
        <v>11776</v>
      </c>
      <c r="H127" s="1618">
        <f t="shared" si="14"/>
        <v>0</v>
      </c>
      <c r="I127" s="1618">
        <f t="shared" si="14"/>
        <v>0</v>
      </c>
      <c r="J127" s="1618">
        <f t="shared" si="14"/>
        <v>0</v>
      </c>
      <c r="K127" s="1618">
        <f t="shared" si="14"/>
        <v>1003512</v>
      </c>
      <c r="L127" s="1618">
        <f t="shared" si="14"/>
        <v>984187</v>
      </c>
    </row>
    <row r="128" spans="1:14" ht="12.95" customHeight="1" thickTop="1">
      <c r="A128" s="1463" t="s">
        <v>1037</v>
      </c>
      <c r="B128" s="656" t="s">
        <v>595</v>
      </c>
      <c r="C128" s="657"/>
      <c r="D128" s="657"/>
      <c r="E128" s="657"/>
      <c r="F128" s="657"/>
      <c r="G128" s="657"/>
      <c r="H128" s="657"/>
      <c r="I128" s="535"/>
      <c r="J128" s="535"/>
      <c r="K128" s="1633">
        <f>SUM(C128:J128)</f>
        <v>0</v>
      </c>
      <c r="L128" s="657"/>
    </row>
    <row r="129" spans="1:14" ht="12.95" customHeight="1" thickBot="1">
      <c r="A129" s="1634" t="s">
        <v>865</v>
      </c>
      <c r="B129" s="1635" t="s">
        <v>590</v>
      </c>
      <c r="C129" s="1625">
        <f>SUM(C120,C127,C128)</f>
        <v>406366</v>
      </c>
      <c r="D129" s="1625">
        <f t="shared" ref="D129:L129" si="15">SUM(D120,D127,D128)</f>
        <v>127415</v>
      </c>
      <c r="E129" s="1625">
        <f t="shared" si="15"/>
        <v>185025</v>
      </c>
      <c r="F129" s="1625">
        <f t="shared" si="15"/>
        <v>272930</v>
      </c>
      <c r="G129" s="1625">
        <f t="shared" si="15"/>
        <v>11776</v>
      </c>
      <c r="H129" s="1625">
        <f t="shared" si="15"/>
        <v>0</v>
      </c>
      <c r="I129" s="1625">
        <f t="shared" si="15"/>
        <v>0</v>
      </c>
      <c r="J129" s="1625">
        <f t="shared" si="15"/>
        <v>0</v>
      </c>
      <c r="K129" s="1625">
        <f t="shared" si="15"/>
        <v>1003512</v>
      </c>
      <c r="L129" s="1625">
        <f t="shared" si="15"/>
        <v>984187</v>
      </c>
    </row>
    <row r="130" spans="1:14" ht="15.75" customHeight="1" thickTop="1" thickBot="1">
      <c r="A130" s="1562" t="s">
        <v>1096</v>
      </c>
      <c r="B130" s="1563" t="s">
        <v>596</v>
      </c>
      <c r="C130" s="576"/>
      <c r="D130" s="576"/>
      <c r="E130" s="576"/>
      <c r="F130" s="576"/>
      <c r="G130" s="576"/>
      <c r="H130" s="576"/>
      <c r="I130" s="531"/>
      <c r="J130" s="531"/>
      <c r="K130" s="1618">
        <f>SUM(C130:J130)</f>
        <v>0</v>
      </c>
      <c r="L130" s="576"/>
    </row>
    <row r="131" spans="1:14" ht="15.75" customHeight="1" thickTop="1">
      <c r="A131" s="1568" t="s">
        <v>637</v>
      </c>
      <c r="B131" s="156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442" t="s">
        <v>517</v>
      </c>
      <c r="B133" s="1789" t="s">
        <v>1916</v>
      </c>
      <c r="C133" s="468"/>
      <c r="D133" s="468"/>
      <c r="E133" s="642"/>
      <c r="F133" s="468"/>
      <c r="G133" s="468"/>
      <c r="H133" s="642"/>
      <c r="I133" s="468"/>
      <c r="J133" s="468"/>
      <c r="K133" s="1770">
        <f>SUM(E133,H133)</f>
        <v>0</v>
      </c>
      <c r="L133" s="642"/>
      <c r="M133" s="206"/>
      <c r="N133" s="206"/>
    </row>
    <row r="134" spans="1:14">
      <c r="A134" s="1456" t="s">
        <v>322</v>
      </c>
      <c r="B134" s="615">
        <v>4120</v>
      </c>
      <c r="C134" s="617"/>
      <c r="D134" s="617"/>
      <c r="E134" s="478"/>
      <c r="F134" s="617"/>
      <c r="G134" s="617"/>
      <c r="H134" s="481"/>
      <c r="I134" s="477"/>
      <c r="J134" s="617"/>
      <c r="K134" s="1620">
        <f>SUM(E134,H134)</f>
        <v>0</v>
      </c>
      <c r="L134" s="481"/>
    </row>
    <row r="135" spans="1:14">
      <c r="A135" s="1456" t="s">
        <v>721</v>
      </c>
      <c r="B135" s="615">
        <v>4140</v>
      </c>
      <c r="C135" s="617"/>
      <c r="D135" s="617"/>
      <c r="E135" s="467"/>
      <c r="F135" s="617"/>
      <c r="G135" s="617"/>
      <c r="H135" s="466"/>
      <c r="I135" s="477"/>
      <c r="J135" s="617"/>
      <c r="K135" s="1620">
        <f>SUM(E135,H135)</f>
        <v>0</v>
      </c>
      <c r="L135" s="466"/>
    </row>
    <row r="136" spans="1:14">
      <c r="A136" s="1460" t="s">
        <v>722</v>
      </c>
      <c r="B136" s="629">
        <v>4190</v>
      </c>
      <c r="C136" s="617"/>
      <c r="D136" s="617"/>
      <c r="E136" s="467"/>
      <c r="F136" s="617"/>
      <c r="G136" s="617"/>
      <c r="H136" s="466"/>
      <c r="I136" s="477"/>
      <c r="J136" s="617"/>
      <c r="K136" s="1620">
        <f>SUM(E136,H136)</f>
        <v>0</v>
      </c>
      <c r="L136" s="466"/>
    </row>
    <row r="137" spans="1:14" ht="12.95" customHeight="1" thickBot="1">
      <c r="A137" s="1616" t="s">
        <v>501</v>
      </c>
      <c r="B137" s="1626">
        <v>4100</v>
      </c>
      <c r="C137" s="617"/>
      <c r="D137" s="617"/>
      <c r="E137" s="1618">
        <f>SUM(E133:E136)</f>
        <v>0</v>
      </c>
      <c r="F137" s="617"/>
      <c r="G137" s="617"/>
      <c r="H137" s="1618">
        <f>SUM(H133:H136)</f>
        <v>0</v>
      </c>
      <c r="I137" s="477"/>
      <c r="J137" s="617"/>
      <c r="K137" s="1618">
        <f>SUM(K133:K136)</f>
        <v>0</v>
      </c>
      <c r="L137" s="1618">
        <f>SUM(L133:L136)</f>
        <v>0</v>
      </c>
    </row>
    <row r="138" spans="1:14" ht="12.95" customHeight="1" thickTop="1" thickBot="1">
      <c r="A138" s="1462" t="s">
        <v>98</v>
      </c>
      <c r="B138" s="644" t="s">
        <v>988</v>
      </c>
      <c r="C138" s="617"/>
      <c r="D138" s="617"/>
      <c r="E138" s="479"/>
      <c r="F138" s="617"/>
      <c r="G138" s="617"/>
      <c r="H138" s="576"/>
      <c r="I138" s="477"/>
      <c r="J138" s="617"/>
      <c r="K138" s="1620">
        <f>SUM(E138,H138)</f>
        <v>0</v>
      </c>
      <c r="L138" s="576"/>
    </row>
    <row r="139" spans="1:14" ht="12.95" customHeight="1" thickTop="1" thickBot="1">
      <c r="A139" s="1616" t="s">
        <v>1546</v>
      </c>
      <c r="B139" s="1626">
        <v>4000</v>
      </c>
      <c r="C139" s="617"/>
      <c r="D139" s="617"/>
      <c r="E139" s="1618">
        <f>SUM(E137,E138)</f>
        <v>0</v>
      </c>
      <c r="F139" s="617"/>
      <c r="G139" s="617"/>
      <c r="H139" s="1627">
        <f>SUM(H137:H138)</f>
        <v>0</v>
      </c>
      <c r="I139" s="477"/>
      <c r="J139" s="617"/>
      <c r="K139" s="1620">
        <f>SUM(K137,K138)</f>
        <v>0</v>
      </c>
      <c r="L139" s="1627">
        <f>SUM(L137,L138)</f>
        <v>0</v>
      </c>
    </row>
    <row r="140" spans="1:14" ht="15.75" customHeight="1" thickTop="1">
      <c r="A140" s="1564" t="s">
        <v>1097</v>
      </c>
      <c r="B140" s="156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456" t="s">
        <v>89</v>
      </c>
      <c r="B142" s="615">
        <v>5110</v>
      </c>
      <c r="C142" s="617"/>
      <c r="D142" s="617"/>
      <c r="E142" s="617"/>
      <c r="F142" s="617"/>
      <c r="G142" s="617"/>
      <c r="H142" s="481"/>
      <c r="I142" s="468"/>
      <c r="J142" s="617"/>
      <c r="K142" s="1620">
        <f>SUM(H142)</f>
        <v>0</v>
      </c>
      <c r="L142" s="481"/>
    </row>
    <row r="143" spans="1:14">
      <c r="A143" s="1456" t="s">
        <v>90</v>
      </c>
      <c r="B143" s="615">
        <v>5120</v>
      </c>
      <c r="C143" s="617"/>
      <c r="D143" s="617"/>
      <c r="E143" s="617"/>
      <c r="F143" s="617"/>
      <c r="G143" s="617"/>
      <c r="H143" s="466"/>
      <c r="I143" s="468"/>
      <c r="J143" s="617"/>
      <c r="K143" s="1620">
        <f>SUM(H143)</f>
        <v>0</v>
      </c>
      <c r="L143" s="466"/>
    </row>
    <row r="144" spans="1:14" ht="12.95" customHeight="1">
      <c r="A144" s="1456" t="s">
        <v>1232</v>
      </c>
      <c r="B144" s="629" t="s">
        <v>638</v>
      </c>
      <c r="C144" s="617"/>
      <c r="D144" s="617"/>
      <c r="E144" s="617"/>
      <c r="F144" s="617"/>
      <c r="G144" s="617"/>
      <c r="H144" s="466"/>
      <c r="I144" s="468"/>
      <c r="J144" s="617"/>
      <c r="K144" s="1620">
        <f>SUM(H144)</f>
        <v>0</v>
      </c>
      <c r="L144" s="466"/>
    </row>
    <row r="145" spans="1:14">
      <c r="A145" s="1456" t="s">
        <v>91</v>
      </c>
      <c r="B145" s="615" t="s">
        <v>610</v>
      </c>
      <c r="C145" s="617"/>
      <c r="D145" s="617"/>
      <c r="E145" s="617"/>
      <c r="F145" s="617"/>
      <c r="G145" s="617"/>
      <c r="H145" s="466"/>
      <c r="I145" s="468"/>
      <c r="J145" s="617"/>
      <c r="K145" s="1620">
        <f>SUM(H145)</f>
        <v>0</v>
      </c>
      <c r="L145" s="466"/>
    </row>
    <row r="146" spans="1:14" ht="12.95" customHeight="1">
      <c r="A146" s="1456" t="s">
        <v>640</v>
      </c>
      <c r="B146" s="615" t="s">
        <v>639</v>
      </c>
      <c r="C146" s="617"/>
      <c r="D146" s="617"/>
      <c r="E146" s="617"/>
      <c r="F146" s="617"/>
      <c r="G146" s="617"/>
      <c r="H146" s="466"/>
      <c r="I146" s="468"/>
      <c r="J146" s="617"/>
      <c r="K146" s="1620">
        <f>SUM(H146)</f>
        <v>0</v>
      </c>
      <c r="L146" s="466"/>
    </row>
    <row r="147" spans="1:14" ht="12.95" customHeight="1" thickBot="1">
      <c r="A147" s="1467" t="s">
        <v>647</v>
      </c>
      <c r="B147" s="660" t="s">
        <v>742</v>
      </c>
      <c r="C147" s="617"/>
      <c r="D147" s="617"/>
      <c r="E147" s="617"/>
      <c r="F147" s="617"/>
      <c r="G147" s="617"/>
      <c r="H147" s="1636">
        <f>SUM(H142:H146)</f>
        <v>0</v>
      </c>
      <c r="I147" s="468"/>
      <c r="J147" s="617"/>
      <c r="K147" s="1618">
        <f>SUM(K142:K146)</f>
        <v>0</v>
      </c>
      <c r="L147" s="1636">
        <f>SUM(L142:L146)</f>
        <v>0</v>
      </c>
    </row>
    <row r="148" spans="1:14" ht="15.75" customHeight="1" thickTop="1">
      <c r="A148" s="661" t="s">
        <v>1165</v>
      </c>
      <c r="B148" s="662" t="s">
        <v>38</v>
      </c>
      <c r="C148" s="617"/>
      <c r="D148" s="617"/>
      <c r="E148" s="617"/>
      <c r="F148" s="617"/>
      <c r="G148" s="617"/>
      <c r="H148" s="479"/>
      <c r="I148" s="468"/>
      <c r="J148" s="617"/>
      <c r="K148" s="1620">
        <f>SUM(H148)</f>
        <v>0</v>
      </c>
      <c r="L148" s="492"/>
    </row>
    <row r="149" spans="1:14" ht="12.95" customHeight="1" thickBot="1">
      <c r="A149" s="1459" t="s">
        <v>659</v>
      </c>
      <c r="B149" s="618" t="s">
        <v>513</v>
      </c>
      <c r="C149" s="617"/>
      <c r="D149" s="617"/>
      <c r="E149" s="617"/>
      <c r="F149" s="617"/>
      <c r="G149" s="617"/>
      <c r="H149" s="1618">
        <f>SUM(H147,H148)</f>
        <v>0</v>
      </c>
      <c r="I149" s="468"/>
      <c r="J149" s="617"/>
      <c r="K149" s="1618">
        <f>SUM(K147:K148)</f>
        <v>0</v>
      </c>
      <c r="L149" s="1618">
        <f>SUM(L142:L146,L148)</f>
        <v>0</v>
      </c>
    </row>
    <row r="150" spans="1:14" ht="15.75" customHeight="1" thickTop="1" thickBot="1">
      <c r="A150" s="1558" t="s">
        <v>1098</v>
      </c>
      <c r="B150" s="1565" t="s">
        <v>916</v>
      </c>
      <c r="C150" s="617"/>
      <c r="D150" s="617"/>
      <c r="E150" s="617"/>
      <c r="F150" s="617"/>
      <c r="G150" s="617"/>
      <c r="H150" s="663"/>
      <c r="I150" s="521"/>
      <c r="J150" s="617"/>
      <c r="K150" s="624"/>
      <c r="L150" s="573"/>
    </row>
    <row r="151" spans="1:14" ht="12.95" customHeight="1" thickTop="1" thickBot="1">
      <c r="A151" s="2167" t="s">
        <v>641</v>
      </c>
      <c r="B151" s="2147"/>
      <c r="C151" s="1618">
        <f>SUM(C129,C130,C139,C149,C150)</f>
        <v>406366</v>
      </c>
      <c r="D151" s="1618">
        <f t="shared" ref="D151:K151" si="16">SUM(D129,D130,D139,D149,D150)</f>
        <v>127415</v>
      </c>
      <c r="E151" s="1618">
        <f t="shared" si="16"/>
        <v>185025</v>
      </c>
      <c r="F151" s="1618">
        <f t="shared" si="16"/>
        <v>272930</v>
      </c>
      <c r="G151" s="1618">
        <f t="shared" si="16"/>
        <v>11776</v>
      </c>
      <c r="H151" s="1618">
        <f t="shared" si="16"/>
        <v>0</v>
      </c>
      <c r="I151" s="1618">
        <f t="shared" si="16"/>
        <v>0</v>
      </c>
      <c r="J151" s="1618">
        <f t="shared" si="16"/>
        <v>0</v>
      </c>
      <c r="K151" s="1618">
        <f t="shared" si="16"/>
        <v>1003512</v>
      </c>
      <c r="L151" s="1618">
        <f>SUM(L129,L130,L139,L149,L150)</f>
        <v>984187</v>
      </c>
    </row>
    <row r="152" spans="1:14" ht="12.95" customHeight="1" thickTop="1">
      <c r="A152" s="2170" t="s">
        <v>1240</v>
      </c>
      <c r="B152" s="2171"/>
      <c r="C152" s="619"/>
      <c r="D152" s="619"/>
      <c r="E152" s="619"/>
      <c r="F152" s="619"/>
      <c r="G152" s="619"/>
      <c r="H152" s="619"/>
      <c r="I152" s="619"/>
      <c r="J152" s="617"/>
      <c r="K152" s="1632">
        <f>'Revenues 9-14'!D275-'Expenditures 15-22'!K151</f>
        <v>91000</v>
      </c>
      <c r="L152" s="619"/>
    </row>
    <row r="153" spans="1:14" s="667" customFormat="1" ht="9.1999999999999993" customHeight="1">
      <c r="A153" s="664"/>
      <c r="B153" s="665"/>
      <c r="C153" s="651"/>
      <c r="D153" s="651"/>
      <c r="E153" s="651"/>
      <c r="F153" s="651"/>
      <c r="G153" s="651"/>
      <c r="H153" s="651"/>
      <c r="I153" s="651"/>
      <c r="J153" s="651"/>
      <c r="K153" s="651"/>
      <c r="L153" s="651"/>
      <c r="M153" s="666"/>
      <c r="N153" s="666"/>
    </row>
    <row r="154" spans="1:14" s="669" customFormat="1" ht="16.7" customHeight="1">
      <c r="A154" s="2155" t="s">
        <v>642</v>
      </c>
      <c r="B154" s="2157"/>
      <c r="C154" s="1578"/>
      <c r="D154" s="1579"/>
      <c r="E154" s="1579"/>
      <c r="F154" s="1579"/>
      <c r="G154" s="1579"/>
      <c r="H154" s="1579"/>
      <c r="I154" s="1579"/>
      <c r="J154" s="1579"/>
      <c r="K154" s="1579"/>
      <c r="L154" s="1580"/>
      <c r="M154" s="668"/>
      <c r="N154" s="668"/>
    </row>
    <row r="155" spans="1:14" s="621" customFormat="1" ht="15.75" customHeight="1" thickBot="1">
      <c r="A155" s="1569" t="s">
        <v>83</v>
      </c>
      <c r="B155" s="1570" t="s">
        <v>915</v>
      </c>
      <c r="C155" s="617"/>
      <c r="D155" s="617"/>
      <c r="E155" s="617"/>
      <c r="F155" s="617"/>
      <c r="G155" s="617"/>
      <c r="H155" s="1790"/>
      <c r="I155" s="617"/>
      <c r="J155" s="617"/>
      <c r="K155" s="1774"/>
      <c r="L155" s="1790"/>
      <c r="M155" s="620"/>
      <c r="N155" s="620"/>
    </row>
    <row r="156" spans="1:14" s="621" customFormat="1" ht="15.75" customHeight="1" thickTop="1">
      <c r="A156" s="1771" t="s">
        <v>1917</v>
      </c>
      <c r="B156" s="1772"/>
      <c r="C156" s="617"/>
      <c r="D156" s="617"/>
      <c r="E156" s="617"/>
      <c r="F156" s="617"/>
      <c r="G156" s="617"/>
      <c r="H156" s="1791"/>
      <c r="I156" s="617"/>
      <c r="J156" s="617"/>
      <c r="K156" s="1773"/>
      <c r="L156" s="1791"/>
      <c r="M156" s="620"/>
      <c r="N156" s="620"/>
    </row>
    <row r="157" spans="1:14" s="621" customFormat="1" ht="12">
      <c r="A157" s="1775" t="s">
        <v>517</v>
      </c>
      <c r="B157" s="1776" t="s">
        <v>1916</v>
      </c>
      <c r="C157" s="617"/>
      <c r="D157" s="617"/>
      <c r="E157" s="617"/>
      <c r="F157" s="617"/>
      <c r="G157" s="617"/>
      <c r="H157" s="642"/>
      <c r="I157" s="617"/>
      <c r="J157" s="617"/>
      <c r="K157" s="1619">
        <f>H157</f>
        <v>0</v>
      </c>
      <c r="L157" s="467"/>
      <c r="M157" s="620"/>
      <c r="N157" s="620"/>
    </row>
    <row r="158" spans="1:14" s="621" customFormat="1" ht="12">
      <c r="A158" s="1775" t="s">
        <v>322</v>
      </c>
      <c r="B158" s="1776" t="s">
        <v>1918</v>
      </c>
      <c r="C158" s="617"/>
      <c r="D158" s="617"/>
      <c r="E158" s="617"/>
      <c r="F158" s="617"/>
      <c r="G158" s="617"/>
      <c r="H158" s="467"/>
      <c r="I158" s="617"/>
      <c r="J158" s="617"/>
      <c r="K158" s="1619">
        <f>H158</f>
        <v>0</v>
      </c>
      <c r="L158" s="467"/>
      <c r="M158" s="620"/>
      <c r="N158" s="620"/>
    </row>
    <row r="159" spans="1:14" s="621" customFormat="1" ht="12">
      <c r="A159" s="1775" t="s">
        <v>1919</v>
      </c>
      <c r="B159" s="1776" t="s">
        <v>579</v>
      </c>
      <c r="C159" s="617"/>
      <c r="D159" s="617"/>
      <c r="E159" s="617"/>
      <c r="F159" s="617"/>
      <c r="G159" s="617"/>
      <c r="H159" s="467"/>
      <c r="I159" s="617"/>
      <c r="J159" s="617"/>
      <c r="K159" s="1619">
        <f>H159</f>
        <v>0</v>
      </c>
      <c r="L159" s="467"/>
      <c r="M159" s="620"/>
      <c r="N159" s="620"/>
    </row>
    <row r="160" spans="1:14" s="621" customFormat="1" ht="15.75" customHeight="1" thickBot="1">
      <c r="A160" s="1777" t="s">
        <v>1920</v>
      </c>
      <c r="B160" s="1778" t="s">
        <v>915</v>
      </c>
      <c r="C160" s="617"/>
      <c r="D160" s="617"/>
      <c r="E160" s="617"/>
      <c r="F160" s="617"/>
      <c r="G160" s="617"/>
      <c r="H160" s="1636">
        <f>SUM(H157:H159)</f>
        <v>0</v>
      </c>
      <c r="I160" s="617"/>
      <c r="J160" s="617"/>
      <c r="K160" s="1618">
        <f>SUM(K157:K159)</f>
        <v>0</v>
      </c>
      <c r="L160" s="1636">
        <f>SUM(L157:L159)</f>
        <v>0</v>
      </c>
      <c r="M160" s="620"/>
      <c r="N160" s="620"/>
    </row>
    <row r="161" spans="1:14" s="259" customFormat="1" ht="15.75" customHeight="1" thickTop="1">
      <c r="A161" s="1564" t="s">
        <v>84</v>
      </c>
      <c r="B161" s="156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456" t="s">
        <v>89</v>
      </c>
      <c r="B163" s="615">
        <v>5110</v>
      </c>
      <c r="C163" s="617"/>
      <c r="D163" s="617"/>
      <c r="E163" s="617"/>
      <c r="F163" s="617"/>
      <c r="G163" s="617"/>
      <c r="H163" s="466"/>
      <c r="I163" s="617"/>
      <c r="J163" s="617"/>
      <c r="K163" s="1619">
        <f>SUM(C163:J163)</f>
        <v>0</v>
      </c>
      <c r="L163" s="466"/>
    </row>
    <row r="164" spans="1:14">
      <c r="A164" s="1456" t="s">
        <v>90</v>
      </c>
      <c r="B164" s="615">
        <v>5120</v>
      </c>
      <c r="C164" s="617"/>
      <c r="D164" s="617"/>
      <c r="E164" s="617"/>
      <c r="F164" s="617"/>
      <c r="G164" s="617"/>
      <c r="H164" s="466"/>
      <c r="I164" s="617"/>
      <c r="J164" s="617"/>
      <c r="K164" s="1619">
        <f>SUM(C164:J164)</f>
        <v>0</v>
      </c>
      <c r="L164" s="466"/>
    </row>
    <row r="165" spans="1:14" ht="12.95" customHeight="1">
      <c r="A165" s="1456" t="s">
        <v>1232</v>
      </c>
      <c r="B165" s="615" t="s">
        <v>638</v>
      </c>
      <c r="C165" s="617"/>
      <c r="D165" s="617"/>
      <c r="E165" s="617"/>
      <c r="F165" s="617"/>
      <c r="G165" s="617"/>
      <c r="H165" s="466"/>
      <c r="I165" s="617"/>
      <c r="J165" s="617"/>
      <c r="K165" s="1619">
        <f>SUM(C165:J165)</f>
        <v>0</v>
      </c>
      <c r="L165" s="466"/>
    </row>
    <row r="166" spans="1:14">
      <c r="A166" s="1456" t="s">
        <v>91</v>
      </c>
      <c r="B166" s="629" t="s">
        <v>610</v>
      </c>
      <c r="C166" s="617"/>
      <c r="D166" s="617"/>
      <c r="E166" s="617"/>
      <c r="F166" s="617"/>
      <c r="G166" s="617"/>
      <c r="H166" s="466"/>
      <c r="I166" s="617"/>
      <c r="J166" s="617"/>
      <c r="K166" s="1619">
        <f>SUM(C166:J166)</f>
        <v>0</v>
      </c>
      <c r="L166" s="466"/>
    </row>
    <row r="167" spans="1:14" ht="12.95" customHeight="1">
      <c r="A167" s="1456" t="s">
        <v>640</v>
      </c>
      <c r="B167" s="615" t="s">
        <v>639</v>
      </c>
      <c r="C167" s="617"/>
      <c r="D167" s="617"/>
      <c r="E167" s="617"/>
      <c r="F167" s="617"/>
      <c r="G167" s="617"/>
      <c r="H167" s="466"/>
      <c r="I167" s="617"/>
      <c r="J167" s="617"/>
      <c r="K167" s="1619">
        <f>SUM(C167:J167)</f>
        <v>0</v>
      </c>
      <c r="L167" s="466"/>
    </row>
    <row r="168" spans="1:14" ht="13.5" thickBot="1">
      <c r="A168" s="1616" t="s">
        <v>294</v>
      </c>
      <c r="B168" s="1623" t="s">
        <v>742</v>
      </c>
      <c r="C168" s="617"/>
      <c r="D168" s="617"/>
      <c r="E168" s="617"/>
      <c r="F168" s="617"/>
      <c r="G168" s="617"/>
      <c r="H168" s="1618">
        <f>SUM(H163:H167)</f>
        <v>0</v>
      </c>
      <c r="I168" s="617"/>
      <c r="J168" s="617"/>
      <c r="K168" s="1618">
        <f>SUM(K163:K167)</f>
        <v>0</v>
      </c>
      <c r="L168" s="1618">
        <f>SUM(L163:L167)</f>
        <v>0</v>
      </c>
    </row>
    <row r="169" spans="1:14" ht="15.75" customHeight="1" thickTop="1">
      <c r="A169" s="670" t="s">
        <v>85</v>
      </c>
      <c r="B169" s="671" t="s">
        <v>38</v>
      </c>
      <c r="C169" s="617"/>
      <c r="D169" s="617"/>
      <c r="E169" s="617"/>
      <c r="F169" s="617"/>
      <c r="G169" s="617"/>
      <c r="H169" s="657">
        <v>93522</v>
      </c>
      <c r="I169" s="617"/>
      <c r="J169" s="617"/>
      <c r="K169" s="1619">
        <f>SUM(C169:H169)</f>
        <v>93522</v>
      </c>
      <c r="L169" s="657">
        <v>93252</v>
      </c>
    </row>
    <row r="170" spans="1:14" ht="33.75" customHeight="1">
      <c r="A170" s="670" t="s">
        <v>1741</v>
      </c>
      <c r="B170" s="672" t="s">
        <v>31</v>
      </c>
      <c r="C170" s="617"/>
      <c r="D170" s="617"/>
      <c r="E170" s="617"/>
      <c r="F170" s="617"/>
      <c r="G170" s="617"/>
      <c r="H170" s="569">
        <v>365000</v>
      </c>
      <c r="I170" s="617"/>
      <c r="J170" s="617"/>
      <c r="K170" s="1619">
        <f>SUM(C170:J170)</f>
        <v>365000</v>
      </c>
      <c r="L170" s="569">
        <v>365000</v>
      </c>
    </row>
    <row r="171" spans="1:14" ht="15.75" customHeight="1">
      <c r="A171" s="622" t="s">
        <v>790</v>
      </c>
      <c r="B171" s="673" t="s">
        <v>86</v>
      </c>
      <c r="C171" s="617"/>
      <c r="D171" s="617"/>
      <c r="E171" s="466"/>
      <c r="F171" s="617"/>
      <c r="G171" s="617"/>
      <c r="H171" s="569"/>
      <c r="I171" s="477"/>
      <c r="J171" s="617"/>
      <c r="K171" s="1619">
        <f>SUM(C171:J171)</f>
        <v>0</v>
      </c>
      <c r="L171" s="569"/>
    </row>
    <row r="172" spans="1:14" ht="12.95" customHeight="1" thickBot="1">
      <c r="A172" s="1616" t="s">
        <v>659</v>
      </c>
      <c r="B172" s="1617" t="s">
        <v>513</v>
      </c>
      <c r="C172" s="617"/>
      <c r="D172" s="617"/>
      <c r="E172" s="1625">
        <f>SUM(E168,E169,E170,E171)</f>
        <v>0</v>
      </c>
      <c r="F172" s="617"/>
      <c r="G172" s="617"/>
      <c r="H172" s="1625">
        <f>SUM(H168,H169,H170,H171)</f>
        <v>458522</v>
      </c>
      <c r="I172" s="639"/>
      <c r="J172" s="617"/>
      <c r="K172" s="1625">
        <f>SUM(K168,K169,K170,K171)</f>
        <v>458522</v>
      </c>
      <c r="L172" s="1625">
        <f>SUM(L168,L169,L170,L171)</f>
        <v>458252</v>
      </c>
    </row>
    <row r="173" spans="1:14" ht="15.75" customHeight="1" thickTop="1" thickBot="1">
      <c r="A173" s="1571" t="s">
        <v>87</v>
      </c>
      <c r="B173" s="1563" t="s">
        <v>916</v>
      </c>
      <c r="C173" s="617"/>
      <c r="D173" s="617"/>
      <c r="E173" s="624"/>
      <c r="F173" s="617"/>
      <c r="G173" s="617"/>
      <c r="H173" s="627"/>
      <c r="I173" s="639"/>
      <c r="J173" s="617"/>
      <c r="K173" s="624"/>
      <c r="L173" s="576"/>
    </row>
    <row r="174" spans="1:14" ht="12.95" customHeight="1" thickTop="1" thickBot="1">
      <c r="A174" s="1637" t="s">
        <v>92</v>
      </c>
      <c r="B174" s="1638"/>
      <c r="C174" s="617"/>
      <c r="D174" s="617"/>
      <c r="E174" s="1625">
        <f>SUM(E155,E172,E173)</f>
        <v>0</v>
      </c>
      <c r="F174" s="617"/>
      <c r="G174" s="617"/>
      <c r="H174" s="1625">
        <f>SUM(H160,H172,H173)</f>
        <v>458522</v>
      </c>
      <c r="I174" s="639"/>
      <c r="J174" s="617"/>
      <c r="K174" s="1625">
        <f>SUM(K160,K172,K173)</f>
        <v>458522</v>
      </c>
      <c r="L174" s="1625">
        <f>SUM(L160,L172,L173)</f>
        <v>458252</v>
      </c>
    </row>
    <row r="175" spans="1:14" ht="13.5" thickTop="1">
      <c r="A175" s="2150" t="s">
        <v>1053</v>
      </c>
      <c r="B175" s="2151"/>
      <c r="C175" s="617"/>
      <c r="D175" s="617"/>
      <c r="E175" s="617"/>
      <c r="F175" s="617"/>
      <c r="G175" s="617"/>
      <c r="H175" s="619"/>
      <c r="I175" s="617"/>
      <c r="J175" s="617"/>
      <c r="K175" s="1632">
        <f>'Revenues 9-14'!E275-'Expenditures 15-22'!K174</f>
        <v>-313425</v>
      </c>
      <c r="L175" s="619"/>
    </row>
    <row r="176" spans="1:14" s="667" customFormat="1" ht="9.1999999999999993" customHeight="1">
      <c r="A176" s="664"/>
      <c r="B176" s="674"/>
      <c r="C176" s="651"/>
      <c r="D176" s="651"/>
      <c r="E176" s="651"/>
      <c r="F176" s="651"/>
      <c r="G176" s="651"/>
      <c r="H176" s="651"/>
      <c r="I176" s="651"/>
      <c r="J176" s="651"/>
      <c r="K176" s="651"/>
      <c r="L176" s="651"/>
      <c r="M176" s="666"/>
      <c r="N176" s="666"/>
    </row>
    <row r="177" spans="1:14" s="343" customFormat="1" ht="16.7" customHeight="1">
      <c r="A177" s="1506" t="s">
        <v>994</v>
      </c>
      <c r="B177" s="1507"/>
      <c r="C177" s="1503"/>
      <c r="D177" s="1504"/>
      <c r="E177" s="1504"/>
      <c r="F177" s="1504"/>
      <c r="G177" s="1504"/>
      <c r="H177" s="1504"/>
      <c r="I177" s="1504"/>
      <c r="J177" s="1504"/>
      <c r="K177" s="1504"/>
      <c r="L177" s="1505"/>
      <c r="M177" s="610"/>
      <c r="N177" s="610"/>
    </row>
    <row r="178" spans="1:14" s="675" customFormat="1" ht="15.75" customHeight="1">
      <c r="A178" s="1572" t="s">
        <v>995</v>
      </c>
      <c r="B178" s="157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95" customHeight="1">
      <c r="A180" s="1456" t="s">
        <v>167</v>
      </c>
      <c r="B180" s="615">
        <v>2190</v>
      </c>
      <c r="C180" s="466"/>
      <c r="D180" s="466"/>
      <c r="E180" s="466"/>
      <c r="F180" s="466"/>
      <c r="G180" s="466"/>
      <c r="H180" s="466"/>
      <c r="I180" s="467"/>
      <c r="J180" s="467"/>
      <c r="K180" s="1619">
        <f>SUM(C180:J180)</f>
        <v>0</v>
      </c>
      <c r="L180" s="466"/>
    </row>
    <row r="181" spans="1:14" ht="15.75" customHeight="1">
      <c r="A181" s="625" t="s">
        <v>633</v>
      </c>
      <c r="B181" s="677"/>
      <c r="C181" s="570"/>
      <c r="D181" s="570"/>
      <c r="E181" s="570"/>
      <c r="F181" s="570"/>
      <c r="G181" s="570"/>
      <c r="H181" s="570"/>
      <c r="I181" s="468"/>
      <c r="J181" s="468"/>
      <c r="K181" s="570"/>
      <c r="L181" s="570"/>
    </row>
    <row r="182" spans="1:14" ht="12.95" customHeight="1">
      <c r="A182" s="1456" t="s">
        <v>1010</v>
      </c>
      <c r="B182" s="615">
        <v>2550</v>
      </c>
      <c r="C182" s="466">
        <v>13749</v>
      </c>
      <c r="D182" s="466">
        <v>800</v>
      </c>
      <c r="E182" s="466">
        <v>487421</v>
      </c>
      <c r="F182" s="466"/>
      <c r="G182" s="466"/>
      <c r="H182" s="466"/>
      <c r="I182" s="467"/>
      <c r="J182" s="467"/>
      <c r="K182" s="1619">
        <f>SUM(C182:J182)</f>
        <v>501970</v>
      </c>
      <c r="L182" s="466">
        <v>509823</v>
      </c>
    </row>
    <row r="183" spans="1:14" ht="12.95" customHeight="1" thickBot="1">
      <c r="A183" s="1461" t="s">
        <v>1037</v>
      </c>
      <c r="B183" s="678">
        <v>2900</v>
      </c>
      <c r="C183" s="573">
        <v>5104</v>
      </c>
      <c r="D183" s="573"/>
      <c r="E183" s="573"/>
      <c r="F183" s="573"/>
      <c r="G183" s="573"/>
      <c r="H183" s="573"/>
      <c r="I183" s="532"/>
      <c r="J183" s="532"/>
      <c r="K183" s="1625">
        <f>SUM(C183:J183)</f>
        <v>5104</v>
      </c>
      <c r="L183" s="573"/>
    </row>
    <row r="184" spans="1:14" ht="12.95" customHeight="1" thickTop="1" thickBot="1">
      <c r="A184" s="1639" t="s">
        <v>865</v>
      </c>
      <c r="B184" s="1617" t="s">
        <v>590</v>
      </c>
      <c r="C184" s="1625">
        <f>SUM(C180,C182,C183)</f>
        <v>18853</v>
      </c>
      <c r="D184" s="1625">
        <f t="shared" ref="D184:J184" si="17">SUM(D180,D182,D183)</f>
        <v>800</v>
      </c>
      <c r="E184" s="1625">
        <f t="shared" si="17"/>
        <v>487421</v>
      </c>
      <c r="F184" s="1625">
        <f t="shared" si="17"/>
        <v>0</v>
      </c>
      <c r="G184" s="1625">
        <f t="shared" si="17"/>
        <v>0</v>
      </c>
      <c r="H184" s="1625">
        <f t="shared" si="17"/>
        <v>0</v>
      </c>
      <c r="I184" s="1625">
        <f t="shared" si="17"/>
        <v>0</v>
      </c>
      <c r="J184" s="1625">
        <f t="shared" si="17"/>
        <v>0</v>
      </c>
      <c r="K184" s="1625">
        <f>SUM(K180,K182,K183)</f>
        <v>507074</v>
      </c>
      <c r="L184" s="1625">
        <f>SUM(L180, L182:L183)</f>
        <v>509823</v>
      </c>
    </row>
    <row r="185" spans="1:14" ht="15.75" customHeight="1" thickTop="1" thickBot="1">
      <c r="A185" s="1574" t="s">
        <v>996</v>
      </c>
      <c r="B185" s="1563">
        <v>3000</v>
      </c>
      <c r="C185" s="576"/>
      <c r="D185" s="576"/>
      <c r="E185" s="576"/>
      <c r="F185" s="576"/>
      <c r="G185" s="576"/>
      <c r="H185" s="576"/>
      <c r="I185" s="531"/>
      <c r="J185" s="531"/>
      <c r="K185" s="1618">
        <f>SUM(C185:J185)</f>
        <v>0</v>
      </c>
      <c r="L185" s="576"/>
    </row>
    <row r="186" spans="1:14" s="675" customFormat="1" ht="15.75" customHeight="1" thickTop="1">
      <c r="A186" s="1558" t="s">
        <v>93</v>
      </c>
      <c r="B186" s="156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456" t="s">
        <v>517</v>
      </c>
      <c r="B188" s="615">
        <v>4110</v>
      </c>
      <c r="C188" s="617"/>
      <c r="D188" s="617"/>
      <c r="E188" s="466"/>
      <c r="F188" s="617"/>
      <c r="G188" s="617"/>
      <c r="H188" s="466"/>
      <c r="I188" s="477"/>
      <c r="J188" s="617"/>
      <c r="K188" s="1619">
        <f t="shared" ref="K188:K193" si="18">SUM(E188,H188)</f>
        <v>0</v>
      </c>
      <c r="L188" s="466"/>
    </row>
    <row r="189" spans="1:14">
      <c r="A189" s="1456" t="s">
        <v>322</v>
      </c>
      <c r="B189" s="615">
        <v>4120</v>
      </c>
      <c r="C189" s="617"/>
      <c r="D189" s="617"/>
      <c r="E189" s="466"/>
      <c r="F189" s="617"/>
      <c r="G189" s="617"/>
      <c r="H189" s="466"/>
      <c r="I189" s="477"/>
      <c r="J189" s="617"/>
      <c r="K189" s="1619">
        <f t="shared" si="18"/>
        <v>0</v>
      </c>
      <c r="L189" s="466"/>
    </row>
    <row r="190" spans="1:14">
      <c r="A190" s="1456" t="s">
        <v>323</v>
      </c>
      <c r="B190" s="629">
        <v>4130</v>
      </c>
      <c r="C190" s="617"/>
      <c r="D190" s="617"/>
      <c r="E190" s="466"/>
      <c r="F190" s="617"/>
      <c r="G190" s="617"/>
      <c r="H190" s="466"/>
      <c r="I190" s="477"/>
      <c r="J190" s="617"/>
      <c r="K190" s="1619">
        <f t="shared" si="18"/>
        <v>0</v>
      </c>
      <c r="L190" s="466"/>
    </row>
    <row r="191" spans="1:14">
      <c r="A191" s="1456" t="s">
        <v>721</v>
      </c>
      <c r="B191" s="615">
        <v>4140</v>
      </c>
      <c r="C191" s="617"/>
      <c r="D191" s="617"/>
      <c r="E191" s="466"/>
      <c r="F191" s="617"/>
      <c r="G191" s="617"/>
      <c r="H191" s="466"/>
      <c r="I191" s="477"/>
      <c r="J191" s="617"/>
      <c r="K191" s="1619">
        <f t="shared" si="18"/>
        <v>0</v>
      </c>
      <c r="L191" s="466"/>
    </row>
    <row r="192" spans="1:14">
      <c r="A192" s="1456" t="s">
        <v>88</v>
      </c>
      <c r="B192" s="615">
        <v>4170</v>
      </c>
      <c r="C192" s="617"/>
      <c r="D192" s="617"/>
      <c r="E192" s="466"/>
      <c r="F192" s="617"/>
      <c r="G192" s="617"/>
      <c r="H192" s="466"/>
      <c r="I192" s="477"/>
      <c r="J192" s="617"/>
      <c r="K192" s="1619">
        <f t="shared" si="18"/>
        <v>0</v>
      </c>
      <c r="L192" s="466"/>
    </row>
    <row r="193" spans="1:14">
      <c r="A193" s="1460" t="s">
        <v>722</v>
      </c>
      <c r="B193" s="629">
        <v>4190</v>
      </c>
      <c r="C193" s="617"/>
      <c r="D193" s="617"/>
      <c r="E193" s="466"/>
      <c r="F193" s="617"/>
      <c r="G193" s="617"/>
      <c r="H193" s="466"/>
      <c r="I193" s="477"/>
      <c r="J193" s="617"/>
      <c r="K193" s="1619">
        <f t="shared" si="18"/>
        <v>0</v>
      </c>
      <c r="L193" s="466"/>
    </row>
    <row r="194" spans="1:14" ht="12.95" customHeight="1" thickBot="1">
      <c r="A194" s="1616" t="s">
        <v>1202</v>
      </c>
      <c r="B194" s="1617" t="s">
        <v>580</v>
      </c>
      <c r="C194" s="617"/>
      <c r="D194" s="617"/>
      <c r="E194" s="1618">
        <f>SUM(E188:E193)</f>
        <v>0</v>
      </c>
      <c r="F194" s="617"/>
      <c r="G194" s="617"/>
      <c r="H194" s="1618">
        <f>SUM(H188:H193)</f>
        <v>0</v>
      </c>
      <c r="I194" s="477"/>
      <c r="J194" s="617"/>
      <c r="K194" s="1618">
        <f>SUM(K188:K193)</f>
        <v>0</v>
      </c>
      <c r="L194" s="1618">
        <f>SUM(L188:L193)</f>
        <v>0</v>
      </c>
    </row>
    <row r="195" spans="1:14" ht="15.75" customHeight="1" thickTop="1">
      <c r="A195" s="670" t="s">
        <v>94</v>
      </c>
      <c r="B195" s="679" t="s">
        <v>988</v>
      </c>
      <c r="C195" s="617"/>
      <c r="D195" s="617"/>
      <c r="E195" s="657"/>
      <c r="F195" s="617"/>
      <c r="G195" s="617"/>
      <c r="H195" s="657"/>
      <c r="I195" s="477"/>
      <c r="J195" s="617"/>
      <c r="K195" s="1633">
        <f>SUM(E195,H195)</f>
        <v>0</v>
      </c>
      <c r="L195" s="657"/>
    </row>
    <row r="196" spans="1:14" ht="12.95" customHeight="1" thickBot="1">
      <c r="A196" s="1616" t="s">
        <v>1546</v>
      </c>
      <c r="B196" s="1617" t="s">
        <v>915</v>
      </c>
      <c r="C196" s="617"/>
      <c r="D196" s="617"/>
      <c r="E196" s="1625">
        <f>SUM(E194,E195)</f>
        <v>0</v>
      </c>
      <c r="F196" s="617"/>
      <c r="G196" s="617"/>
      <c r="H196" s="1625">
        <f>SUM(H194,H195)</f>
        <v>0</v>
      </c>
      <c r="I196" s="477"/>
      <c r="J196" s="617"/>
      <c r="K196" s="1625">
        <f>SUM(K194,K195)</f>
        <v>0</v>
      </c>
      <c r="L196" s="1625">
        <f>SUM(L194,L195)</f>
        <v>0</v>
      </c>
    </row>
    <row r="197" spans="1:14" s="675" customFormat="1" ht="15.75" customHeight="1" thickTop="1">
      <c r="A197" s="1564" t="s">
        <v>997</v>
      </c>
      <c r="B197" s="156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456" t="s">
        <v>89</v>
      </c>
      <c r="B199" s="615">
        <v>5110</v>
      </c>
      <c r="C199" s="617"/>
      <c r="D199" s="617"/>
      <c r="E199" s="617"/>
      <c r="F199" s="617"/>
      <c r="G199" s="617"/>
      <c r="H199" s="466"/>
      <c r="I199" s="617"/>
      <c r="J199" s="617"/>
      <c r="K199" s="1619">
        <f>SUM(H199)</f>
        <v>0</v>
      </c>
      <c r="L199" s="466"/>
    </row>
    <row r="200" spans="1:14">
      <c r="A200" s="1456" t="s">
        <v>90</v>
      </c>
      <c r="B200" s="615">
        <v>5120</v>
      </c>
      <c r="C200" s="617"/>
      <c r="D200" s="617"/>
      <c r="E200" s="617"/>
      <c r="F200" s="617"/>
      <c r="G200" s="617"/>
      <c r="H200" s="466"/>
      <c r="I200" s="617"/>
      <c r="J200" s="617"/>
      <c r="K200" s="1619">
        <f>SUM(H200)</f>
        <v>0</v>
      </c>
      <c r="L200" s="466"/>
    </row>
    <row r="201" spans="1:14" ht="12.95" customHeight="1">
      <c r="A201" s="1456" t="s">
        <v>1232</v>
      </c>
      <c r="B201" s="629" t="s">
        <v>638</v>
      </c>
      <c r="C201" s="617"/>
      <c r="D201" s="617"/>
      <c r="E201" s="617"/>
      <c r="F201" s="617"/>
      <c r="G201" s="617"/>
      <c r="H201" s="466"/>
      <c r="I201" s="617"/>
      <c r="J201" s="617"/>
      <c r="K201" s="1619">
        <f>SUM(H201)</f>
        <v>0</v>
      </c>
      <c r="L201" s="466"/>
    </row>
    <row r="202" spans="1:14">
      <c r="A202" s="1456" t="s">
        <v>91</v>
      </c>
      <c r="B202" s="615" t="s">
        <v>610</v>
      </c>
      <c r="C202" s="617"/>
      <c r="D202" s="617"/>
      <c r="E202" s="617"/>
      <c r="F202" s="617"/>
      <c r="G202" s="617"/>
      <c r="H202" s="466"/>
      <c r="I202" s="617"/>
      <c r="J202" s="617"/>
      <c r="K202" s="1619">
        <f>SUM(H202)</f>
        <v>0</v>
      </c>
      <c r="L202" s="466"/>
    </row>
    <row r="203" spans="1:14">
      <c r="A203" s="1468" t="s">
        <v>640</v>
      </c>
      <c r="B203" s="615" t="s">
        <v>639</v>
      </c>
      <c r="C203" s="617"/>
      <c r="D203" s="617"/>
      <c r="E203" s="617"/>
      <c r="F203" s="617"/>
      <c r="G203" s="617"/>
      <c r="H203" s="471"/>
      <c r="I203" s="617"/>
      <c r="J203" s="617"/>
      <c r="K203" s="1619">
        <f>SUM(H203)</f>
        <v>0</v>
      </c>
      <c r="L203" s="471"/>
    </row>
    <row r="204" spans="1:14" ht="13.5" thickBot="1">
      <c r="A204" s="1616" t="s">
        <v>294</v>
      </c>
      <c r="B204" s="1617" t="s">
        <v>742</v>
      </c>
      <c r="C204" s="617"/>
      <c r="D204" s="617"/>
      <c r="E204" s="617"/>
      <c r="F204" s="617"/>
      <c r="G204" s="617"/>
      <c r="H204" s="1618">
        <f>SUM(H199:H203)</f>
        <v>0</v>
      </c>
      <c r="I204" s="617"/>
      <c r="J204" s="617"/>
      <c r="K204" s="1618">
        <f>SUM(K199:K203)</f>
        <v>0</v>
      </c>
      <c r="L204" s="1618">
        <f>SUM(L199:L203)</f>
        <v>0</v>
      </c>
    </row>
    <row r="205" spans="1:14" ht="15.75" customHeight="1" thickTop="1">
      <c r="A205" s="680" t="s">
        <v>85</v>
      </c>
      <c r="B205" s="681" t="s">
        <v>38</v>
      </c>
      <c r="C205" s="617"/>
      <c r="D205" s="617"/>
      <c r="E205" s="617"/>
      <c r="F205" s="617"/>
      <c r="G205" s="617"/>
      <c r="H205" s="535"/>
      <c r="I205" s="617"/>
      <c r="J205" s="617"/>
      <c r="K205" s="1633">
        <f>SUM(H205)</f>
        <v>0</v>
      </c>
      <c r="L205" s="535"/>
    </row>
    <row r="206" spans="1:14" ht="30" customHeight="1">
      <c r="A206" s="682" t="s">
        <v>1742</v>
      </c>
      <c r="B206" s="673" t="s">
        <v>31</v>
      </c>
      <c r="C206" s="617"/>
      <c r="D206" s="617"/>
      <c r="E206" s="617"/>
      <c r="F206" s="617"/>
      <c r="G206" s="617"/>
      <c r="H206" s="466"/>
      <c r="I206" s="617"/>
      <c r="J206" s="617"/>
      <c r="K206" s="1619">
        <f>SUM(H206)</f>
        <v>0</v>
      </c>
      <c r="L206" s="466"/>
    </row>
    <row r="207" spans="1:14" ht="15.75" customHeight="1">
      <c r="A207" s="622" t="s">
        <v>790</v>
      </c>
      <c r="B207" s="673" t="s">
        <v>86</v>
      </c>
      <c r="C207" s="617"/>
      <c r="D207" s="617"/>
      <c r="E207" s="617"/>
      <c r="F207" s="617"/>
      <c r="G207" s="617"/>
      <c r="H207" s="467"/>
      <c r="I207" s="617"/>
      <c r="J207" s="617"/>
      <c r="K207" s="1619">
        <f>H207</f>
        <v>0</v>
      </c>
      <c r="L207" s="466"/>
    </row>
    <row r="208" spans="1:14" ht="12.95" customHeight="1" thickBot="1">
      <c r="A208" s="1634" t="s">
        <v>659</v>
      </c>
      <c r="B208" s="1635" t="s">
        <v>513</v>
      </c>
      <c r="C208" s="617"/>
      <c r="D208" s="617"/>
      <c r="E208" s="617"/>
      <c r="F208" s="617"/>
      <c r="G208" s="617"/>
      <c r="H208" s="1625">
        <f>SUM(H204,H205,H206,H207)</f>
        <v>0</v>
      </c>
      <c r="I208" s="617"/>
      <c r="J208" s="617"/>
      <c r="K208" s="1625">
        <f>SUM(K204,K205,K206,K207)</f>
        <v>0</v>
      </c>
      <c r="L208" s="1625">
        <f>SUM(L204,L205,L206,L207)</f>
        <v>0</v>
      </c>
    </row>
    <row r="209" spans="1:14" ht="15.75" customHeight="1" thickTop="1" thickBot="1">
      <c r="A209" s="1558" t="s">
        <v>927</v>
      </c>
      <c r="B209" s="1565" t="s">
        <v>916</v>
      </c>
      <c r="C209" s="624"/>
      <c r="D209" s="624"/>
      <c r="E209" s="624"/>
      <c r="F209" s="624"/>
      <c r="G209" s="624"/>
      <c r="H209" s="624"/>
      <c r="I209" s="617"/>
      <c r="J209" s="617"/>
      <c r="K209" s="624"/>
      <c r="L209" s="576"/>
    </row>
    <row r="210" spans="1:14" ht="12.95" customHeight="1" thickTop="1" thickBot="1">
      <c r="A210" s="1640" t="s">
        <v>295</v>
      </c>
      <c r="B210" s="1641"/>
      <c r="C210" s="1618">
        <f>SUM(C184,C185)</f>
        <v>18853</v>
      </c>
      <c r="D210" s="1618">
        <f>SUM(D184,D185)</f>
        <v>800</v>
      </c>
      <c r="E210" s="1618">
        <f>SUM(E184,E185,E196)</f>
        <v>487421</v>
      </c>
      <c r="F210" s="1618">
        <f>SUM(F184,F185)</f>
        <v>0</v>
      </c>
      <c r="G210" s="1618">
        <f>SUM(G184,G185)</f>
        <v>0</v>
      </c>
      <c r="H210" s="1618">
        <f>SUM(H184,H185,H196,H208,H209)</f>
        <v>0</v>
      </c>
      <c r="I210" s="1618">
        <f>SUM(I184,I185)</f>
        <v>0</v>
      </c>
      <c r="J210" s="1618">
        <f>SUM(J184,J185)</f>
        <v>0</v>
      </c>
      <c r="K210" s="1619">
        <f>SUM(K184,K185,K196,K208,K209)</f>
        <v>507074</v>
      </c>
      <c r="L210" s="1618">
        <f>SUM(L184,L185,L196,L208,L209)</f>
        <v>509823</v>
      </c>
    </row>
    <row r="211" spans="1:14" ht="13.5" thickTop="1">
      <c r="A211" s="2150" t="s">
        <v>1053</v>
      </c>
      <c r="B211" s="2151"/>
      <c r="C211" s="619"/>
      <c r="D211" s="619"/>
      <c r="E211" s="619"/>
      <c r="F211" s="619"/>
      <c r="G211" s="619"/>
      <c r="H211" s="619"/>
      <c r="I211" s="617"/>
      <c r="J211" s="617"/>
      <c r="K211" s="1632">
        <f>'Revenues 9-14'!F275-'Expenditures 15-22'!K210</f>
        <v>141506</v>
      </c>
      <c r="L211" s="619"/>
    </row>
    <row r="212" spans="1:14" s="667" customFormat="1" ht="9.1999999999999993" customHeight="1">
      <c r="A212" s="664"/>
      <c r="B212" s="674"/>
      <c r="C212" s="651"/>
      <c r="D212" s="651"/>
      <c r="E212" s="651"/>
      <c r="F212" s="651"/>
      <c r="G212" s="651"/>
      <c r="H212" s="651"/>
      <c r="I212" s="651"/>
      <c r="J212" s="651"/>
      <c r="K212" s="651"/>
      <c r="L212" s="651"/>
      <c r="M212" s="666"/>
      <c r="N212" s="666"/>
    </row>
    <row r="213" spans="1:14" s="343" customFormat="1" ht="16.7" customHeight="1">
      <c r="A213" s="2172" t="s">
        <v>1022</v>
      </c>
      <c r="B213" s="2173"/>
      <c r="C213" s="1503"/>
      <c r="D213" s="1504"/>
      <c r="E213" s="1504"/>
      <c r="F213" s="1504"/>
      <c r="G213" s="1504"/>
      <c r="H213" s="1504"/>
      <c r="I213" s="1504"/>
      <c r="J213" s="1504"/>
      <c r="K213" s="1504"/>
      <c r="L213" s="1505"/>
      <c r="M213" s="610"/>
      <c r="N213" s="610"/>
    </row>
    <row r="214" spans="1:14" s="675" customFormat="1" ht="15.75" customHeight="1">
      <c r="A214" s="1575" t="s">
        <v>928</v>
      </c>
      <c r="B214" s="1567" t="s">
        <v>591</v>
      </c>
      <c r="C214" s="617"/>
      <c r="D214" s="624"/>
      <c r="E214" s="617"/>
      <c r="F214" s="617"/>
      <c r="G214" s="617"/>
      <c r="H214" s="617"/>
      <c r="I214" s="617"/>
      <c r="J214" s="617"/>
      <c r="K214" s="624"/>
      <c r="L214" s="624"/>
      <c r="M214" s="666"/>
      <c r="N214" s="666"/>
    </row>
    <row r="215" spans="1:14">
      <c r="A215" s="1456" t="s">
        <v>1018</v>
      </c>
      <c r="B215" s="615">
        <v>1100</v>
      </c>
      <c r="C215" s="617"/>
      <c r="D215" s="466">
        <v>40199</v>
      </c>
      <c r="E215" s="617"/>
      <c r="F215" s="617"/>
      <c r="G215" s="617"/>
      <c r="H215" s="617"/>
      <c r="I215" s="617"/>
      <c r="J215" s="617"/>
      <c r="K215" s="1619">
        <f>D215</f>
        <v>40199</v>
      </c>
      <c r="L215" s="466">
        <v>39848</v>
      </c>
    </row>
    <row r="216" spans="1:14">
      <c r="A216" s="1456" t="s">
        <v>165</v>
      </c>
      <c r="B216" s="615" t="s">
        <v>1024</v>
      </c>
      <c r="C216" s="617"/>
      <c r="D216" s="467">
        <v>9939</v>
      </c>
      <c r="E216" s="617"/>
      <c r="F216" s="617"/>
      <c r="G216" s="617"/>
      <c r="H216" s="617"/>
      <c r="I216" s="617"/>
      <c r="J216" s="617"/>
      <c r="K216" s="1619">
        <f t="shared" ref="K216:K228" si="19">D216</f>
        <v>9939</v>
      </c>
      <c r="L216" s="466">
        <v>9107</v>
      </c>
    </row>
    <row r="217" spans="1:14">
      <c r="A217" s="1456" t="s">
        <v>166</v>
      </c>
      <c r="B217" s="615">
        <v>1200</v>
      </c>
      <c r="C217" s="617"/>
      <c r="D217" s="466">
        <v>48989</v>
      </c>
      <c r="E217" s="617"/>
      <c r="F217" s="617"/>
      <c r="G217" s="617"/>
      <c r="H217" s="617"/>
      <c r="I217" s="617"/>
      <c r="J217" s="617"/>
      <c r="K217" s="1619">
        <f t="shared" si="19"/>
        <v>48989</v>
      </c>
      <c r="L217" s="466">
        <v>43055</v>
      </c>
    </row>
    <row r="218" spans="1:14">
      <c r="A218" s="1456" t="s">
        <v>296</v>
      </c>
      <c r="B218" s="615" t="s">
        <v>1025</v>
      </c>
      <c r="C218" s="617"/>
      <c r="D218" s="467"/>
      <c r="E218" s="617"/>
      <c r="F218" s="617"/>
      <c r="G218" s="617"/>
      <c r="H218" s="617"/>
      <c r="I218" s="617"/>
      <c r="J218" s="617"/>
      <c r="K218" s="1619">
        <f t="shared" si="19"/>
        <v>0</v>
      </c>
      <c r="L218" s="466"/>
    </row>
    <row r="219" spans="1:14">
      <c r="A219" s="1456" t="s">
        <v>297</v>
      </c>
      <c r="B219" s="615">
        <v>1250</v>
      </c>
      <c r="C219" s="617"/>
      <c r="D219" s="466">
        <v>36299</v>
      </c>
      <c r="E219" s="617"/>
      <c r="F219" s="617"/>
      <c r="G219" s="617"/>
      <c r="H219" s="617"/>
      <c r="I219" s="617"/>
      <c r="J219" s="617"/>
      <c r="K219" s="1619">
        <f t="shared" si="19"/>
        <v>36299</v>
      </c>
      <c r="L219" s="466">
        <v>35394</v>
      </c>
    </row>
    <row r="220" spans="1:14">
      <c r="A220" s="1456" t="s">
        <v>298</v>
      </c>
      <c r="B220" s="615" t="s">
        <v>163</v>
      </c>
      <c r="C220" s="617"/>
      <c r="D220" s="467"/>
      <c r="E220" s="617"/>
      <c r="F220" s="617"/>
      <c r="G220" s="617"/>
      <c r="H220" s="617"/>
      <c r="I220" s="617"/>
      <c r="J220" s="617"/>
      <c r="K220" s="1619">
        <f t="shared" si="19"/>
        <v>0</v>
      </c>
      <c r="L220" s="466"/>
    </row>
    <row r="221" spans="1:14">
      <c r="A221" s="1456" t="s">
        <v>1019</v>
      </c>
      <c r="B221" s="615">
        <v>1300</v>
      </c>
      <c r="C221" s="617"/>
      <c r="D221" s="466"/>
      <c r="E221" s="617"/>
      <c r="F221" s="617"/>
      <c r="G221" s="617"/>
      <c r="H221" s="617"/>
      <c r="I221" s="617"/>
      <c r="J221" s="617"/>
      <c r="K221" s="1619">
        <f t="shared" si="19"/>
        <v>0</v>
      </c>
      <c r="L221" s="466"/>
    </row>
    <row r="222" spans="1:14">
      <c r="A222" s="1456" t="s">
        <v>747</v>
      </c>
      <c r="B222" s="615">
        <v>1400</v>
      </c>
      <c r="C222" s="617"/>
      <c r="D222" s="466"/>
      <c r="E222" s="617"/>
      <c r="F222" s="617"/>
      <c r="G222" s="617"/>
      <c r="H222" s="617"/>
      <c r="I222" s="617"/>
      <c r="J222" s="617"/>
      <c r="K222" s="1619">
        <f t="shared" si="19"/>
        <v>0</v>
      </c>
      <c r="L222" s="466"/>
    </row>
    <row r="223" spans="1:14">
      <c r="A223" s="1456" t="s">
        <v>1020</v>
      </c>
      <c r="B223" s="615">
        <v>1500</v>
      </c>
      <c r="C223" s="617"/>
      <c r="D223" s="466">
        <v>2419</v>
      </c>
      <c r="E223" s="617"/>
      <c r="F223" s="617"/>
      <c r="G223" s="617"/>
      <c r="H223" s="617"/>
      <c r="I223" s="617"/>
      <c r="J223" s="617"/>
      <c r="K223" s="1619">
        <f t="shared" si="19"/>
        <v>2419</v>
      </c>
      <c r="L223" s="466">
        <v>748</v>
      </c>
    </row>
    <row r="224" spans="1:14">
      <c r="A224" s="1456" t="s">
        <v>1021</v>
      </c>
      <c r="B224" s="615">
        <v>1600</v>
      </c>
      <c r="C224" s="617"/>
      <c r="D224" s="466"/>
      <c r="E224" s="617"/>
      <c r="F224" s="617"/>
      <c r="G224" s="617"/>
      <c r="H224" s="617"/>
      <c r="I224" s="617"/>
      <c r="J224" s="617"/>
      <c r="K224" s="1619">
        <f t="shared" si="19"/>
        <v>0</v>
      </c>
      <c r="L224" s="466"/>
    </row>
    <row r="225" spans="1:12">
      <c r="A225" s="1456" t="s">
        <v>1044</v>
      </c>
      <c r="B225" s="615">
        <v>1650</v>
      </c>
      <c r="C225" s="617"/>
      <c r="D225" s="466"/>
      <c r="E225" s="617"/>
      <c r="F225" s="617"/>
      <c r="G225" s="617"/>
      <c r="H225" s="617"/>
      <c r="I225" s="617"/>
      <c r="J225" s="617"/>
      <c r="K225" s="1619">
        <f t="shared" si="19"/>
        <v>0</v>
      </c>
      <c r="L225" s="466"/>
    </row>
    <row r="226" spans="1:12">
      <c r="A226" s="1456" t="s">
        <v>748</v>
      </c>
      <c r="B226" s="615" t="s">
        <v>164</v>
      </c>
      <c r="C226" s="617"/>
      <c r="D226" s="467"/>
      <c r="E226" s="617"/>
      <c r="F226" s="617"/>
      <c r="G226" s="617"/>
      <c r="H226" s="617"/>
      <c r="I226" s="617"/>
      <c r="J226" s="617"/>
      <c r="K226" s="1619">
        <f t="shared" si="19"/>
        <v>0</v>
      </c>
      <c r="L226" s="466"/>
    </row>
    <row r="227" spans="1:12">
      <c r="A227" s="1456" t="s">
        <v>1148</v>
      </c>
      <c r="B227" s="615">
        <v>1800</v>
      </c>
      <c r="C227" s="617"/>
      <c r="D227" s="466">
        <v>979</v>
      </c>
      <c r="E227" s="617"/>
      <c r="F227" s="617"/>
      <c r="G227" s="617"/>
      <c r="H227" s="617"/>
      <c r="I227" s="617"/>
      <c r="J227" s="617"/>
      <c r="K227" s="1619">
        <f t="shared" si="19"/>
        <v>979</v>
      </c>
      <c r="L227" s="466">
        <v>766</v>
      </c>
    </row>
    <row r="228" spans="1:12">
      <c r="A228" s="1456" t="s">
        <v>1149</v>
      </c>
      <c r="B228" s="615">
        <v>1900</v>
      </c>
      <c r="C228" s="617"/>
      <c r="D228" s="466"/>
      <c r="E228" s="617"/>
      <c r="F228" s="617"/>
      <c r="G228" s="617"/>
      <c r="H228" s="617"/>
      <c r="I228" s="617"/>
      <c r="J228" s="617"/>
      <c r="K228" s="1619">
        <f t="shared" si="19"/>
        <v>0</v>
      </c>
      <c r="L228" s="466"/>
    </row>
    <row r="229" spans="1:12" ht="12.95" customHeight="1" thickBot="1">
      <c r="A229" s="1616" t="s">
        <v>739</v>
      </c>
      <c r="B229" s="1623" t="s">
        <v>591</v>
      </c>
      <c r="C229" s="617"/>
      <c r="D229" s="1618">
        <f>SUM(D215:D228)</f>
        <v>138824</v>
      </c>
      <c r="E229" s="617"/>
      <c r="F229" s="617"/>
      <c r="G229" s="617"/>
      <c r="H229" s="617"/>
      <c r="I229" s="617"/>
      <c r="J229" s="617"/>
      <c r="K229" s="1618">
        <f>SUM(K215:K228)</f>
        <v>138824</v>
      </c>
      <c r="L229" s="1618">
        <f>SUM(L215:L228)</f>
        <v>128918</v>
      </c>
    </row>
    <row r="230" spans="1:12" ht="15.75" customHeight="1" thickTop="1">
      <c r="A230" s="1564" t="s">
        <v>929</v>
      </c>
      <c r="B230" s="156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456" t="s">
        <v>1150</v>
      </c>
      <c r="B232" s="615">
        <v>2110</v>
      </c>
      <c r="C232" s="617"/>
      <c r="D232" s="466">
        <v>1039</v>
      </c>
      <c r="E232" s="617"/>
      <c r="F232" s="617"/>
      <c r="G232" s="617"/>
      <c r="H232" s="617"/>
      <c r="I232" s="617"/>
      <c r="J232" s="617"/>
      <c r="K232" s="1619">
        <f t="shared" ref="K232:K237" si="20">D232</f>
        <v>1039</v>
      </c>
      <c r="L232" s="466"/>
    </row>
    <row r="233" spans="1:12">
      <c r="A233" s="1456" t="s">
        <v>1151</v>
      </c>
      <c r="B233" s="615">
        <v>2120</v>
      </c>
      <c r="C233" s="617"/>
      <c r="D233" s="466">
        <v>1370</v>
      </c>
      <c r="E233" s="617"/>
      <c r="F233" s="617"/>
      <c r="G233" s="617"/>
      <c r="H233" s="617"/>
      <c r="I233" s="617"/>
      <c r="J233" s="617"/>
      <c r="K233" s="1619">
        <f t="shared" si="20"/>
        <v>1370</v>
      </c>
      <c r="L233" s="466">
        <v>2436</v>
      </c>
    </row>
    <row r="234" spans="1:12">
      <c r="A234" s="1456" t="s">
        <v>207</v>
      </c>
      <c r="B234" s="615">
        <v>2130</v>
      </c>
      <c r="C234" s="617"/>
      <c r="D234" s="466">
        <v>13700</v>
      </c>
      <c r="E234" s="617"/>
      <c r="F234" s="617"/>
      <c r="G234" s="617"/>
      <c r="H234" s="617"/>
      <c r="I234" s="617"/>
      <c r="J234" s="617"/>
      <c r="K234" s="1619">
        <f t="shared" si="20"/>
        <v>13700</v>
      </c>
      <c r="L234" s="466">
        <v>14648</v>
      </c>
    </row>
    <row r="235" spans="1:12">
      <c r="A235" s="1456" t="s">
        <v>208</v>
      </c>
      <c r="B235" s="615">
        <v>2140</v>
      </c>
      <c r="C235" s="617"/>
      <c r="D235" s="466"/>
      <c r="E235" s="617"/>
      <c r="F235" s="617"/>
      <c r="G235" s="617"/>
      <c r="H235" s="617"/>
      <c r="I235" s="617"/>
      <c r="J235" s="617"/>
      <c r="K235" s="1619">
        <f t="shared" si="20"/>
        <v>0</v>
      </c>
      <c r="L235" s="466"/>
    </row>
    <row r="236" spans="1:12">
      <c r="A236" s="1456" t="s">
        <v>209</v>
      </c>
      <c r="B236" s="615">
        <v>2150</v>
      </c>
      <c r="C236" s="617"/>
      <c r="D236" s="466">
        <v>2309</v>
      </c>
      <c r="E236" s="617"/>
      <c r="F236" s="617"/>
      <c r="G236" s="617"/>
      <c r="H236" s="617"/>
      <c r="I236" s="617"/>
      <c r="J236" s="617"/>
      <c r="K236" s="1619">
        <f t="shared" si="20"/>
        <v>2309</v>
      </c>
      <c r="L236" s="466">
        <v>2310</v>
      </c>
    </row>
    <row r="237" spans="1:12">
      <c r="A237" s="1456" t="s">
        <v>167</v>
      </c>
      <c r="B237" s="615">
        <v>2190</v>
      </c>
      <c r="C237" s="617"/>
      <c r="D237" s="466">
        <v>23</v>
      </c>
      <c r="E237" s="617"/>
      <c r="F237" s="617"/>
      <c r="G237" s="617"/>
      <c r="H237" s="617"/>
      <c r="I237" s="617"/>
      <c r="J237" s="617"/>
      <c r="K237" s="1619">
        <f t="shared" si="20"/>
        <v>23</v>
      </c>
      <c r="L237" s="466">
        <v>937</v>
      </c>
    </row>
    <row r="238" spans="1:12" ht="12.95" customHeight="1" thickBot="1">
      <c r="A238" s="1616" t="s">
        <v>581</v>
      </c>
      <c r="B238" s="1623" t="s">
        <v>740</v>
      </c>
      <c r="C238" s="617"/>
      <c r="D238" s="1618">
        <f>SUM(D232:D237)</f>
        <v>18441</v>
      </c>
      <c r="E238" s="617"/>
      <c r="F238" s="617"/>
      <c r="G238" s="617"/>
      <c r="H238" s="617"/>
      <c r="I238" s="617"/>
      <c r="J238" s="617"/>
      <c r="K238" s="1618">
        <f>SUM(K232:K237)</f>
        <v>18441</v>
      </c>
      <c r="L238" s="1618">
        <f>SUM(L232:L237)</f>
        <v>20331</v>
      </c>
    </row>
    <row r="239" spans="1:12" ht="15.75" customHeight="1" thickTop="1">
      <c r="A239" s="625" t="s">
        <v>613</v>
      </c>
      <c r="B239" s="632"/>
      <c r="C239" s="617"/>
      <c r="D239" s="627"/>
      <c r="E239" s="617"/>
      <c r="F239" s="617"/>
      <c r="G239" s="617"/>
      <c r="H239" s="617"/>
      <c r="I239" s="617"/>
      <c r="J239" s="617"/>
      <c r="K239" s="627"/>
      <c r="L239" s="627"/>
    </row>
    <row r="240" spans="1:12">
      <c r="A240" s="1456" t="s">
        <v>868</v>
      </c>
      <c r="B240" s="615">
        <v>2210</v>
      </c>
      <c r="C240" s="617"/>
      <c r="D240" s="481">
        <v>1285</v>
      </c>
      <c r="E240" s="617"/>
      <c r="F240" s="617"/>
      <c r="G240" s="617"/>
      <c r="H240" s="617"/>
      <c r="I240" s="617"/>
      <c r="J240" s="617"/>
      <c r="K240" s="1620">
        <f>D240</f>
        <v>1285</v>
      </c>
      <c r="L240" s="481">
        <v>1330</v>
      </c>
    </row>
    <row r="241" spans="1:12">
      <c r="A241" s="1456" t="s">
        <v>869</v>
      </c>
      <c r="B241" s="615">
        <v>2220</v>
      </c>
      <c r="C241" s="617"/>
      <c r="D241" s="466"/>
      <c r="E241" s="617"/>
      <c r="F241" s="617"/>
      <c r="G241" s="617"/>
      <c r="H241" s="617"/>
      <c r="I241" s="617"/>
      <c r="J241" s="617"/>
      <c r="K241" s="1620">
        <f>D241</f>
        <v>0</v>
      </c>
      <c r="L241" s="466"/>
    </row>
    <row r="242" spans="1:12">
      <c r="A242" s="1456" t="s">
        <v>870</v>
      </c>
      <c r="B242" s="615">
        <v>2230</v>
      </c>
      <c r="C242" s="617"/>
      <c r="D242" s="466"/>
      <c r="E242" s="617"/>
      <c r="F242" s="617"/>
      <c r="G242" s="617"/>
      <c r="H242" s="617"/>
      <c r="I242" s="617"/>
      <c r="J242" s="617"/>
      <c r="K242" s="1620">
        <f>D242</f>
        <v>0</v>
      </c>
      <c r="L242" s="466"/>
    </row>
    <row r="243" spans="1:12" ht="12.95" customHeight="1" thickBot="1">
      <c r="A243" s="1642" t="s">
        <v>582</v>
      </c>
      <c r="B243" s="1643">
        <v>2200</v>
      </c>
      <c r="C243" s="617"/>
      <c r="D243" s="1618">
        <f>SUM(D240:D242)</f>
        <v>1285</v>
      </c>
      <c r="E243" s="617"/>
      <c r="F243" s="617"/>
      <c r="G243" s="617"/>
      <c r="H243" s="617"/>
      <c r="I243" s="617"/>
      <c r="J243" s="617"/>
      <c r="K243" s="1618">
        <f>SUM(K240:K242)</f>
        <v>1285</v>
      </c>
      <c r="L243" s="1618">
        <f>SUM(L240:L242)</f>
        <v>1330</v>
      </c>
    </row>
    <row r="244" spans="1:12" ht="15.75" customHeight="1" thickTop="1">
      <c r="A244" s="625" t="s">
        <v>631</v>
      </c>
      <c r="B244" s="683"/>
      <c r="C244" s="617"/>
      <c r="D244" s="627"/>
      <c r="E244" s="617"/>
      <c r="F244" s="617"/>
      <c r="G244" s="617"/>
      <c r="H244" s="617"/>
      <c r="I244" s="617"/>
      <c r="J244" s="617"/>
      <c r="K244" s="627"/>
      <c r="L244" s="627"/>
    </row>
    <row r="245" spans="1:12">
      <c r="A245" s="1456" t="s">
        <v>871</v>
      </c>
      <c r="B245" s="615">
        <v>2310</v>
      </c>
      <c r="C245" s="617"/>
      <c r="D245" s="481">
        <v>149</v>
      </c>
      <c r="E245" s="617"/>
      <c r="F245" s="617"/>
      <c r="G245" s="617"/>
      <c r="H245" s="617"/>
      <c r="I245" s="617"/>
      <c r="J245" s="617"/>
      <c r="K245" s="1620">
        <f>D245</f>
        <v>149</v>
      </c>
      <c r="L245" s="481">
        <v>149</v>
      </c>
    </row>
    <row r="246" spans="1:12">
      <c r="A246" s="1456" t="s">
        <v>872</v>
      </c>
      <c r="B246" s="615">
        <v>2320</v>
      </c>
      <c r="C246" s="617"/>
      <c r="D246" s="466">
        <v>11725</v>
      </c>
      <c r="E246" s="617"/>
      <c r="F246" s="617"/>
      <c r="G246" s="617"/>
      <c r="H246" s="617"/>
      <c r="I246" s="617"/>
      <c r="J246" s="617"/>
      <c r="K246" s="1620">
        <f t="shared" ref="K246:K256" si="21">D246</f>
        <v>11725</v>
      </c>
      <c r="L246" s="466">
        <v>11949</v>
      </c>
    </row>
    <row r="247" spans="1:12">
      <c r="A247" s="1456" t="s">
        <v>873</v>
      </c>
      <c r="B247" s="615">
        <v>2330</v>
      </c>
      <c r="C247" s="617"/>
      <c r="D247" s="466"/>
      <c r="E247" s="617"/>
      <c r="F247" s="617"/>
      <c r="G247" s="617"/>
      <c r="H247" s="617"/>
      <c r="I247" s="617"/>
      <c r="J247" s="617"/>
      <c r="K247" s="1620">
        <f t="shared" si="21"/>
        <v>0</v>
      </c>
      <c r="L247" s="466"/>
    </row>
    <row r="248" spans="1:12">
      <c r="A248" s="1457" t="s">
        <v>317</v>
      </c>
      <c r="B248" s="603" t="s">
        <v>299</v>
      </c>
      <c r="C248" s="617"/>
      <c r="D248" s="474"/>
      <c r="E248" s="617"/>
      <c r="F248" s="617"/>
      <c r="G248" s="617"/>
      <c r="H248" s="617"/>
      <c r="I248" s="617"/>
      <c r="J248" s="617"/>
      <c r="K248" s="1620">
        <f t="shared" si="21"/>
        <v>0</v>
      </c>
      <c r="L248" s="466"/>
    </row>
    <row r="249" spans="1:12">
      <c r="A249" s="1458" t="s">
        <v>1869</v>
      </c>
      <c r="B249" s="684" t="s">
        <v>300</v>
      </c>
      <c r="C249" s="617"/>
      <c r="D249" s="474"/>
      <c r="E249" s="617"/>
      <c r="F249" s="617"/>
      <c r="G249" s="617"/>
      <c r="H249" s="617"/>
      <c r="I249" s="617"/>
      <c r="J249" s="617"/>
      <c r="K249" s="1620">
        <f t="shared" si="21"/>
        <v>0</v>
      </c>
      <c r="L249" s="466"/>
    </row>
    <row r="250" spans="1:12">
      <c r="A250" s="1457" t="s">
        <v>1870</v>
      </c>
      <c r="B250" s="603" t="s">
        <v>301</v>
      </c>
      <c r="C250" s="617"/>
      <c r="D250" s="474"/>
      <c r="E250" s="617"/>
      <c r="F250" s="617"/>
      <c r="G250" s="617"/>
      <c r="H250" s="617"/>
      <c r="I250" s="617"/>
      <c r="J250" s="617"/>
      <c r="K250" s="1620">
        <f t="shared" si="21"/>
        <v>0</v>
      </c>
      <c r="L250" s="466"/>
    </row>
    <row r="251" spans="1:12">
      <c r="A251" s="1457" t="s">
        <v>256</v>
      </c>
      <c r="B251" s="603" t="s">
        <v>302</v>
      </c>
      <c r="C251" s="617"/>
      <c r="D251" s="474"/>
      <c r="E251" s="617"/>
      <c r="F251" s="617"/>
      <c r="G251" s="617"/>
      <c r="H251" s="617"/>
      <c r="I251" s="617"/>
      <c r="J251" s="617"/>
      <c r="K251" s="1620">
        <f t="shared" si="21"/>
        <v>0</v>
      </c>
      <c r="L251" s="466"/>
    </row>
    <row r="252" spans="1:12">
      <c r="A252" s="1457" t="s">
        <v>726</v>
      </c>
      <c r="B252" s="603" t="s">
        <v>303</v>
      </c>
      <c r="C252" s="617"/>
      <c r="D252" s="474"/>
      <c r="E252" s="617"/>
      <c r="F252" s="617"/>
      <c r="G252" s="617"/>
      <c r="H252" s="617"/>
      <c r="I252" s="617"/>
      <c r="J252" s="617"/>
      <c r="K252" s="1620">
        <f t="shared" si="21"/>
        <v>0</v>
      </c>
      <c r="L252" s="466"/>
    </row>
    <row r="253" spans="1:12">
      <c r="A253" s="1457" t="s">
        <v>257</v>
      </c>
      <c r="B253" s="603" t="s">
        <v>304</v>
      </c>
      <c r="C253" s="617"/>
      <c r="D253" s="474"/>
      <c r="E253" s="617"/>
      <c r="F253" s="617"/>
      <c r="G253" s="617"/>
      <c r="H253" s="617"/>
      <c r="I253" s="617"/>
      <c r="J253" s="617"/>
      <c r="K253" s="1620">
        <f t="shared" si="21"/>
        <v>0</v>
      </c>
      <c r="L253" s="466"/>
    </row>
    <row r="254" spans="1:12" ht="22.5">
      <c r="A254" s="1457" t="s">
        <v>1087</v>
      </c>
      <c r="B254" s="684" t="s">
        <v>305</v>
      </c>
      <c r="C254" s="617"/>
      <c r="D254" s="474"/>
      <c r="E254" s="617"/>
      <c r="F254" s="617"/>
      <c r="G254" s="617"/>
      <c r="H254" s="617"/>
      <c r="I254" s="617"/>
      <c r="J254" s="617"/>
      <c r="K254" s="1620">
        <f t="shared" si="21"/>
        <v>0</v>
      </c>
      <c r="L254" s="466"/>
    </row>
    <row r="255" spans="1:12">
      <c r="A255" s="1457" t="s">
        <v>1088</v>
      </c>
      <c r="B255" s="603" t="s">
        <v>306</v>
      </c>
      <c r="C255" s="617"/>
      <c r="D255" s="474"/>
      <c r="E255" s="617"/>
      <c r="F255" s="617"/>
      <c r="G255" s="617"/>
      <c r="H255" s="617"/>
      <c r="I255" s="617"/>
      <c r="J255" s="617"/>
      <c r="K255" s="1620">
        <f t="shared" si="21"/>
        <v>0</v>
      </c>
      <c r="L255" s="466"/>
    </row>
    <row r="256" spans="1:12">
      <c r="A256" s="1457" t="s">
        <v>1028</v>
      </c>
      <c r="B256" s="615" t="s">
        <v>307</v>
      </c>
      <c r="C256" s="617"/>
      <c r="D256" s="474"/>
      <c r="E256" s="617"/>
      <c r="F256" s="617"/>
      <c r="G256" s="617"/>
      <c r="H256" s="617"/>
      <c r="I256" s="617"/>
      <c r="J256" s="617"/>
      <c r="K256" s="1620">
        <f t="shared" si="21"/>
        <v>0</v>
      </c>
      <c r="L256" s="466"/>
    </row>
    <row r="257" spans="1:14" ht="12.95" customHeight="1" thickBot="1">
      <c r="A257" s="1616" t="s">
        <v>741</v>
      </c>
      <c r="B257" s="1644">
        <v>2300</v>
      </c>
      <c r="C257" s="617"/>
      <c r="D257" s="1618">
        <f>SUM(D245:D256)</f>
        <v>11874</v>
      </c>
      <c r="E257" s="617"/>
      <c r="F257" s="617"/>
      <c r="G257" s="617"/>
      <c r="H257" s="617"/>
      <c r="I257" s="617"/>
      <c r="J257" s="617"/>
      <c r="K257" s="1618">
        <f>SUM(K245:K256)</f>
        <v>11874</v>
      </c>
      <c r="L257" s="1618">
        <f>SUM(L245:L256)</f>
        <v>12098</v>
      </c>
    </row>
    <row r="258" spans="1:14" ht="15.75" customHeight="1" thickTop="1">
      <c r="A258" s="625" t="s">
        <v>632</v>
      </c>
      <c r="B258" s="685"/>
      <c r="C258" s="617"/>
      <c r="D258" s="627"/>
      <c r="E258" s="617"/>
      <c r="F258" s="617"/>
      <c r="G258" s="617"/>
      <c r="H258" s="617"/>
      <c r="I258" s="617"/>
      <c r="J258" s="617"/>
      <c r="K258" s="627"/>
      <c r="L258" s="627"/>
    </row>
    <row r="259" spans="1:14">
      <c r="A259" s="1456" t="s">
        <v>1127</v>
      </c>
      <c r="B259" s="686">
        <v>2410</v>
      </c>
      <c r="C259" s="617"/>
      <c r="D259" s="481">
        <v>23743</v>
      </c>
      <c r="E259" s="617"/>
      <c r="F259" s="617"/>
      <c r="G259" s="617"/>
      <c r="H259" s="617"/>
      <c r="I259" s="617"/>
      <c r="J259" s="617"/>
      <c r="K259" s="1620">
        <f>D259</f>
        <v>23743</v>
      </c>
      <c r="L259" s="481">
        <v>23676</v>
      </c>
    </row>
    <row r="260" spans="1:14" s="598" customFormat="1">
      <c r="A260" s="1474" t="s">
        <v>1868</v>
      </c>
      <c r="B260" s="629">
        <v>2490</v>
      </c>
      <c r="C260" s="617"/>
      <c r="D260" s="466"/>
      <c r="E260" s="617"/>
      <c r="F260" s="617"/>
      <c r="G260" s="617"/>
      <c r="H260" s="617"/>
      <c r="I260" s="617"/>
      <c r="J260" s="617"/>
      <c r="K260" s="1620">
        <f>D260</f>
        <v>0</v>
      </c>
      <c r="L260" s="466"/>
      <c r="M260" s="210"/>
      <c r="N260" s="210"/>
    </row>
    <row r="261" spans="1:14" ht="12.95" customHeight="1" thickBot="1">
      <c r="A261" s="1640" t="s">
        <v>281</v>
      </c>
      <c r="B261" s="1645" t="s">
        <v>34</v>
      </c>
      <c r="C261" s="617"/>
      <c r="D261" s="1618">
        <f>SUM(D259:D260)</f>
        <v>23743</v>
      </c>
      <c r="E261" s="617"/>
      <c r="F261" s="617"/>
      <c r="G261" s="617"/>
      <c r="H261" s="617"/>
      <c r="I261" s="617"/>
      <c r="J261" s="617"/>
      <c r="K261" s="1618">
        <f>SUM(K259:K260)</f>
        <v>23743</v>
      </c>
      <c r="L261" s="1618">
        <f>SUM(L259:L260)</f>
        <v>23676</v>
      </c>
    </row>
    <row r="262" spans="1:14" ht="15.75" customHeight="1" thickTop="1">
      <c r="A262" s="625" t="s">
        <v>633</v>
      </c>
      <c r="B262" s="685"/>
      <c r="C262" s="617"/>
      <c r="D262" s="617"/>
      <c r="E262" s="617"/>
      <c r="F262" s="617"/>
      <c r="G262" s="617"/>
      <c r="H262" s="617"/>
      <c r="I262" s="617"/>
      <c r="J262" s="617"/>
      <c r="K262" s="627"/>
      <c r="L262" s="627"/>
    </row>
    <row r="263" spans="1:14">
      <c r="A263" s="1456" t="s">
        <v>1128</v>
      </c>
      <c r="B263" s="686">
        <v>2510</v>
      </c>
      <c r="C263" s="617"/>
      <c r="D263" s="466"/>
      <c r="E263" s="617"/>
      <c r="F263" s="617"/>
      <c r="G263" s="617"/>
      <c r="H263" s="617"/>
      <c r="I263" s="617"/>
      <c r="J263" s="617"/>
      <c r="K263" s="1620">
        <f>D263</f>
        <v>0</v>
      </c>
      <c r="L263" s="481"/>
    </row>
    <row r="264" spans="1:14">
      <c r="A264" s="1456" t="s">
        <v>483</v>
      </c>
      <c r="B264" s="686">
        <v>2520</v>
      </c>
      <c r="C264" s="617"/>
      <c r="D264" s="466"/>
      <c r="E264" s="617"/>
      <c r="F264" s="617"/>
      <c r="G264" s="617"/>
      <c r="H264" s="617"/>
      <c r="I264" s="617"/>
      <c r="J264" s="617"/>
      <c r="K264" s="1620">
        <f t="shared" ref="K264:K269" si="22">D264</f>
        <v>0</v>
      </c>
      <c r="L264" s="466"/>
    </row>
    <row r="265" spans="1:14">
      <c r="A265" s="1456" t="s">
        <v>4</v>
      </c>
      <c r="B265" s="615">
        <v>2530</v>
      </c>
      <c r="C265" s="617"/>
      <c r="D265" s="466"/>
      <c r="E265" s="617"/>
      <c r="F265" s="617"/>
      <c r="G265" s="617"/>
      <c r="H265" s="617"/>
      <c r="I265" s="617"/>
      <c r="J265" s="617"/>
      <c r="K265" s="1620">
        <f t="shared" si="22"/>
        <v>0</v>
      </c>
      <c r="L265" s="466"/>
    </row>
    <row r="266" spans="1:14">
      <c r="A266" s="1456" t="s">
        <v>206</v>
      </c>
      <c r="B266" s="615">
        <v>2540</v>
      </c>
      <c r="C266" s="617"/>
      <c r="D266" s="466">
        <v>57140</v>
      </c>
      <c r="E266" s="617"/>
      <c r="F266" s="617"/>
      <c r="G266" s="617"/>
      <c r="H266" s="617"/>
      <c r="I266" s="617"/>
      <c r="J266" s="617"/>
      <c r="K266" s="1620">
        <f t="shared" si="22"/>
        <v>57140</v>
      </c>
      <c r="L266" s="466">
        <v>57168</v>
      </c>
    </row>
    <row r="267" spans="1:14">
      <c r="A267" s="1456" t="s">
        <v>1010</v>
      </c>
      <c r="B267" s="615">
        <v>2550</v>
      </c>
      <c r="C267" s="617"/>
      <c r="D267" s="466">
        <v>1020</v>
      </c>
      <c r="E267" s="617"/>
      <c r="F267" s="617"/>
      <c r="G267" s="617"/>
      <c r="H267" s="617"/>
      <c r="I267" s="617"/>
      <c r="J267" s="617"/>
      <c r="K267" s="1620">
        <f t="shared" si="22"/>
        <v>1020</v>
      </c>
      <c r="L267" s="466">
        <v>426</v>
      </c>
    </row>
    <row r="268" spans="1:14">
      <c r="A268" s="1456" t="s">
        <v>102</v>
      </c>
      <c r="B268" s="615">
        <v>2560</v>
      </c>
      <c r="C268" s="617"/>
      <c r="D268" s="466">
        <v>35288</v>
      </c>
      <c r="E268" s="617"/>
      <c r="F268" s="617"/>
      <c r="G268" s="617"/>
      <c r="H268" s="617"/>
      <c r="I268" s="617"/>
      <c r="J268" s="617"/>
      <c r="K268" s="1620">
        <f t="shared" si="22"/>
        <v>35288</v>
      </c>
      <c r="L268" s="466">
        <v>36429</v>
      </c>
    </row>
    <row r="269" spans="1:14">
      <c r="A269" s="1456" t="s">
        <v>103</v>
      </c>
      <c r="B269" s="615">
        <v>2570</v>
      </c>
      <c r="C269" s="617"/>
      <c r="D269" s="466"/>
      <c r="E269" s="617"/>
      <c r="F269" s="617"/>
      <c r="G269" s="617"/>
      <c r="H269" s="617"/>
      <c r="I269" s="617"/>
      <c r="J269" s="617"/>
      <c r="K269" s="1620">
        <f t="shared" si="22"/>
        <v>0</v>
      </c>
      <c r="L269" s="466"/>
    </row>
    <row r="270" spans="1:14" ht="12.95" customHeight="1" thickBot="1">
      <c r="A270" s="1616" t="s">
        <v>743</v>
      </c>
      <c r="B270" s="1623" t="s">
        <v>35</v>
      </c>
      <c r="C270" s="617"/>
      <c r="D270" s="1618">
        <f>SUM(D263:D269)</f>
        <v>93448</v>
      </c>
      <c r="E270" s="617"/>
      <c r="F270" s="617"/>
      <c r="G270" s="617"/>
      <c r="H270" s="617"/>
      <c r="I270" s="617"/>
      <c r="J270" s="617"/>
      <c r="K270" s="1618">
        <f>SUM(K263:K269)</f>
        <v>93448</v>
      </c>
      <c r="L270" s="1618">
        <f>SUM(L263:L269)</f>
        <v>94023</v>
      </c>
    </row>
    <row r="271" spans="1:14" ht="15.75" customHeight="1" thickTop="1">
      <c r="A271" s="670" t="s">
        <v>634</v>
      </c>
      <c r="B271" s="626"/>
      <c r="C271" s="617"/>
      <c r="D271" s="627"/>
      <c r="E271" s="617"/>
      <c r="F271" s="617"/>
      <c r="G271" s="617"/>
      <c r="H271" s="617"/>
      <c r="I271" s="617"/>
      <c r="J271" s="617"/>
      <c r="K271" s="627"/>
      <c r="L271" s="627"/>
    </row>
    <row r="272" spans="1:14">
      <c r="A272" s="1456" t="s">
        <v>1120</v>
      </c>
      <c r="B272" s="615">
        <v>2610</v>
      </c>
      <c r="C272" s="617"/>
      <c r="D272" s="481"/>
      <c r="E272" s="617"/>
      <c r="F272" s="617"/>
      <c r="G272" s="617"/>
      <c r="H272" s="617"/>
      <c r="I272" s="617"/>
      <c r="J272" s="617"/>
      <c r="K272" s="1620">
        <f>D272</f>
        <v>0</v>
      </c>
      <c r="L272" s="481"/>
    </row>
    <row r="273" spans="1:12">
      <c r="A273" s="1456" t="s">
        <v>628</v>
      </c>
      <c r="B273" s="629">
        <v>2620</v>
      </c>
      <c r="C273" s="617"/>
      <c r="D273" s="466"/>
      <c r="E273" s="617"/>
      <c r="F273" s="617"/>
      <c r="G273" s="617"/>
      <c r="H273" s="617"/>
      <c r="I273" s="617"/>
      <c r="J273" s="617"/>
      <c r="K273" s="1620">
        <f>D273</f>
        <v>0</v>
      </c>
      <c r="L273" s="466"/>
    </row>
    <row r="274" spans="1:12" ht="12" customHeight="1">
      <c r="A274" s="1456" t="s">
        <v>1121</v>
      </c>
      <c r="B274" s="615">
        <v>2630</v>
      </c>
      <c r="C274" s="617"/>
      <c r="D274" s="466"/>
      <c r="E274" s="617"/>
      <c r="F274" s="617"/>
      <c r="G274" s="617"/>
      <c r="H274" s="617"/>
      <c r="I274" s="617"/>
      <c r="J274" s="617"/>
      <c r="K274" s="1620">
        <f>D274</f>
        <v>0</v>
      </c>
      <c r="L274" s="466"/>
    </row>
    <row r="275" spans="1:12">
      <c r="A275" s="1456" t="s">
        <v>423</v>
      </c>
      <c r="B275" s="615">
        <v>2640</v>
      </c>
      <c r="C275" s="617"/>
      <c r="D275" s="466"/>
      <c r="E275" s="617"/>
      <c r="F275" s="617"/>
      <c r="G275" s="617"/>
      <c r="H275" s="617"/>
      <c r="I275" s="617"/>
      <c r="J275" s="617"/>
      <c r="K275" s="1620">
        <f>D275</f>
        <v>0</v>
      </c>
      <c r="L275" s="466"/>
    </row>
    <row r="276" spans="1:12">
      <c r="A276" s="1456" t="s">
        <v>424</v>
      </c>
      <c r="B276" s="615">
        <v>2660</v>
      </c>
      <c r="C276" s="617"/>
      <c r="D276" s="466"/>
      <c r="E276" s="617"/>
      <c r="F276" s="617"/>
      <c r="G276" s="617"/>
      <c r="H276" s="617"/>
      <c r="I276" s="617"/>
      <c r="J276" s="617"/>
      <c r="K276" s="1620">
        <f>D276</f>
        <v>0</v>
      </c>
      <c r="L276" s="466"/>
    </row>
    <row r="277" spans="1:12" ht="12.95" customHeight="1" thickBot="1">
      <c r="A277" s="1639" t="s">
        <v>37</v>
      </c>
      <c r="B277" s="1617" t="s">
        <v>36</v>
      </c>
      <c r="C277" s="617"/>
      <c r="D277" s="1618">
        <f>SUM(D272:D276)</f>
        <v>0</v>
      </c>
      <c r="E277" s="617"/>
      <c r="F277" s="617"/>
      <c r="G277" s="617"/>
      <c r="H277" s="617"/>
      <c r="I277" s="617"/>
      <c r="J277" s="617"/>
      <c r="K277" s="1618">
        <f>SUM(K272:K276)</f>
        <v>0</v>
      </c>
      <c r="L277" s="1618">
        <f>SUM(L272:L276)</f>
        <v>0</v>
      </c>
    </row>
    <row r="278" spans="1:12" ht="13.5" customHeight="1" thickTop="1">
      <c r="A278" s="1462" t="s">
        <v>1037</v>
      </c>
      <c r="B278" s="656" t="s">
        <v>595</v>
      </c>
      <c r="C278" s="617"/>
      <c r="D278" s="657"/>
      <c r="E278" s="617"/>
      <c r="F278" s="617"/>
      <c r="G278" s="617"/>
      <c r="H278" s="617"/>
      <c r="I278" s="617"/>
      <c r="J278" s="617"/>
      <c r="K278" s="1633">
        <f>D278</f>
        <v>0</v>
      </c>
      <c r="L278" s="657"/>
    </row>
    <row r="279" spans="1:12" ht="12.95" customHeight="1" thickBot="1">
      <c r="A279" s="1646" t="s">
        <v>865</v>
      </c>
      <c r="B279" s="1629">
        <v>2000</v>
      </c>
      <c r="C279" s="617"/>
      <c r="D279" s="1625">
        <f>SUM(D238,D243,D257,D261,D270,D277,D278)</f>
        <v>148791</v>
      </c>
      <c r="E279" s="617"/>
      <c r="F279" s="617"/>
      <c r="G279" s="617"/>
      <c r="H279" s="617"/>
      <c r="I279" s="617"/>
      <c r="J279" s="617"/>
      <c r="K279" s="1625">
        <f>SUM(K238,K243,K257,K261,K270,K277,K278)</f>
        <v>148791</v>
      </c>
      <c r="L279" s="1625">
        <f>SUM(L238,L243,L257,L261,L270,L277,L278)</f>
        <v>151458</v>
      </c>
    </row>
    <row r="280" spans="1:12" ht="15.75" customHeight="1" thickTop="1" thickBot="1">
      <c r="A280" s="1576" t="s">
        <v>930</v>
      </c>
      <c r="B280" s="1565">
        <v>3000</v>
      </c>
      <c r="C280" s="617"/>
      <c r="D280" s="576">
        <v>3477</v>
      </c>
      <c r="E280" s="617"/>
      <c r="F280" s="617"/>
      <c r="G280" s="617"/>
      <c r="H280" s="617"/>
      <c r="I280" s="617"/>
      <c r="J280" s="617"/>
      <c r="K280" s="1627">
        <f>D280</f>
        <v>3477</v>
      </c>
      <c r="L280" s="576">
        <v>3833</v>
      </c>
    </row>
    <row r="281" spans="1:12" ht="15.75" customHeight="1" thickTop="1">
      <c r="A281" s="1566" t="s">
        <v>144</v>
      </c>
      <c r="B281" s="1567" t="s">
        <v>915</v>
      </c>
      <c r="C281" s="617"/>
      <c r="D281" s="566"/>
      <c r="E281" s="617"/>
      <c r="F281" s="617"/>
      <c r="G281" s="617"/>
      <c r="H281" s="617"/>
      <c r="I281" s="617"/>
      <c r="J281" s="617"/>
      <c r="K281" s="617"/>
      <c r="L281" s="617"/>
    </row>
    <row r="282" spans="1:12" ht="15.75" customHeight="1">
      <c r="A282" s="1779" t="s">
        <v>517</v>
      </c>
      <c r="B282" s="691" t="s">
        <v>1916</v>
      </c>
      <c r="C282" s="617"/>
      <c r="D282" s="467"/>
      <c r="E282" s="617"/>
      <c r="F282" s="617"/>
      <c r="G282" s="617"/>
      <c r="H282" s="617"/>
      <c r="I282" s="617"/>
      <c r="J282" s="617"/>
      <c r="K282" s="1619">
        <f>D282</f>
        <v>0</v>
      </c>
      <c r="L282" s="467"/>
    </row>
    <row r="283" spans="1:12">
      <c r="A283" s="1456" t="s">
        <v>322</v>
      </c>
      <c r="B283" s="615">
        <v>4120</v>
      </c>
      <c r="C283" s="617"/>
      <c r="D283" s="466">
        <v>3110</v>
      </c>
      <c r="E283" s="617"/>
      <c r="F283" s="617"/>
      <c r="G283" s="617"/>
      <c r="H283" s="617"/>
      <c r="I283" s="617"/>
      <c r="J283" s="617"/>
      <c r="K283" s="1619">
        <f>D283</f>
        <v>3110</v>
      </c>
      <c r="L283" s="466">
        <v>0</v>
      </c>
    </row>
    <row r="284" spans="1:12">
      <c r="A284" s="1456" t="s">
        <v>721</v>
      </c>
      <c r="B284" s="615">
        <v>4140</v>
      </c>
      <c r="C284" s="617"/>
      <c r="D284" s="467"/>
      <c r="E284" s="617"/>
      <c r="F284" s="617"/>
      <c r="G284" s="617"/>
      <c r="H284" s="617"/>
      <c r="I284" s="617"/>
      <c r="J284" s="617"/>
      <c r="K284" s="1619">
        <f>D284</f>
        <v>0</v>
      </c>
      <c r="L284" s="466"/>
    </row>
    <row r="285" spans="1:12" ht="12.95" customHeight="1" thickBot="1">
      <c r="A285" s="1616" t="s">
        <v>1546</v>
      </c>
      <c r="B285" s="1617" t="s">
        <v>915</v>
      </c>
      <c r="C285" s="617"/>
      <c r="D285" s="1618">
        <f>SUM(D282:D284)</f>
        <v>3110</v>
      </c>
      <c r="E285" s="617"/>
      <c r="F285" s="617"/>
      <c r="G285" s="617"/>
      <c r="H285" s="617"/>
      <c r="I285" s="617"/>
      <c r="J285" s="617"/>
      <c r="K285" s="1618">
        <f>SUM(K282:K284)</f>
        <v>3110</v>
      </c>
      <c r="L285" s="1618">
        <f>SUM(L282:L284)</f>
        <v>0</v>
      </c>
    </row>
    <row r="286" spans="1:12" ht="15.75" customHeight="1" thickTop="1">
      <c r="A286" s="1564" t="s">
        <v>931</v>
      </c>
      <c r="B286" s="156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456" t="s">
        <v>89</v>
      </c>
      <c r="B288" s="615">
        <v>5110</v>
      </c>
      <c r="C288" s="617"/>
      <c r="D288" s="617"/>
      <c r="E288" s="617"/>
      <c r="F288" s="617"/>
      <c r="G288" s="617"/>
      <c r="H288" s="466"/>
      <c r="I288" s="617"/>
      <c r="J288" s="617"/>
      <c r="K288" s="1619">
        <f>H288</f>
        <v>0</v>
      </c>
      <c r="L288" s="466"/>
    </row>
    <row r="289" spans="1:14">
      <c r="A289" s="1456" t="s">
        <v>90</v>
      </c>
      <c r="B289" s="615">
        <v>5120</v>
      </c>
      <c r="C289" s="617"/>
      <c r="D289" s="617"/>
      <c r="E289" s="617"/>
      <c r="F289" s="617"/>
      <c r="G289" s="617"/>
      <c r="H289" s="466"/>
      <c r="I289" s="617"/>
      <c r="J289" s="617"/>
      <c r="K289" s="1619">
        <f>H289</f>
        <v>0</v>
      </c>
      <c r="L289" s="466"/>
    </row>
    <row r="290" spans="1:14" ht="12.95" customHeight="1">
      <c r="A290" s="1456" t="s">
        <v>1232</v>
      </c>
      <c r="B290" s="629" t="s">
        <v>638</v>
      </c>
      <c r="C290" s="617"/>
      <c r="D290" s="617"/>
      <c r="E290" s="617"/>
      <c r="F290" s="617"/>
      <c r="G290" s="617"/>
      <c r="H290" s="466"/>
      <c r="I290" s="617"/>
      <c r="J290" s="617"/>
      <c r="K290" s="1619">
        <f>H290</f>
        <v>0</v>
      </c>
      <c r="L290" s="466"/>
    </row>
    <row r="291" spans="1:14">
      <c r="A291" s="1456" t="s">
        <v>91</v>
      </c>
      <c r="B291" s="615" t="s">
        <v>610</v>
      </c>
      <c r="C291" s="617"/>
      <c r="D291" s="617"/>
      <c r="E291" s="617"/>
      <c r="F291" s="617"/>
      <c r="G291" s="617"/>
      <c r="H291" s="466"/>
      <c r="I291" s="617"/>
      <c r="J291" s="617"/>
      <c r="K291" s="1619">
        <f>H291</f>
        <v>0</v>
      </c>
      <c r="L291" s="466"/>
    </row>
    <row r="292" spans="1:14">
      <c r="A292" s="1456" t="s">
        <v>786</v>
      </c>
      <c r="B292" s="615" t="s">
        <v>639</v>
      </c>
      <c r="C292" s="617"/>
      <c r="D292" s="617"/>
      <c r="E292" s="617"/>
      <c r="F292" s="617"/>
      <c r="G292" s="617"/>
      <c r="H292" s="466"/>
      <c r="I292" s="617"/>
      <c r="J292" s="617"/>
      <c r="K292" s="1619">
        <f>H292</f>
        <v>0</v>
      </c>
      <c r="L292" s="466"/>
    </row>
    <row r="293" spans="1:14" ht="12.95" customHeight="1" thickBot="1">
      <c r="A293" s="1616" t="s">
        <v>505</v>
      </c>
      <c r="B293" s="1617" t="s">
        <v>513</v>
      </c>
      <c r="C293" s="617"/>
      <c r="D293" s="617"/>
      <c r="E293" s="617"/>
      <c r="F293" s="617"/>
      <c r="G293" s="617"/>
      <c r="H293" s="1618">
        <f>SUM(H288:H292)</f>
        <v>0</v>
      </c>
      <c r="I293" s="617"/>
      <c r="J293" s="617"/>
      <c r="K293" s="1618">
        <f>SUM(K288:K292)</f>
        <v>0</v>
      </c>
      <c r="L293" s="1618">
        <f>SUM(L288:L292)</f>
        <v>0</v>
      </c>
    </row>
    <row r="294" spans="1:14" ht="15.75" customHeight="1" thickTop="1" thickBot="1">
      <c r="A294" s="1577" t="s">
        <v>932</v>
      </c>
      <c r="B294" s="1565" t="s">
        <v>916</v>
      </c>
      <c r="C294" s="617"/>
      <c r="D294" s="624"/>
      <c r="E294" s="617"/>
      <c r="F294" s="617"/>
      <c r="G294" s="617"/>
      <c r="H294" s="687"/>
      <c r="I294" s="617"/>
      <c r="J294" s="617"/>
      <c r="K294" s="687"/>
      <c r="L294" s="578"/>
    </row>
    <row r="295" spans="1:14" ht="12.95" customHeight="1" thickTop="1" thickBot="1">
      <c r="A295" s="2168" t="s">
        <v>526</v>
      </c>
      <c r="B295" s="2169"/>
      <c r="C295" s="617"/>
      <c r="D295" s="1618">
        <f>SUM(D229,D279,D280,D285)</f>
        <v>294202</v>
      </c>
      <c r="E295" s="617"/>
      <c r="F295" s="617"/>
      <c r="G295" s="617"/>
      <c r="H295" s="1618">
        <f>H293</f>
        <v>0</v>
      </c>
      <c r="I295" s="617"/>
      <c r="J295" s="617"/>
      <c r="K295" s="1618">
        <f>SUM(K229,K279,K280,K285,K293,K294)</f>
        <v>294202</v>
      </c>
      <c r="L295" s="1618">
        <f>SUM(L229,L279,L280,L285,L293,L294)</f>
        <v>284209</v>
      </c>
    </row>
    <row r="296" spans="1:14" ht="13.5" thickTop="1">
      <c r="A296" s="2150" t="s">
        <v>1053</v>
      </c>
      <c r="B296" s="2151"/>
      <c r="C296" s="617"/>
      <c r="D296" s="619"/>
      <c r="E296" s="617"/>
      <c r="F296" s="617"/>
      <c r="G296" s="617"/>
      <c r="H296" s="688"/>
      <c r="I296" s="617"/>
      <c r="J296" s="617"/>
      <c r="K296" s="1632">
        <f>'Revenues 9-14'!G275-'Expenditures 15-22'!K295</f>
        <v>32653</v>
      </c>
      <c r="L296" s="688"/>
    </row>
    <row r="297" spans="1:14" s="667" customFormat="1" ht="9.1999999999999993" customHeight="1">
      <c r="A297" s="664"/>
      <c r="B297" s="674"/>
      <c r="C297" s="651"/>
      <c r="D297" s="651"/>
      <c r="E297" s="651"/>
      <c r="F297" s="651"/>
      <c r="G297" s="651"/>
      <c r="H297" s="651"/>
      <c r="I297" s="651"/>
      <c r="J297" s="651"/>
      <c r="K297" s="651"/>
      <c r="L297" s="651"/>
      <c r="M297" s="666"/>
      <c r="N297" s="666"/>
    </row>
    <row r="298" spans="1:14" ht="16.7" customHeight="1">
      <c r="A298" s="2160" t="s">
        <v>145</v>
      </c>
      <c r="B298" s="2154"/>
      <c r="C298" s="1503"/>
      <c r="D298" s="1504"/>
      <c r="E298" s="1504"/>
      <c r="F298" s="1504"/>
      <c r="G298" s="1504"/>
      <c r="H298" s="1504"/>
      <c r="I298" s="1504"/>
      <c r="J298" s="1504"/>
      <c r="K298" s="1504"/>
      <c r="L298" s="1505"/>
    </row>
    <row r="299" spans="1:14" ht="15.75" customHeight="1">
      <c r="A299" s="1564" t="s">
        <v>146</v>
      </c>
      <c r="B299" s="156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469" t="s">
        <v>629</v>
      </c>
      <c r="B301" s="690">
        <v>2530</v>
      </c>
      <c r="C301" s="466"/>
      <c r="D301" s="466"/>
      <c r="E301" s="466"/>
      <c r="F301" s="466"/>
      <c r="G301" s="466">
        <v>162516</v>
      </c>
      <c r="H301" s="466"/>
      <c r="I301" s="467"/>
      <c r="J301" s="467"/>
      <c r="K301" s="1619">
        <f>SUM(C301:J301)</f>
        <v>162516</v>
      </c>
      <c r="L301" s="467">
        <v>160000</v>
      </c>
    </row>
    <row r="302" spans="1:14" ht="13.5" customHeight="1">
      <c r="A302" s="1469" t="s">
        <v>1037</v>
      </c>
      <c r="B302" s="615" t="s">
        <v>595</v>
      </c>
      <c r="C302" s="466"/>
      <c r="D302" s="466"/>
      <c r="E302" s="466"/>
      <c r="F302" s="466"/>
      <c r="G302" s="466"/>
      <c r="H302" s="466"/>
      <c r="I302" s="467"/>
      <c r="J302" s="467"/>
      <c r="K302" s="1619">
        <f>SUM(C302:J302)</f>
        <v>0</v>
      </c>
      <c r="L302" s="466"/>
    </row>
    <row r="303" spans="1:14" ht="12.95" customHeight="1" thickBot="1">
      <c r="A303" s="1616" t="s">
        <v>865</v>
      </c>
      <c r="B303" s="1617" t="s">
        <v>590</v>
      </c>
      <c r="C303" s="1625">
        <f>SUM(C301:C302)</f>
        <v>0</v>
      </c>
      <c r="D303" s="1625">
        <f t="shared" ref="D303:L303" si="23">SUM(D301:D302)</f>
        <v>0</v>
      </c>
      <c r="E303" s="1625">
        <f t="shared" si="23"/>
        <v>0</v>
      </c>
      <c r="F303" s="1625">
        <f t="shared" si="23"/>
        <v>0</v>
      </c>
      <c r="G303" s="1625">
        <f t="shared" si="23"/>
        <v>162516</v>
      </c>
      <c r="H303" s="1625">
        <f t="shared" si="23"/>
        <v>0</v>
      </c>
      <c r="I303" s="1625">
        <f t="shared" si="23"/>
        <v>0</v>
      </c>
      <c r="J303" s="1625">
        <f t="shared" si="23"/>
        <v>0</v>
      </c>
      <c r="K303" s="1625">
        <f t="shared" si="23"/>
        <v>162516</v>
      </c>
      <c r="L303" s="1625">
        <f t="shared" si="23"/>
        <v>160000</v>
      </c>
    </row>
    <row r="304" spans="1:14" ht="15.75" customHeight="1" thickTop="1">
      <c r="A304" s="1564" t="s">
        <v>147</v>
      </c>
      <c r="B304" s="156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470" t="s">
        <v>1921</v>
      </c>
      <c r="B306" s="691" t="s">
        <v>1916</v>
      </c>
      <c r="C306" s="617"/>
      <c r="D306" s="617"/>
      <c r="E306" s="467"/>
      <c r="F306" s="617"/>
      <c r="G306" s="617"/>
      <c r="H306" s="467"/>
      <c r="I306" s="617"/>
      <c r="J306" s="617"/>
      <c r="K306" s="1619">
        <f>SUM(E306,H306)</f>
        <v>0</v>
      </c>
      <c r="L306" s="467"/>
    </row>
    <row r="307" spans="1:14">
      <c r="A307" s="1456" t="s">
        <v>322</v>
      </c>
      <c r="B307" s="615">
        <v>4120</v>
      </c>
      <c r="C307" s="617"/>
      <c r="D307" s="617"/>
      <c r="E307" s="467"/>
      <c r="F307" s="617"/>
      <c r="G307" s="617"/>
      <c r="H307" s="467"/>
      <c r="I307" s="477"/>
      <c r="J307" s="617"/>
      <c r="K307" s="1619">
        <f>SUM(E307,H307)</f>
        <v>0</v>
      </c>
      <c r="L307" s="466"/>
    </row>
    <row r="308" spans="1:14">
      <c r="A308" s="1456" t="s">
        <v>721</v>
      </c>
      <c r="B308" s="615">
        <v>4140</v>
      </c>
      <c r="C308" s="617"/>
      <c r="D308" s="617"/>
      <c r="E308" s="467"/>
      <c r="F308" s="617"/>
      <c r="G308" s="617"/>
      <c r="H308" s="467"/>
      <c r="I308" s="477"/>
      <c r="J308" s="617"/>
      <c r="K308" s="1619">
        <f>SUM(E308,H308)</f>
        <v>0</v>
      </c>
      <c r="L308" s="466"/>
    </row>
    <row r="309" spans="1:14" ht="12.95" customHeight="1">
      <c r="A309" s="1460" t="s">
        <v>722</v>
      </c>
      <c r="B309" s="629">
        <v>4190</v>
      </c>
      <c r="C309" s="617"/>
      <c r="D309" s="617"/>
      <c r="E309" s="467"/>
      <c r="F309" s="617"/>
      <c r="G309" s="617"/>
      <c r="H309" s="467"/>
      <c r="I309" s="477"/>
      <c r="J309" s="617"/>
      <c r="K309" s="1619">
        <f>SUM(E309,H309)</f>
        <v>0</v>
      </c>
      <c r="L309" s="466"/>
    </row>
    <row r="310" spans="1:14" ht="12.95" customHeight="1" thickBot="1">
      <c r="A310" s="1616" t="s">
        <v>1546</v>
      </c>
      <c r="B310" s="1623" t="s">
        <v>915</v>
      </c>
      <c r="C310" s="617"/>
      <c r="D310" s="617"/>
      <c r="E310" s="1618">
        <f>SUM(E306:E309)</f>
        <v>0</v>
      </c>
      <c r="F310" s="617"/>
      <c r="G310" s="617"/>
      <c r="H310" s="1618">
        <f>SUM(H306:H309)</f>
        <v>0</v>
      </c>
      <c r="I310" s="477"/>
      <c r="J310" s="617"/>
      <c r="K310" s="1618">
        <f>SUM(K306:K309)</f>
        <v>0</v>
      </c>
      <c r="L310" s="1625">
        <f>SUM(L306:L309)</f>
        <v>0</v>
      </c>
    </row>
    <row r="311" spans="1:14" ht="15.75" customHeight="1" thickTop="1" thickBot="1">
      <c r="A311" s="1571" t="s">
        <v>951</v>
      </c>
      <c r="B311" s="1563" t="s">
        <v>916</v>
      </c>
      <c r="C311" s="624"/>
      <c r="D311" s="624"/>
      <c r="E311" s="624"/>
      <c r="F311" s="624"/>
      <c r="G311" s="624"/>
      <c r="H311" s="624"/>
      <c r="I311" s="624"/>
      <c r="J311" s="617"/>
      <c r="K311" s="624"/>
      <c r="L311" s="576"/>
    </row>
    <row r="312" spans="1:14" s="675" customFormat="1" ht="12.95" customHeight="1" thickTop="1" thickBot="1">
      <c r="A312" s="2165" t="s">
        <v>295</v>
      </c>
      <c r="B312" s="2166"/>
      <c r="C312" s="1618">
        <f>SUM(C303)</f>
        <v>0</v>
      </c>
      <c r="D312" s="1618">
        <f>SUM(D303)</f>
        <v>0</v>
      </c>
      <c r="E312" s="1618">
        <f>SUM(E303,E310)</f>
        <v>0</v>
      </c>
      <c r="F312" s="1618">
        <f>SUM(F303)</f>
        <v>0</v>
      </c>
      <c r="G312" s="1618">
        <f>SUM(G303)</f>
        <v>162516</v>
      </c>
      <c r="H312" s="1618">
        <f>SUM(H303,H310)</f>
        <v>0</v>
      </c>
      <c r="I312" s="1618">
        <f>SUM(I303)</f>
        <v>0</v>
      </c>
      <c r="J312" s="1618">
        <f>SUM(J303)</f>
        <v>0</v>
      </c>
      <c r="K312" s="1618">
        <f>SUM(K303,K310,K311)</f>
        <v>162516</v>
      </c>
      <c r="L312" s="1618">
        <f>SUM(L303,L310,L311)</f>
        <v>160000</v>
      </c>
      <c r="M312" s="666"/>
      <c r="N312" s="666"/>
    </row>
    <row r="313" spans="1:14" ht="13.5" thickTop="1">
      <c r="A313" s="2161" t="s">
        <v>1053</v>
      </c>
      <c r="B313" s="2162"/>
      <c r="C313" s="627"/>
      <c r="D313" s="627"/>
      <c r="E313" s="627"/>
      <c r="F313" s="627"/>
      <c r="G313" s="627"/>
      <c r="H313" s="627"/>
      <c r="I313" s="627"/>
      <c r="J313" s="627"/>
      <c r="K313" s="1633">
        <f>'Revenues 9-14'!H275-'Expenditures 15-22'!K312</f>
        <v>358010</v>
      </c>
      <c r="L313" s="627"/>
    </row>
    <row r="314" spans="1:14" s="667" customFormat="1" ht="9.1999999999999993" customHeight="1">
      <c r="A314" s="692"/>
      <c r="B314" s="693"/>
      <c r="C314" s="694"/>
      <c r="D314" s="694"/>
      <c r="E314" s="694"/>
      <c r="F314" s="694"/>
      <c r="G314" s="694"/>
      <c r="H314" s="694"/>
      <c r="I314" s="694"/>
      <c r="J314" s="694"/>
      <c r="K314" s="694"/>
      <c r="L314" s="694"/>
      <c r="M314" s="666"/>
      <c r="N314" s="666"/>
    </row>
    <row r="315" spans="1:14" ht="16.7" customHeight="1">
      <c r="A315" s="2174" t="s">
        <v>151</v>
      </c>
      <c r="B315" s="2175"/>
      <c r="C315" s="1508"/>
      <c r="D315" s="1509"/>
      <c r="E315" s="1509"/>
      <c r="F315" s="1509"/>
      <c r="G315" s="1509"/>
      <c r="H315" s="1509"/>
      <c r="I315" s="1509"/>
      <c r="J315" s="1509"/>
      <c r="K315" s="1509"/>
      <c r="L315" s="1510"/>
    </row>
    <row r="316" spans="1:14" s="675" customFormat="1" ht="9.1999999999999993" customHeight="1">
      <c r="A316" s="692"/>
      <c r="B316" s="693"/>
      <c r="C316" s="695"/>
      <c r="D316" s="695"/>
      <c r="E316" s="695"/>
      <c r="F316" s="695"/>
      <c r="G316" s="695"/>
      <c r="H316" s="695"/>
      <c r="I316" s="695"/>
      <c r="J316" s="695"/>
      <c r="K316" s="695"/>
      <c r="L316" s="695"/>
      <c r="M316" s="666"/>
      <c r="N316" s="666"/>
    </row>
    <row r="317" spans="1:14" ht="16.7" customHeight="1">
      <c r="A317" s="2176" t="s">
        <v>954</v>
      </c>
      <c r="B317" s="2175"/>
      <c r="C317" s="1508"/>
      <c r="D317" s="1509"/>
      <c r="E317" s="1509"/>
      <c r="F317" s="1509"/>
      <c r="G317" s="1509"/>
      <c r="H317" s="1509"/>
      <c r="I317" s="1509"/>
      <c r="J317" s="1509"/>
      <c r="K317" s="1509"/>
      <c r="L317" s="151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471" t="s">
        <v>317</v>
      </c>
      <c r="B319" s="698" t="s">
        <v>299</v>
      </c>
      <c r="C319" s="467"/>
      <c r="D319" s="467"/>
      <c r="E319" s="467"/>
      <c r="F319" s="467"/>
      <c r="G319" s="467"/>
      <c r="H319" s="467"/>
      <c r="I319" s="467"/>
      <c r="J319" s="467"/>
      <c r="K319" s="1619">
        <f>SUM(C319:J319)</f>
        <v>0</v>
      </c>
      <c r="L319" s="467"/>
      <c r="M319" s="666"/>
      <c r="N319" s="666"/>
    </row>
    <row r="320" spans="1:14" s="675" customFormat="1">
      <c r="A320" s="1475" t="s">
        <v>1869</v>
      </c>
      <c r="B320" s="699" t="s">
        <v>300</v>
      </c>
      <c r="C320" s="467">
        <v>12171</v>
      </c>
      <c r="D320" s="467"/>
      <c r="E320" s="467">
        <v>35626</v>
      </c>
      <c r="F320" s="467"/>
      <c r="G320" s="467"/>
      <c r="H320" s="467"/>
      <c r="I320" s="467"/>
      <c r="J320" s="467"/>
      <c r="K320" s="1619">
        <f t="shared" ref="K320:K327" si="24">SUM(C320:J320)</f>
        <v>47797</v>
      </c>
      <c r="L320" s="467">
        <v>38000</v>
      </c>
      <c r="M320" s="666"/>
      <c r="N320" s="666"/>
    </row>
    <row r="321" spans="1:14" s="675" customFormat="1">
      <c r="A321" s="1471" t="s">
        <v>318</v>
      </c>
      <c r="B321" s="698" t="s">
        <v>301</v>
      </c>
      <c r="C321" s="467"/>
      <c r="D321" s="467"/>
      <c r="E321" s="467">
        <v>1130</v>
      </c>
      <c r="F321" s="467"/>
      <c r="G321" s="467"/>
      <c r="H321" s="467"/>
      <c r="I321" s="467"/>
      <c r="J321" s="467"/>
      <c r="K321" s="1619">
        <f t="shared" si="24"/>
        <v>1130</v>
      </c>
      <c r="L321" s="467">
        <v>12484</v>
      </c>
      <c r="M321" s="666"/>
      <c r="N321" s="666"/>
    </row>
    <row r="322" spans="1:14" s="675" customFormat="1">
      <c r="A322" s="1471" t="s">
        <v>256</v>
      </c>
      <c r="B322" s="698" t="s">
        <v>302</v>
      </c>
      <c r="C322" s="467"/>
      <c r="D322" s="467"/>
      <c r="E322" s="467">
        <v>66733</v>
      </c>
      <c r="F322" s="467"/>
      <c r="G322" s="467"/>
      <c r="H322" s="467"/>
      <c r="I322" s="467"/>
      <c r="J322" s="467"/>
      <c r="K322" s="1619">
        <f t="shared" si="24"/>
        <v>66733</v>
      </c>
      <c r="L322" s="467">
        <v>57500</v>
      </c>
      <c r="M322" s="666"/>
      <c r="N322" s="666"/>
    </row>
    <row r="323" spans="1:14" s="675" customFormat="1">
      <c r="A323" s="1471" t="s">
        <v>726</v>
      </c>
      <c r="B323" s="698" t="s">
        <v>303</v>
      </c>
      <c r="C323" s="467"/>
      <c r="D323" s="467"/>
      <c r="E323" s="467"/>
      <c r="F323" s="467"/>
      <c r="G323" s="467"/>
      <c r="H323" s="467"/>
      <c r="I323" s="467"/>
      <c r="J323" s="467"/>
      <c r="K323" s="1619">
        <f t="shared" si="24"/>
        <v>0</v>
      </c>
      <c r="L323" s="467"/>
      <c r="M323" s="666"/>
      <c r="N323" s="666"/>
    </row>
    <row r="324" spans="1:14" s="675" customFormat="1">
      <c r="A324" s="1471" t="s">
        <v>257</v>
      </c>
      <c r="B324" s="698" t="s">
        <v>304</v>
      </c>
      <c r="C324" s="467"/>
      <c r="D324" s="467"/>
      <c r="E324" s="467"/>
      <c r="F324" s="467"/>
      <c r="G324" s="467"/>
      <c r="H324" s="467"/>
      <c r="I324" s="467"/>
      <c r="J324" s="467"/>
      <c r="K324" s="1619">
        <f t="shared" si="24"/>
        <v>0</v>
      </c>
      <c r="L324" s="467"/>
      <c r="M324" s="666"/>
      <c r="N324" s="666"/>
    </row>
    <row r="325" spans="1:14" s="675" customFormat="1" ht="22.5">
      <c r="A325" s="1471" t="s">
        <v>1087</v>
      </c>
      <c r="B325" s="699" t="s">
        <v>305</v>
      </c>
      <c r="C325" s="467"/>
      <c r="D325" s="467"/>
      <c r="E325" s="467">
        <v>2015</v>
      </c>
      <c r="F325" s="467"/>
      <c r="G325" s="467"/>
      <c r="H325" s="467"/>
      <c r="I325" s="467"/>
      <c r="J325" s="467"/>
      <c r="K325" s="1619">
        <f t="shared" si="24"/>
        <v>2015</v>
      </c>
      <c r="L325" s="467">
        <v>15636</v>
      </c>
      <c r="M325" s="666"/>
      <c r="N325" s="666"/>
    </row>
    <row r="326" spans="1:14" s="675" customFormat="1">
      <c r="A326" s="1471" t="s">
        <v>1088</v>
      </c>
      <c r="B326" s="698" t="s">
        <v>306</v>
      </c>
      <c r="C326" s="467"/>
      <c r="D326" s="467"/>
      <c r="E326" s="467"/>
      <c r="F326" s="467"/>
      <c r="G326" s="467"/>
      <c r="H326" s="467"/>
      <c r="I326" s="467"/>
      <c r="J326" s="467"/>
      <c r="K326" s="1619">
        <f t="shared" si="24"/>
        <v>0</v>
      </c>
      <c r="L326" s="467"/>
      <c r="M326" s="666"/>
      <c r="N326" s="666"/>
    </row>
    <row r="327" spans="1:14" s="675" customFormat="1">
      <c r="A327" s="1471" t="s">
        <v>1028</v>
      </c>
      <c r="B327" s="698" t="s">
        <v>307</v>
      </c>
      <c r="C327" s="467"/>
      <c r="D327" s="467"/>
      <c r="E327" s="467"/>
      <c r="F327" s="467"/>
      <c r="G327" s="467"/>
      <c r="H327" s="467"/>
      <c r="I327" s="467"/>
      <c r="J327" s="467"/>
      <c r="K327" s="1619">
        <f t="shared" si="24"/>
        <v>0</v>
      </c>
      <c r="L327" s="467"/>
      <c r="M327" s="666"/>
      <c r="N327" s="666"/>
    </row>
    <row r="328" spans="1:14" s="675" customFormat="1">
      <c r="A328" s="1472" t="s">
        <v>492</v>
      </c>
      <c r="B328" s="691" t="s">
        <v>1194</v>
      </c>
      <c r="C328" s="474"/>
      <c r="D328" s="474"/>
      <c r="E328" s="474"/>
      <c r="F328" s="474"/>
      <c r="G328" s="474"/>
      <c r="H328" s="474"/>
      <c r="I328" s="474"/>
      <c r="J328" s="474"/>
      <c r="K328" s="1647">
        <f>SUM(C328:J328)</f>
        <v>0</v>
      </c>
      <c r="L328" s="474"/>
      <c r="M328" s="666"/>
      <c r="N328" s="666"/>
    </row>
    <row r="329" spans="1:14" s="675" customFormat="1">
      <c r="A329" s="1472" t="s">
        <v>1195</v>
      </c>
      <c r="B329" s="691" t="s">
        <v>1196</v>
      </c>
      <c r="C329" s="474"/>
      <c r="D329" s="474"/>
      <c r="E329" s="474"/>
      <c r="F329" s="474"/>
      <c r="G329" s="474"/>
      <c r="H329" s="474"/>
      <c r="I329" s="474"/>
      <c r="J329" s="474"/>
      <c r="K329" s="1647">
        <f>SUM(C329:J329)</f>
        <v>0</v>
      </c>
      <c r="L329" s="474"/>
      <c r="M329" s="666"/>
      <c r="N329" s="666"/>
    </row>
    <row r="330" spans="1:14" s="675" customFormat="1" ht="12.95" customHeight="1" thickBot="1">
      <c r="A330" s="1648" t="s">
        <v>741</v>
      </c>
      <c r="B330" s="1617" t="s">
        <v>590</v>
      </c>
      <c r="C330" s="1618">
        <f>SUM(C319:C329)</f>
        <v>12171</v>
      </c>
      <c r="D330" s="1618">
        <f t="shared" ref="D330:J330" si="25">SUM(D319:D329)</f>
        <v>0</v>
      </c>
      <c r="E330" s="1618">
        <f t="shared" si="25"/>
        <v>105504</v>
      </c>
      <c r="F330" s="1618">
        <f t="shared" si="25"/>
        <v>0</v>
      </c>
      <c r="G330" s="1618">
        <f t="shared" si="25"/>
        <v>0</v>
      </c>
      <c r="H330" s="1618">
        <f t="shared" si="25"/>
        <v>0</v>
      </c>
      <c r="I330" s="1618">
        <f t="shared" si="25"/>
        <v>0</v>
      </c>
      <c r="J330" s="1618">
        <f t="shared" si="25"/>
        <v>0</v>
      </c>
      <c r="K330" s="1618">
        <f>SUM(K319:K329)</f>
        <v>117675</v>
      </c>
      <c r="L330" s="1618">
        <f>SUM(L319:L329)</f>
        <v>123620</v>
      </c>
      <c r="M330" s="666"/>
      <c r="N330" s="666"/>
    </row>
    <row r="331" spans="1:14" s="675" customFormat="1" ht="12.95" customHeight="1" thickTop="1">
      <c r="A331" s="1780" t="s">
        <v>1922</v>
      </c>
      <c r="B331" s="648" t="s">
        <v>915</v>
      </c>
      <c r="C331" s="1782"/>
      <c r="D331" s="1782"/>
      <c r="E331" s="1782"/>
      <c r="F331" s="1782"/>
      <c r="G331" s="1782"/>
      <c r="H331" s="1782"/>
      <c r="I331" s="1782"/>
      <c r="J331" s="1782"/>
      <c r="K331" s="1782"/>
      <c r="L331" s="1782"/>
      <c r="M331" s="666"/>
      <c r="N331" s="666"/>
    </row>
    <row r="332" spans="1:14" s="675" customFormat="1" ht="12.95" customHeight="1">
      <c r="A332" s="1781" t="s">
        <v>517</v>
      </c>
      <c r="B332" s="1776" t="s">
        <v>1916</v>
      </c>
      <c r="C332" s="1782"/>
      <c r="D332" s="1782"/>
      <c r="E332" s="1782"/>
      <c r="F332" s="1782"/>
      <c r="G332" s="1782"/>
      <c r="H332" s="467"/>
      <c r="I332" s="1782"/>
      <c r="J332" s="1782"/>
      <c r="K332" s="1619">
        <f>H332</f>
        <v>0</v>
      </c>
      <c r="L332" s="467"/>
      <c r="M332" s="666"/>
      <c r="N332" s="666"/>
    </row>
    <row r="333" spans="1:14" s="675" customFormat="1" ht="12.95" customHeight="1">
      <c r="A333" s="1781" t="s">
        <v>322</v>
      </c>
      <c r="B333" s="1776" t="s">
        <v>1918</v>
      </c>
      <c r="C333" s="1782"/>
      <c r="D333" s="1782"/>
      <c r="E333" s="1782"/>
      <c r="F333" s="1782"/>
      <c r="G333" s="1782"/>
      <c r="H333" s="467"/>
      <c r="I333" s="1782"/>
      <c r="J333" s="1782"/>
      <c r="K333" s="1619">
        <f>H333</f>
        <v>0</v>
      </c>
      <c r="L333" s="467"/>
      <c r="M333" s="666"/>
      <c r="N333" s="666"/>
    </row>
    <row r="334" spans="1:14" s="675" customFormat="1" ht="12.95" customHeight="1" thickBot="1">
      <c r="A334" s="1781" t="s">
        <v>1923</v>
      </c>
      <c r="B334" s="1776" t="s">
        <v>915</v>
      </c>
      <c r="C334" s="1782"/>
      <c r="D334" s="1782"/>
      <c r="E334" s="1782"/>
      <c r="F334" s="1782"/>
      <c r="G334" s="1782"/>
      <c r="H334" s="1618">
        <f>SUM(H332:H333)</f>
        <v>0</v>
      </c>
      <c r="I334" s="1782"/>
      <c r="J334" s="1782"/>
      <c r="K334" s="1618">
        <f>SUM(K332:K333)</f>
        <v>0</v>
      </c>
      <c r="L334" s="1618">
        <f>SUM(L332:L333)</f>
        <v>0</v>
      </c>
      <c r="M334" s="666"/>
      <c r="N334" s="666"/>
    </row>
    <row r="335" spans="1:14" ht="15.75" customHeight="1" thickTop="1">
      <c r="A335" s="1568" t="s">
        <v>955</v>
      </c>
      <c r="B335" s="155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470" t="s">
        <v>89</v>
      </c>
      <c r="B337" s="691" t="s">
        <v>956</v>
      </c>
      <c r="C337" s="639"/>
      <c r="D337" s="639"/>
      <c r="E337" s="639"/>
      <c r="F337" s="639"/>
      <c r="G337" s="639"/>
      <c r="H337" s="478"/>
      <c r="I337" s="639"/>
      <c r="J337" s="639"/>
      <c r="K337" s="1619">
        <f>H337</f>
        <v>0</v>
      </c>
      <c r="L337" s="478"/>
    </row>
    <row r="338" spans="1:14" ht="12.95" customHeight="1">
      <c r="A338" s="1470" t="s">
        <v>1232</v>
      </c>
      <c r="B338" s="691" t="s">
        <v>638</v>
      </c>
      <c r="C338" s="639"/>
      <c r="D338" s="639"/>
      <c r="E338" s="639"/>
      <c r="F338" s="639"/>
      <c r="G338" s="639"/>
      <c r="H338" s="478"/>
      <c r="I338" s="639"/>
      <c r="J338" s="639"/>
      <c r="K338" s="1619">
        <f>H338</f>
        <v>0</v>
      </c>
      <c r="L338" s="478"/>
    </row>
    <row r="339" spans="1:14">
      <c r="A339" s="1456" t="s">
        <v>957</v>
      </c>
      <c r="B339" s="629">
        <v>5150</v>
      </c>
      <c r="C339" s="639"/>
      <c r="D339" s="639"/>
      <c r="E339" s="639"/>
      <c r="F339" s="639"/>
      <c r="G339" s="639"/>
      <c r="H339" s="467"/>
      <c r="I339" s="639"/>
      <c r="J339" s="639"/>
      <c r="K339" s="1619">
        <f>H339</f>
        <v>0</v>
      </c>
      <c r="L339" s="467"/>
    </row>
    <row r="340" spans="1:14" ht="13.5" thickBot="1">
      <c r="A340" s="1642" t="s">
        <v>958</v>
      </c>
      <c r="B340" s="1617" t="s">
        <v>513</v>
      </c>
      <c r="C340" s="617"/>
      <c r="D340" s="617"/>
      <c r="E340" s="617"/>
      <c r="F340" s="617"/>
      <c r="G340" s="617"/>
      <c r="H340" s="1636">
        <f>SUM(H337:H339)</f>
        <v>0</v>
      </c>
      <c r="I340" s="617"/>
      <c r="J340" s="617"/>
      <c r="K340" s="1636">
        <f>SUM(K337:K339)</f>
        <v>0</v>
      </c>
      <c r="L340" s="1636">
        <f>SUM(L337:L339)</f>
        <v>0</v>
      </c>
    </row>
    <row r="341" spans="1:14" ht="15.75" customHeight="1" thickTop="1" thickBot="1">
      <c r="A341" s="1571" t="s">
        <v>959</v>
      </c>
      <c r="B341" s="1563" t="s">
        <v>916</v>
      </c>
      <c r="C341" s="617"/>
      <c r="D341" s="617"/>
      <c r="E341" s="477"/>
      <c r="F341" s="468"/>
      <c r="G341" s="468"/>
      <c r="H341" s="477"/>
      <c r="I341" s="477"/>
      <c r="J341" s="468"/>
      <c r="K341" s="477"/>
      <c r="L341" s="576"/>
    </row>
    <row r="342" spans="1:14" ht="12.95" customHeight="1" thickTop="1" thickBot="1">
      <c r="A342" s="1634" t="s">
        <v>526</v>
      </c>
      <c r="B342" s="1649"/>
      <c r="C342" s="1618">
        <f>SUM(C330)</f>
        <v>12171</v>
      </c>
      <c r="D342" s="1618">
        <f>SUM(D330)</f>
        <v>0</v>
      </c>
      <c r="E342" s="1618">
        <f>SUM(E330)</f>
        <v>105504</v>
      </c>
      <c r="F342" s="1618">
        <f>SUM(F330)</f>
        <v>0</v>
      </c>
      <c r="G342" s="1618">
        <f>SUM(G330)</f>
        <v>0</v>
      </c>
      <c r="H342" s="1618">
        <f>SUM(H330,H334,H340)</f>
        <v>0</v>
      </c>
      <c r="I342" s="1618">
        <f>SUM(I330)</f>
        <v>0</v>
      </c>
      <c r="J342" s="1618">
        <f>SUM(J330)</f>
        <v>0</v>
      </c>
      <c r="K342" s="1618">
        <f>SUM(K330,K334,K340)</f>
        <v>117675</v>
      </c>
      <c r="L342" s="1625">
        <f>SUM(L330,L340,L341)</f>
        <v>123620</v>
      </c>
    </row>
    <row r="343" spans="1:14" ht="12.95" customHeight="1" thickTop="1">
      <c r="A343" s="2163" t="s">
        <v>1053</v>
      </c>
      <c r="B343" s="2164"/>
      <c r="C343" s="617"/>
      <c r="D343" s="617"/>
      <c r="E343" s="617"/>
      <c r="F343" s="617"/>
      <c r="G343" s="617"/>
      <c r="H343" s="617"/>
      <c r="I343" s="617"/>
      <c r="J343" s="617"/>
      <c r="K343" s="1632">
        <f>'Revenues 9-14'!J275-'Expenditures 15-22'!K342</f>
        <v>73985</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153" t="s">
        <v>1023</v>
      </c>
      <c r="B345" s="2154"/>
      <c r="C345" s="1503"/>
      <c r="D345" s="1504"/>
      <c r="E345" s="1504"/>
      <c r="F345" s="1504"/>
      <c r="G345" s="1504"/>
      <c r="H345" s="1504"/>
      <c r="I345" s="1504"/>
      <c r="J345" s="1504"/>
      <c r="K345" s="1504"/>
      <c r="L345" s="1505"/>
      <c r="M345" s="668"/>
      <c r="N345" s="668"/>
    </row>
    <row r="346" spans="1:14" s="343" customFormat="1" ht="15.75" customHeight="1">
      <c r="A346" s="1575" t="s">
        <v>899</v>
      </c>
      <c r="B346" s="156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456" t="s">
        <v>4</v>
      </c>
      <c r="B348" s="615">
        <v>2530</v>
      </c>
      <c r="C348" s="466"/>
      <c r="D348" s="466"/>
      <c r="E348" s="466"/>
      <c r="F348" s="466"/>
      <c r="G348" s="466"/>
      <c r="H348" s="466"/>
      <c r="I348" s="467"/>
      <c r="J348" s="467"/>
      <c r="K348" s="1619">
        <f>SUM(C348:J348)</f>
        <v>0</v>
      </c>
      <c r="L348" s="466"/>
    </row>
    <row r="349" spans="1:14">
      <c r="A349" s="1456" t="s">
        <v>206</v>
      </c>
      <c r="B349" s="615">
        <v>2540</v>
      </c>
      <c r="C349" s="466"/>
      <c r="D349" s="466"/>
      <c r="E349" s="466"/>
      <c r="F349" s="466"/>
      <c r="G349" s="466"/>
      <c r="H349" s="466"/>
      <c r="I349" s="467"/>
      <c r="J349" s="467"/>
      <c r="K349" s="1619">
        <f>SUM(C349:J349)</f>
        <v>0</v>
      </c>
      <c r="L349" s="466"/>
    </row>
    <row r="350" spans="1:14" ht="12.95" customHeight="1" thickBot="1">
      <c r="A350" s="1616" t="s">
        <v>743</v>
      </c>
      <c r="B350" s="1617" t="s">
        <v>35</v>
      </c>
      <c r="C350" s="1618">
        <f>SUM(C348:C349)</f>
        <v>0</v>
      </c>
      <c r="D350" s="1618">
        <f t="shared" ref="D350:L350" si="26">SUM(D348:D349)</f>
        <v>0</v>
      </c>
      <c r="E350" s="1618">
        <f t="shared" si="26"/>
        <v>0</v>
      </c>
      <c r="F350" s="1618">
        <f t="shared" si="26"/>
        <v>0</v>
      </c>
      <c r="G350" s="1618">
        <f t="shared" si="26"/>
        <v>0</v>
      </c>
      <c r="H350" s="1618">
        <f t="shared" si="26"/>
        <v>0</v>
      </c>
      <c r="I350" s="1618">
        <f t="shared" si="26"/>
        <v>0</v>
      </c>
      <c r="J350" s="1618">
        <f t="shared" si="26"/>
        <v>0</v>
      </c>
      <c r="K350" s="1618">
        <f t="shared" si="26"/>
        <v>0</v>
      </c>
      <c r="L350" s="1618">
        <f t="shared" si="26"/>
        <v>0</v>
      </c>
    </row>
    <row r="351" spans="1:14" ht="12.95" customHeight="1" thickTop="1">
      <c r="A351" s="1462" t="s">
        <v>1037</v>
      </c>
      <c r="B351" s="644" t="s">
        <v>595</v>
      </c>
      <c r="C351" s="481"/>
      <c r="D351" s="481"/>
      <c r="E351" s="481"/>
      <c r="F351" s="481"/>
      <c r="G351" s="481"/>
      <c r="H351" s="481"/>
      <c r="I351" s="478"/>
      <c r="J351" s="478"/>
      <c r="K351" s="616">
        <f>SUM(C351:J351)</f>
        <v>0</v>
      </c>
      <c r="L351" s="481"/>
    </row>
    <row r="352" spans="1:14" ht="12.95" customHeight="1" thickBot="1">
      <c r="A352" s="1616" t="s">
        <v>645</v>
      </c>
      <c r="B352" s="1623" t="s">
        <v>590</v>
      </c>
      <c r="C352" s="1618">
        <f>SUM(C350:C351)</f>
        <v>0</v>
      </c>
      <c r="D352" s="1618">
        <f t="shared" ref="D352:L352" si="27">SUM(D350:D351)</f>
        <v>0</v>
      </c>
      <c r="E352" s="1618">
        <f t="shared" si="27"/>
        <v>0</v>
      </c>
      <c r="F352" s="1618">
        <f t="shared" si="27"/>
        <v>0</v>
      </c>
      <c r="G352" s="1618">
        <f t="shared" si="27"/>
        <v>0</v>
      </c>
      <c r="H352" s="1618">
        <f t="shared" si="27"/>
        <v>0</v>
      </c>
      <c r="I352" s="1618">
        <f t="shared" si="27"/>
        <v>0</v>
      </c>
      <c r="J352" s="1618">
        <f t="shared" si="27"/>
        <v>0</v>
      </c>
      <c r="K352" s="1618">
        <f t="shared" si="27"/>
        <v>0</v>
      </c>
      <c r="L352" s="1618">
        <f t="shared" si="27"/>
        <v>0</v>
      </c>
    </row>
    <row r="353" spans="1:14" s="343" customFormat="1" ht="15.75" customHeight="1" thickTop="1">
      <c r="A353" s="1564" t="s">
        <v>646</v>
      </c>
      <c r="B353" s="1561" t="s">
        <v>915</v>
      </c>
      <c r="C353" s="617"/>
      <c r="D353" s="617"/>
      <c r="E353" s="617"/>
      <c r="F353" s="617"/>
      <c r="G353" s="617"/>
      <c r="H353" s="617"/>
      <c r="I353" s="617"/>
      <c r="J353" s="617"/>
      <c r="K353" s="617"/>
      <c r="L353" s="617"/>
      <c r="M353" s="610"/>
      <c r="N353" s="610"/>
    </row>
    <row r="354" spans="1:14">
      <c r="A354" s="1783" t="s">
        <v>1924</v>
      </c>
      <c r="B354" s="684" t="s">
        <v>1916</v>
      </c>
      <c r="C354" s="617"/>
      <c r="D354" s="617"/>
      <c r="E354" s="617"/>
      <c r="F354" s="617"/>
      <c r="G354" s="617"/>
      <c r="H354" s="474"/>
      <c r="I354" s="702"/>
      <c r="J354" s="617"/>
      <c r="K354" s="1647">
        <f>H354</f>
        <v>0</v>
      </c>
      <c r="L354" s="471"/>
    </row>
    <row r="355" spans="1:14" ht="12.95" customHeight="1">
      <c r="A355" s="1465" t="s">
        <v>1925</v>
      </c>
      <c r="B355" s="691" t="s">
        <v>1918</v>
      </c>
      <c r="C355" s="617"/>
      <c r="D355" s="617"/>
      <c r="E355" s="617"/>
      <c r="F355" s="617"/>
      <c r="G355" s="617"/>
      <c r="H355" s="467"/>
      <c r="I355" s="702"/>
      <c r="J355" s="617"/>
      <c r="K355" s="1691">
        <f>H355</f>
        <v>0</v>
      </c>
      <c r="L355" s="467"/>
    </row>
    <row r="356" spans="1:14" ht="12.95" customHeight="1">
      <c r="A356" s="1783" t="s">
        <v>722</v>
      </c>
      <c r="B356" s="684" t="s">
        <v>579</v>
      </c>
      <c r="C356" s="617"/>
      <c r="D356" s="617"/>
      <c r="E356" s="617"/>
      <c r="F356" s="617"/>
      <c r="G356" s="617"/>
      <c r="H356" s="479"/>
      <c r="I356" s="702"/>
      <c r="J356" s="617"/>
      <c r="K356" s="1688">
        <f>H356</f>
        <v>0</v>
      </c>
      <c r="L356" s="479"/>
    </row>
    <row r="357" spans="1:14" ht="12.95" customHeight="1" thickBot="1">
      <c r="A357" s="1616" t="s">
        <v>1546</v>
      </c>
      <c r="B357" s="1617" t="s">
        <v>915</v>
      </c>
      <c r="C357" s="617"/>
      <c r="D357" s="617"/>
      <c r="E357" s="617"/>
      <c r="F357" s="617"/>
      <c r="G357" s="617"/>
      <c r="H357" s="1636">
        <f>SUM(H354:H356)</f>
        <v>0</v>
      </c>
      <c r="I357" s="702"/>
      <c r="J357" s="617"/>
      <c r="K357" s="1636">
        <f>SUM(K354:K356)</f>
        <v>0</v>
      </c>
      <c r="L357" s="1636">
        <f>SUM(L354:L356)</f>
        <v>0</v>
      </c>
    </row>
    <row r="358" spans="1:14" s="343" customFormat="1" ht="15.75" customHeight="1" thickTop="1">
      <c r="A358" s="1564" t="s">
        <v>1005</v>
      </c>
      <c r="B358" s="156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456" t="s">
        <v>89</v>
      </c>
      <c r="B360" s="615">
        <v>5110</v>
      </c>
      <c r="C360" s="617"/>
      <c r="D360" s="617"/>
      <c r="E360" s="617"/>
      <c r="F360" s="617"/>
      <c r="G360" s="617"/>
      <c r="H360" s="467"/>
      <c r="I360" s="617"/>
      <c r="J360" s="617"/>
      <c r="K360" s="1619">
        <f>SUM(C360:J360)</f>
        <v>0</v>
      </c>
      <c r="L360" s="466"/>
    </row>
    <row r="361" spans="1:14" ht="12.95" customHeight="1">
      <c r="A361" s="1457" t="s">
        <v>640</v>
      </c>
      <c r="B361" s="603" t="s">
        <v>639</v>
      </c>
      <c r="C361" s="617"/>
      <c r="D361" s="617"/>
      <c r="E361" s="617"/>
      <c r="F361" s="617"/>
      <c r="G361" s="617"/>
      <c r="H361" s="467"/>
      <c r="I361" s="617"/>
      <c r="J361" s="617"/>
      <c r="K361" s="1619">
        <f>SUM(C361:J361)</f>
        <v>0</v>
      </c>
      <c r="L361" s="466"/>
    </row>
    <row r="362" spans="1:14" ht="12.95" customHeight="1" thickBot="1">
      <c r="A362" s="1616" t="s">
        <v>647</v>
      </c>
      <c r="B362" s="1617" t="s">
        <v>742</v>
      </c>
      <c r="C362" s="617"/>
      <c r="D362" s="617"/>
      <c r="E362" s="617"/>
      <c r="F362" s="617"/>
      <c r="G362" s="617"/>
      <c r="H362" s="1651">
        <f>SUM(H360:H361)</f>
        <v>0</v>
      </c>
      <c r="I362" s="617"/>
      <c r="J362" s="617"/>
      <c r="K362" s="1651">
        <f>SUM(K360:K361)</f>
        <v>0</v>
      </c>
      <c r="L362" s="1651">
        <f>SUM(L360:L361)</f>
        <v>0</v>
      </c>
    </row>
    <row r="363" spans="1:14" s="675" customFormat="1" ht="15.75" customHeight="1" thickTop="1">
      <c r="A363" s="661" t="s">
        <v>85</v>
      </c>
      <c r="B363" s="662" t="s">
        <v>38</v>
      </c>
      <c r="C363" s="639"/>
      <c r="D363" s="639"/>
      <c r="E363" s="639"/>
      <c r="F363" s="639"/>
      <c r="G363" s="639"/>
      <c r="H363" s="479"/>
      <c r="I363" s="639"/>
      <c r="J363" s="639"/>
      <c r="K363" s="1647">
        <f>SUM(C363:J363)</f>
        <v>0</v>
      </c>
      <c r="L363" s="479"/>
      <c r="M363" s="666"/>
      <c r="N363" s="666"/>
    </row>
    <row r="364" spans="1:14" s="709" customFormat="1" ht="29.25" customHeight="1">
      <c r="A364" s="703" t="s">
        <v>1743</v>
      </c>
      <c r="B364" s="704">
        <v>5300</v>
      </c>
      <c r="C364" s="705"/>
      <c r="D364" s="706"/>
      <c r="E364" s="706"/>
      <c r="F364" s="705"/>
      <c r="G364" s="706"/>
      <c r="H364" s="707"/>
      <c r="I364" s="706"/>
      <c r="J364" s="706"/>
      <c r="K364" s="1619">
        <f>SUM(C364:J364)</f>
        <v>0</v>
      </c>
      <c r="L364" s="708"/>
    </row>
    <row r="365" spans="1:14" s="675" customFormat="1" ht="12.95" customHeight="1" thickBot="1">
      <c r="A365" s="1473" t="s">
        <v>611</v>
      </c>
      <c r="B365" s="660" t="s">
        <v>513</v>
      </c>
      <c r="C365" s="639"/>
      <c r="D365" s="639"/>
      <c r="E365" s="639"/>
      <c r="F365" s="639"/>
      <c r="G365" s="639"/>
      <c r="H365" s="1651">
        <f>SUM(H362,H363,H364)</f>
        <v>0</v>
      </c>
      <c r="I365" s="639"/>
      <c r="J365" s="639"/>
      <c r="K365" s="1651">
        <f>SUM(K362,K363,K364)</f>
        <v>0</v>
      </c>
      <c r="L365" s="1651">
        <f>SUM(L362,L363,L364)</f>
        <v>0</v>
      </c>
      <c r="M365" s="666"/>
      <c r="N365" s="666"/>
    </row>
    <row r="366" spans="1:14" s="343" customFormat="1" ht="15.75" customHeight="1" thickTop="1" thickBot="1">
      <c r="A366" s="1558" t="s">
        <v>1006</v>
      </c>
      <c r="B366" s="1565" t="s">
        <v>916</v>
      </c>
      <c r="C366" s="624"/>
      <c r="D366" s="624"/>
      <c r="E366" s="624"/>
      <c r="F366" s="624"/>
      <c r="G366" s="624"/>
      <c r="H366" s="624"/>
      <c r="I366" s="624"/>
      <c r="J366" s="617"/>
      <c r="K366" s="624"/>
      <c r="L366" s="573"/>
      <c r="M366" s="610"/>
      <c r="N366" s="610"/>
    </row>
    <row r="367" spans="1:14" ht="12.95" customHeight="1" thickTop="1" thickBot="1">
      <c r="A367" s="1640" t="s">
        <v>526</v>
      </c>
      <c r="B367" s="1652"/>
      <c r="C367" s="1618">
        <f t="shared" ref="C367:L367" si="28">SUM(C352,C357,C365,C366)</f>
        <v>0</v>
      </c>
      <c r="D367" s="1618">
        <f t="shared" si="28"/>
        <v>0</v>
      </c>
      <c r="E367" s="1618">
        <f t="shared" si="28"/>
        <v>0</v>
      </c>
      <c r="F367" s="1618">
        <f t="shared" si="28"/>
        <v>0</v>
      </c>
      <c r="G367" s="1618">
        <f t="shared" si="28"/>
        <v>0</v>
      </c>
      <c r="H367" s="1618">
        <f t="shared" si="28"/>
        <v>0</v>
      </c>
      <c r="I367" s="1618">
        <f t="shared" si="28"/>
        <v>0</v>
      </c>
      <c r="J367" s="1618">
        <f t="shared" si="28"/>
        <v>0</v>
      </c>
      <c r="K367" s="1618">
        <f t="shared" si="28"/>
        <v>0</v>
      </c>
      <c r="L367" s="1618">
        <f t="shared" si="28"/>
        <v>0</v>
      </c>
    </row>
    <row r="368" spans="1:14" ht="13.5" thickTop="1">
      <c r="A368" s="2150" t="s">
        <v>1053</v>
      </c>
      <c r="B368" s="2151"/>
      <c r="C368" s="655"/>
      <c r="D368" s="655"/>
      <c r="E368" s="627"/>
      <c r="F368" s="627"/>
      <c r="G368" s="627"/>
      <c r="H368" s="627"/>
      <c r="I368" s="627"/>
      <c r="J368" s="624"/>
      <c r="K368" s="161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I21" sqref="I21:S21"/>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833" t="s">
        <v>106</v>
      </c>
    </row>
    <row r="2" spans="1:6" ht="39.75" customHeight="1">
      <c r="A2" s="2177" t="s">
        <v>1866</v>
      </c>
      <c r="B2" s="1480" t="s">
        <v>1996</v>
      </c>
      <c r="C2" s="715" t="s">
        <v>1871</v>
      </c>
      <c r="D2" s="715" t="s">
        <v>1872</v>
      </c>
      <c r="E2" s="715" t="s">
        <v>1873</v>
      </c>
      <c r="F2" s="715" t="s">
        <v>1874</v>
      </c>
    </row>
    <row r="3" spans="1:6" ht="12" customHeight="1">
      <c r="A3" s="2178"/>
      <c r="B3" s="1477"/>
      <c r="C3" s="1478"/>
      <c r="D3" s="1479" t="s">
        <v>274</v>
      </c>
      <c r="E3" s="1478"/>
      <c r="F3" s="1479" t="s">
        <v>275</v>
      </c>
    </row>
    <row r="4" spans="1:6" ht="13.7" customHeight="1">
      <c r="A4" s="716" t="s">
        <v>1217</v>
      </c>
      <c r="B4" s="1697">
        <f>'Revenues 9-14'!C5</f>
        <v>855604</v>
      </c>
      <c r="C4" s="1476">
        <v>424647</v>
      </c>
      <c r="D4" s="1700">
        <f>B4-C4</f>
        <v>430957</v>
      </c>
      <c r="E4" s="1476">
        <v>831089</v>
      </c>
      <c r="F4" s="1700">
        <f>E4-C4</f>
        <v>406442</v>
      </c>
    </row>
    <row r="5" spans="1:6" ht="13.7" customHeight="1">
      <c r="A5" s="716" t="s">
        <v>925</v>
      </c>
      <c r="B5" s="1698">
        <f>'Revenues 9-14'!D5</f>
        <v>374754</v>
      </c>
      <c r="C5" s="585">
        <v>185995</v>
      </c>
      <c r="D5" s="1701">
        <f t="shared" ref="D5:D18" si="0">B5-C5</f>
        <v>188759</v>
      </c>
      <c r="E5" s="585">
        <v>364017</v>
      </c>
      <c r="F5" s="1701">
        <f>E5-C5</f>
        <v>178022</v>
      </c>
    </row>
    <row r="6" spans="1:6" ht="13.7" customHeight="1">
      <c r="A6" s="716" t="s">
        <v>431</v>
      </c>
      <c r="B6" s="1698">
        <f>'Revenues 9-14'!E5</f>
        <v>144690</v>
      </c>
      <c r="C6" s="585">
        <v>77013</v>
      </c>
      <c r="D6" s="1701">
        <f t="shared" si="0"/>
        <v>67677</v>
      </c>
      <c r="E6" s="585">
        <v>150726</v>
      </c>
      <c r="F6" s="1701">
        <f t="shared" ref="F6:F18" si="1">E6-C6</f>
        <v>73713</v>
      </c>
    </row>
    <row r="7" spans="1:6" ht="13.7" customHeight="1">
      <c r="A7" s="716" t="s">
        <v>157</v>
      </c>
      <c r="B7" s="1698">
        <f>'Revenues 9-14'!F5</f>
        <v>82138</v>
      </c>
      <c r="C7" s="585">
        <v>40767</v>
      </c>
      <c r="D7" s="1701">
        <f t="shared" si="0"/>
        <v>41371</v>
      </c>
      <c r="E7" s="585">
        <v>79785</v>
      </c>
      <c r="F7" s="1701">
        <f t="shared" si="1"/>
        <v>39018</v>
      </c>
    </row>
    <row r="8" spans="1:6" ht="13.7" customHeight="1">
      <c r="A8" s="716" t="s">
        <v>1241</v>
      </c>
      <c r="B8" s="1698">
        <f>'Revenues 9-14'!G5</f>
        <v>121825</v>
      </c>
      <c r="C8" s="585">
        <v>61319</v>
      </c>
      <c r="D8" s="1701">
        <f t="shared" si="0"/>
        <v>60506</v>
      </c>
      <c r="E8" s="585">
        <v>120009</v>
      </c>
      <c r="F8" s="1701">
        <f t="shared" si="1"/>
        <v>58690</v>
      </c>
    </row>
    <row r="9" spans="1:6" ht="13.7" customHeight="1">
      <c r="A9" s="716" t="s">
        <v>428</v>
      </c>
      <c r="B9" s="1698">
        <f>'Revenues 9-14'!H5</f>
        <v>0</v>
      </c>
      <c r="C9" s="585"/>
      <c r="D9" s="1701">
        <f t="shared" si="0"/>
        <v>0</v>
      </c>
      <c r="E9" s="585"/>
      <c r="F9" s="1701">
        <f t="shared" si="1"/>
        <v>0</v>
      </c>
    </row>
    <row r="10" spans="1:6" ht="13.7" customHeight="1">
      <c r="A10" s="716" t="s">
        <v>427</v>
      </c>
      <c r="B10" s="1698">
        <f>'Revenues 9-14'!I5</f>
        <v>34224</v>
      </c>
      <c r="C10" s="585">
        <v>16985</v>
      </c>
      <c r="D10" s="1701">
        <f t="shared" si="0"/>
        <v>17239</v>
      </c>
      <c r="E10" s="585">
        <v>33244</v>
      </c>
      <c r="F10" s="1701">
        <f t="shared" si="1"/>
        <v>16259</v>
      </c>
    </row>
    <row r="11" spans="1:6">
      <c r="A11" s="716" t="s">
        <v>429</v>
      </c>
      <c r="B11" s="1698">
        <f>'Revenues 9-14'!J5</f>
        <v>185667</v>
      </c>
      <c r="C11" s="585">
        <v>91995</v>
      </c>
      <c r="D11" s="1701">
        <f t="shared" si="0"/>
        <v>93672</v>
      </c>
      <c r="E11" s="585">
        <v>180047</v>
      </c>
      <c r="F11" s="1701">
        <f t="shared" si="1"/>
        <v>88052</v>
      </c>
    </row>
    <row r="12" spans="1:6" ht="13.7" customHeight="1">
      <c r="A12" s="716" t="s">
        <v>159</v>
      </c>
      <c r="B12" s="1698">
        <f>'Revenues 9-14'!K5</f>
        <v>0</v>
      </c>
      <c r="C12" s="585"/>
      <c r="D12" s="1701">
        <f t="shared" si="0"/>
        <v>0</v>
      </c>
      <c r="E12" s="585"/>
      <c r="F12" s="1701">
        <f t="shared" si="1"/>
        <v>0</v>
      </c>
    </row>
    <row r="13" spans="1:6" ht="13.7" customHeight="1">
      <c r="A13" s="716" t="s">
        <v>993</v>
      </c>
      <c r="B13" s="1698">
        <f>SUM('Revenues 9-14'!C6:D6)</f>
        <v>34224</v>
      </c>
      <c r="C13" s="585">
        <v>16986</v>
      </c>
      <c r="D13" s="1701">
        <f t="shared" si="0"/>
        <v>17238</v>
      </c>
      <c r="E13" s="585">
        <v>33243</v>
      </c>
      <c r="F13" s="1701">
        <f t="shared" si="1"/>
        <v>16257</v>
      </c>
    </row>
    <row r="14" spans="1:6" ht="13.7" customHeight="1">
      <c r="A14" s="716" t="s">
        <v>430</v>
      </c>
      <c r="B14" s="1698">
        <f>SUM('Revenues 9-14'!C7:D7,'Revenues 9-14'!F7:H7)</f>
        <v>13689</v>
      </c>
      <c r="C14" s="585">
        <v>6794</v>
      </c>
      <c r="D14" s="1701">
        <f t="shared" si="0"/>
        <v>6895</v>
      </c>
      <c r="E14" s="585">
        <v>13297</v>
      </c>
      <c r="F14" s="1701">
        <f t="shared" si="1"/>
        <v>6503</v>
      </c>
    </row>
    <row r="15" spans="1:6" ht="13.7" customHeight="1">
      <c r="A15" s="716" t="s">
        <v>1220</v>
      </c>
      <c r="B15" s="1698">
        <f>'Revenues 9-14'!E9</f>
        <v>0</v>
      </c>
      <c r="C15" s="585"/>
      <c r="D15" s="1701">
        <f t="shared" si="0"/>
        <v>0</v>
      </c>
      <c r="E15" s="585"/>
      <c r="F15" s="1701">
        <f t="shared" si="1"/>
        <v>0</v>
      </c>
    </row>
    <row r="16" spans="1:6" ht="13.7" customHeight="1">
      <c r="A16" s="716" t="s">
        <v>1221</v>
      </c>
      <c r="B16" s="1698">
        <f>'Revenues 9-14'!G8</f>
        <v>179430</v>
      </c>
      <c r="C16" s="585">
        <v>89447</v>
      </c>
      <c r="D16" s="1701">
        <f t="shared" si="0"/>
        <v>89983</v>
      </c>
      <c r="E16" s="585">
        <v>175060</v>
      </c>
      <c r="F16" s="1701">
        <f t="shared" si="1"/>
        <v>85613</v>
      </c>
    </row>
    <row r="17" spans="1:6" ht="13.7" customHeight="1">
      <c r="A17" s="716" t="s">
        <v>1222</v>
      </c>
      <c r="B17" s="1698">
        <f>'Revenues 9-14'!C10</f>
        <v>0</v>
      </c>
      <c r="C17" s="585"/>
      <c r="D17" s="1701">
        <f t="shared" si="0"/>
        <v>0</v>
      </c>
      <c r="E17" s="585"/>
      <c r="F17" s="1701">
        <f t="shared" si="1"/>
        <v>0</v>
      </c>
    </row>
    <row r="18" spans="1:6" ht="13.7" customHeight="1">
      <c r="A18" s="716" t="s">
        <v>786</v>
      </c>
      <c r="B18" s="1698">
        <f>SUM('Revenues 9-14'!C11:K11)</f>
        <v>0</v>
      </c>
      <c r="C18" s="585"/>
      <c r="D18" s="1701">
        <f t="shared" si="0"/>
        <v>0</v>
      </c>
      <c r="E18" s="585"/>
      <c r="F18" s="1701">
        <f t="shared" si="1"/>
        <v>0</v>
      </c>
    </row>
    <row r="19" spans="1:6" ht="13.7" customHeight="1" thickBot="1">
      <c r="A19" s="1702" t="s">
        <v>1223</v>
      </c>
      <c r="B19" s="1699">
        <f>SUM(B4:B18)</f>
        <v>2026245</v>
      </c>
      <c r="C19" s="1699">
        <f>SUM(C4:C18)</f>
        <v>1011948</v>
      </c>
      <c r="D19" s="1699">
        <f>SUM(D4:D18)</f>
        <v>1014297</v>
      </c>
      <c r="E19" s="1699">
        <f>SUM(E4:E18)</f>
        <v>1980517</v>
      </c>
      <c r="F19" s="1699">
        <f>SUM(F4:F18)</f>
        <v>968569</v>
      </c>
    </row>
    <row r="20" spans="1:6" ht="13.5" thickTop="1">
      <c r="B20" s="714"/>
      <c r="F20" s="717"/>
    </row>
    <row r="21" spans="1:6">
      <c r="A21" s="718" t="s">
        <v>1876</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5" colorId="8" zoomScale="110" zoomScaleNormal="110" workbookViewId="0">
      <selection activeCell="I21" sqref="I21:S21"/>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2" customHeight="1">
      <c r="A1" s="2199" t="s">
        <v>650</v>
      </c>
      <c r="B1" s="2197"/>
      <c r="C1" s="722"/>
    </row>
    <row r="2" spans="1:7" ht="33.75">
      <c r="A2" s="2204" t="s">
        <v>1866</v>
      </c>
      <c r="B2" s="2205"/>
      <c r="C2" s="1834" t="s">
        <v>1997</v>
      </c>
      <c r="D2" s="724" t="s">
        <v>2004</v>
      </c>
      <c r="E2" s="724" t="s">
        <v>2005</v>
      </c>
      <c r="F2" s="1834" t="s">
        <v>1998</v>
      </c>
    </row>
    <row r="3" spans="1:7" ht="15.75" customHeight="1">
      <c r="A3" s="2206" t="s">
        <v>1176</v>
      </c>
      <c r="B3" s="2207"/>
      <c r="C3" s="2200"/>
      <c r="D3" s="2201"/>
      <c r="E3" s="2201"/>
      <c r="F3" s="2202"/>
    </row>
    <row r="4" spans="1:7" ht="12.95" customHeight="1" thickBot="1">
      <c r="A4" s="2194" t="s">
        <v>651</v>
      </c>
      <c r="B4" s="2195"/>
      <c r="C4" s="581"/>
      <c r="D4" s="581"/>
      <c r="E4" s="581"/>
      <c r="F4" s="1703">
        <f>SUM(C4+D4)-E4</f>
        <v>0</v>
      </c>
    </row>
    <row r="5" spans="1:7" ht="15.75" customHeight="1" thickTop="1">
      <c r="A5" s="2198" t="s">
        <v>1172</v>
      </c>
      <c r="B5" s="2193"/>
      <c r="C5" s="2187"/>
      <c r="D5" s="2188"/>
      <c r="E5" s="2188"/>
      <c r="F5" s="2189"/>
    </row>
    <row r="6" spans="1:7" ht="12.95" customHeight="1" thickBot="1">
      <c r="A6" s="725" t="s">
        <v>66</v>
      </c>
      <c r="B6" s="726"/>
      <c r="C6" s="727"/>
      <c r="D6" s="585"/>
      <c r="E6" s="727"/>
      <c r="F6" s="1703">
        <f t="shared" ref="F6:F14" si="0">SUM(C6+D6)-E6</f>
        <v>0</v>
      </c>
    </row>
    <row r="7" spans="1:7" ht="12.95" customHeight="1" thickTop="1" thickBot="1">
      <c r="A7" s="725" t="s">
        <v>6</v>
      </c>
      <c r="B7" s="726"/>
      <c r="C7" s="727"/>
      <c r="D7" s="585"/>
      <c r="E7" s="727"/>
      <c r="F7" s="1703">
        <f t="shared" si="0"/>
        <v>0</v>
      </c>
    </row>
    <row r="8" spans="1:7" ht="12.95" customHeight="1" thickTop="1" thickBot="1">
      <c r="A8" s="725" t="s">
        <v>529</v>
      </c>
      <c r="B8" s="726"/>
      <c r="C8" s="727"/>
      <c r="D8" s="585"/>
      <c r="E8" s="727"/>
      <c r="F8" s="1703">
        <f t="shared" si="0"/>
        <v>0</v>
      </c>
    </row>
    <row r="9" spans="1:7" ht="12.95" customHeight="1" thickTop="1" thickBot="1">
      <c r="A9" s="725" t="s">
        <v>530</v>
      </c>
      <c r="B9" s="726"/>
      <c r="C9" s="727"/>
      <c r="D9" s="585"/>
      <c r="E9" s="727"/>
      <c r="F9" s="1703">
        <f t="shared" si="0"/>
        <v>0</v>
      </c>
    </row>
    <row r="10" spans="1:7" ht="12.95" customHeight="1" thickTop="1" thickBot="1">
      <c r="A10" s="725" t="s">
        <v>531</v>
      </c>
      <c r="B10" s="726"/>
      <c r="C10" s="727"/>
      <c r="D10" s="585"/>
      <c r="E10" s="727"/>
      <c r="F10" s="1703">
        <f t="shared" si="0"/>
        <v>0</v>
      </c>
    </row>
    <row r="11" spans="1:7" ht="12.95" customHeight="1" thickTop="1" thickBot="1">
      <c r="A11" s="725" t="s">
        <v>359</v>
      </c>
      <c r="B11" s="726"/>
      <c r="C11" s="727"/>
      <c r="D11" s="585"/>
      <c r="E11" s="727"/>
      <c r="F11" s="1703">
        <f t="shared" si="0"/>
        <v>0</v>
      </c>
    </row>
    <row r="12" spans="1:7" ht="12.95" customHeight="1" thickTop="1" thickBot="1">
      <c r="A12" s="725" t="s">
        <v>1219</v>
      </c>
      <c r="B12" s="726"/>
      <c r="C12" s="727"/>
      <c r="D12" s="585"/>
      <c r="E12" s="727"/>
      <c r="F12" s="1703">
        <f t="shared" si="0"/>
        <v>0</v>
      </c>
    </row>
    <row r="13" spans="1:7" ht="12.95" customHeight="1" thickTop="1" thickBot="1">
      <c r="A13" s="725" t="s">
        <v>406</v>
      </c>
      <c r="B13" s="726"/>
      <c r="C13" s="727"/>
      <c r="D13" s="585"/>
      <c r="E13" s="727"/>
      <c r="F13" s="1703">
        <f t="shared" si="0"/>
        <v>0</v>
      </c>
    </row>
    <row r="14" spans="1:7" ht="12.95" customHeight="1" thickTop="1" thickBot="1">
      <c r="A14" s="725" t="s">
        <v>468</v>
      </c>
      <c r="B14" s="726"/>
      <c r="C14" s="727"/>
      <c r="D14" s="585"/>
      <c r="E14" s="727"/>
      <c r="F14" s="1703">
        <f t="shared" si="0"/>
        <v>0</v>
      </c>
    </row>
    <row r="15" spans="1:7" ht="14.25" thickTop="1" thickBot="1">
      <c r="A15" s="2190" t="s">
        <v>652</v>
      </c>
      <c r="B15" s="2191"/>
      <c r="C15" s="1703">
        <f>SUM(C6:C14)</f>
        <v>0</v>
      </c>
      <c r="D15" s="1703">
        <f>SUM(D6:D14)</f>
        <v>0</v>
      </c>
      <c r="E15" s="1703">
        <f>SUM(E6:E14)</f>
        <v>0</v>
      </c>
      <c r="F15" s="1703">
        <f>SUM(F6:F14)</f>
        <v>0</v>
      </c>
      <c r="G15" s="552"/>
    </row>
    <row r="16" spans="1:7" s="202" customFormat="1" ht="15.75" customHeight="1" thickTop="1">
      <c r="A16" s="2203" t="s">
        <v>1173</v>
      </c>
      <c r="B16" s="2193"/>
      <c r="C16" s="2187"/>
      <c r="D16" s="2188"/>
      <c r="E16" s="2188"/>
      <c r="F16" s="2189"/>
    </row>
    <row r="17" spans="1:11" ht="12.95" customHeight="1" thickBot="1">
      <c r="A17" s="2185" t="s">
        <v>66</v>
      </c>
      <c r="B17" s="2186"/>
      <c r="C17" s="727"/>
      <c r="D17" s="585"/>
      <c r="E17" s="727"/>
      <c r="F17" s="1703">
        <f>SUM(C17+D17)-E17</f>
        <v>0</v>
      </c>
    </row>
    <row r="18" spans="1:11" ht="12.95" customHeight="1" thickTop="1" thickBot="1">
      <c r="A18" s="2185" t="s">
        <v>6</v>
      </c>
      <c r="B18" s="2186"/>
      <c r="C18" s="727"/>
      <c r="D18" s="585"/>
      <c r="E18" s="727"/>
      <c r="F18" s="1703">
        <f>SUM(C18+D18)-E18</f>
        <v>0</v>
      </c>
    </row>
    <row r="19" spans="1:11" ht="12.95" customHeight="1" thickTop="1" thickBot="1">
      <c r="A19" s="2185" t="s">
        <v>406</v>
      </c>
      <c r="B19" s="2186"/>
      <c r="C19" s="727"/>
      <c r="D19" s="585"/>
      <c r="E19" s="727"/>
      <c r="F19" s="1703">
        <f>SUM(C19+D19)-E19</f>
        <v>0</v>
      </c>
    </row>
    <row r="20" spans="1:11" ht="12.95" customHeight="1" thickTop="1" thickBot="1">
      <c r="A20" s="2185" t="s">
        <v>468</v>
      </c>
      <c r="B20" s="2186"/>
      <c r="C20" s="727"/>
      <c r="D20" s="585"/>
      <c r="E20" s="727"/>
      <c r="F20" s="1703">
        <f>SUM(C20+D20)-E20</f>
        <v>0</v>
      </c>
    </row>
    <row r="21" spans="1:11" ht="14.25" thickTop="1" thickBot="1">
      <c r="A21" s="2190" t="s">
        <v>653</v>
      </c>
      <c r="B21" s="2191"/>
      <c r="C21" s="1703">
        <f>SUM(C17:C20)</f>
        <v>0</v>
      </c>
      <c r="D21" s="1703">
        <f>SUM(D17:D20)</f>
        <v>0</v>
      </c>
      <c r="E21" s="1703">
        <f>SUM(E17:E20)</f>
        <v>0</v>
      </c>
      <c r="F21" s="1703">
        <f>SUM(F17:F20)</f>
        <v>0</v>
      </c>
      <c r="G21" s="552"/>
    </row>
    <row r="22" spans="1:11" ht="15.75" customHeight="1" thickTop="1">
      <c r="A22" s="2192" t="s">
        <v>1174</v>
      </c>
      <c r="B22" s="2193"/>
      <c r="C22" s="2187"/>
      <c r="D22" s="2188"/>
      <c r="E22" s="2188"/>
      <c r="F22" s="2189"/>
    </row>
    <row r="23" spans="1:11" ht="13.5" thickBot="1">
      <c r="A23" s="2194" t="s">
        <v>654</v>
      </c>
      <c r="B23" s="2195"/>
      <c r="C23" s="581"/>
      <c r="D23" s="581"/>
      <c r="E23" s="581"/>
      <c r="F23" s="1703">
        <f>SUM(C23+D23)-E23</f>
        <v>0</v>
      </c>
      <c r="G23" s="552"/>
    </row>
    <row r="24" spans="1:11" ht="15.75" customHeight="1" thickTop="1">
      <c r="A24" s="2192" t="s">
        <v>1175</v>
      </c>
      <c r="B24" s="2193"/>
      <c r="C24" s="2187"/>
      <c r="D24" s="2188"/>
      <c r="E24" s="2188"/>
      <c r="F24" s="2189"/>
    </row>
    <row r="25" spans="1:11" ht="13.5" thickBot="1">
      <c r="A25" s="2194" t="s">
        <v>655</v>
      </c>
      <c r="B25" s="2195"/>
      <c r="C25" s="581"/>
      <c r="D25" s="581"/>
      <c r="E25" s="581"/>
      <c r="F25" s="1703">
        <f>SUM(C25+D25)-E25</f>
        <v>0</v>
      </c>
      <c r="G25" s="552"/>
    </row>
    <row r="26" spans="1:11" ht="15.75" customHeight="1" thickTop="1">
      <c r="A26" s="2198" t="s">
        <v>678</v>
      </c>
      <c r="B26" s="2193"/>
      <c r="C26" s="728"/>
      <c r="D26" s="728"/>
      <c r="E26" s="728"/>
      <c r="F26" s="729"/>
    </row>
    <row r="27" spans="1:11" ht="13.5" thickBot="1">
      <c r="A27" s="2190" t="s">
        <v>1130</v>
      </c>
      <c r="B27" s="2191"/>
      <c r="C27" s="585"/>
      <c r="D27" s="585"/>
      <c r="E27" s="585"/>
      <c r="F27" s="1703">
        <f>SUM(C27+D27)-E27</f>
        <v>0</v>
      </c>
      <c r="G27" s="552"/>
    </row>
    <row r="28" spans="1:11" ht="7.5" customHeight="1" thickTop="1">
      <c r="A28" s="594"/>
    </row>
    <row r="29" spans="1:11" ht="23.25" customHeight="1">
      <c r="A29" s="2196" t="s">
        <v>603</v>
      </c>
      <c r="B29" s="2197"/>
      <c r="C29" s="730"/>
      <c r="D29" s="730"/>
      <c r="E29" s="730"/>
      <c r="F29" s="730"/>
      <c r="G29" s="730"/>
      <c r="H29" s="730"/>
      <c r="I29" s="730"/>
      <c r="J29" s="730"/>
    </row>
    <row r="30" spans="1:11" ht="33.75">
      <c r="A30" s="1481" t="s">
        <v>1131</v>
      </c>
      <c r="B30" s="731" t="s">
        <v>1186</v>
      </c>
      <c r="C30" s="1835" t="s">
        <v>604</v>
      </c>
      <c r="D30" s="1835" t="s">
        <v>1744</v>
      </c>
      <c r="E30" s="1835" t="s">
        <v>1999</v>
      </c>
      <c r="F30" s="1835" t="s">
        <v>2000</v>
      </c>
      <c r="G30" s="1835" t="s">
        <v>2003</v>
      </c>
      <c r="H30" s="1835" t="s">
        <v>2001</v>
      </c>
      <c r="I30" s="1835" t="s">
        <v>2002</v>
      </c>
      <c r="J30" s="1836" t="s">
        <v>2</v>
      </c>
      <c r="K30" s="732"/>
    </row>
    <row r="31" spans="1:11" ht="12" customHeight="1">
      <c r="A31" s="733" t="s">
        <v>2132</v>
      </c>
      <c r="B31" s="734">
        <v>41061</v>
      </c>
      <c r="C31" s="735">
        <v>1800000</v>
      </c>
      <c r="D31" s="736" t="s">
        <v>2133</v>
      </c>
      <c r="E31" s="735">
        <v>805000</v>
      </c>
      <c r="F31" s="735"/>
      <c r="G31" s="735"/>
      <c r="H31" s="735">
        <v>275000</v>
      </c>
      <c r="I31" s="1704">
        <f>((E31+F31)-H31)+G31</f>
        <v>530000</v>
      </c>
      <c r="J31" s="735">
        <v>518090</v>
      </c>
      <c r="K31" s="737"/>
    </row>
    <row r="32" spans="1:11" ht="12" customHeight="1">
      <c r="A32" s="733" t="s">
        <v>2134</v>
      </c>
      <c r="B32" s="734">
        <v>42143</v>
      </c>
      <c r="C32" s="735">
        <v>3054000</v>
      </c>
      <c r="D32" s="736" t="s">
        <v>2133</v>
      </c>
      <c r="E32" s="735">
        <v>2987000</v>
      </c>
      <c r="F32" s="735"/>
      <c r="G32" s="735"/>
      <c r="H32" s="735">
        <v>90000</v>
      </c>
      <c r="I32" s="1704">
        <f>((E32+F32)-H32)+G32</f>
        <v>2897000</v>
      </c>
      <c r="J32" s="735">
        <v>2831897</v>
      </c>
      <c r="K32" s="737"/>
    </row>
    <row r="33" spans="1:11" ht="12" customHeight="1">
      <c r="A33" s="733"/>
      <c r="B33" s="734"/>
      <c r="C33" s="735"/>
      <c r="D33" s="736"/>
      <c r="E33" s="735"/>
      <c r="F33" s="735"/>
      <c r="G33" s="735"/>
      <c r="H33" s="735"/>
      <c r="I33" s="1704">
        <f t="shared" ref="I33:I48" si="1">((E33+F33)-H33)+G33</f>
        <v>0</v>
      </c>
      <c r="J33" s="735"/>
      <c r="K33" s="737"/>
    </row>
    <row r="34" spans="1:11" ht="12" customHeight="1">
      <c r="A34" s="733"/>
      <c r="B34" s="734"/>
      <c r="C34" s="735"/>
      <c r="D34" s="736"/>
      <c r="E34" s="735"/>
      <c r="F34" s="735"/>
      <c r="G34" s="735"/>
      <c r="H34" s="735"/>
      <c r="I34" s="1704">
        <f t="shared" si="1"/>
        <v>0</v>
      </c>
      <c r="J34" s="735"/>
      <c r="K34" s="738"/>
    </row>
    <row r="35" spans="1:11" ht="12" customHeight="1">
      <c r="A35" s="733"/>
      <c r="B35" s="734"/>
      <c r="C35" s="739"/>
      <c r="D35" s="736"/>
      <c r="E35" s="739"/>
      <c r="F35" s="739"/>
      <c r="G35" s="739"/>
      <c r="H35" s="739"/>
      <c r="I35" s="1704">
        <f t="shared" si="1"/>
        <v>0</v>
      </c>
      <c r="J35" s="739"/>
      <c r="K35" s="738"/>
    </row>
    <row r="36" spans="1:11" ht="12" customHeight="1">
      <c r="A36" s="733"/>
      <c r="B36" s="734"/>
      <c r="C36" s="735"/>
      <c r="D36" s="736"/>
      <c r="E36" s="735"/>
      <c r="F36" s="735"/>
      <c r="G36" s="735"/>
      <c r="H36" s="735"/>
      <c r="I36" s="1704">
        <f t="shared" si="1"/>
        <v>0</v>
      </c>
      <c r="J36" s="735"/>
      <c r="K36" s="740"/>
    </row>
    <row r="37" spans="1:11" ht="12" customHeight="1">
      <c r="A37" s="733"/>
      <c r="B37" s="734"/>
      <c r="C37" s="467"/>
      <c r="D37" s="741"/>
      <c r="E37" s="467"/>
      <c r="F37" s="467"/>
      <c r="G37" s="467"/>
      <c r="H37" s="467"/>
      <c r="I37" s="1704">
        <f t="shared" si="1"/>
        <v>0</v>
      </c>
      <c r="J37" s="467"/>
      <c r="K37" s="738"/>
    </row>
    <row r="38" spans="1:11" ht="12" customHeight="1">
      <c r="A38" s="733"/>
      <c r="B38" s="734"/>
      <c r="C38" s="735"/>
      <c r="D38" s="742"/>
      <c r="E38" s="743"/>
      <c r="F38" s="743"/>
      <c r="G38" s="743"/>
      <c r="H38" s="743"/>
      <c r="I38" s="1704">
        <f t="shared" si="1"/>
        <v>0</v>
      </c>
      <c r="J38" s="744" t="s">
        <v>282</v>
      </c>
      <c r="K38" s="745"/>
    </row>
    <row r="39" spans="1:11" ht="12" customHeight="1">
      <c r="A39" s="733"/>
      <c r="B39" s="734"/>
      <c r="C39" s="735"/>
      <c r="D39" s="742"/>
      <c r="E39" s="743"/>
      <c r="F39" s="743"/>
      <c r="G39" s="743"/>
      <c r="H39" s="743"/>
      <c r="I39" s="1704">
        <f t="shared" si="1"/>
        <v>0</v>
      </c>
      <c r="J39" s="744"/>
      <c r="K39" s="745"/>
    </row>
    <row r="40" spans="1:11" ht="12" customHeight="1">
      <c r="A40" s="733"/>
      <c r="B40" s="734"/>
      <c r="C40" s="735"/>
      <c r="D40" s="742"/>
      <c r="E40" s="743"/>
      <c r="F40" s="743"/>
      <c r="G40" s="743"/>
      <c r="H40" s="743"/>
      <c r="I40" s="1704">
        <f t="shared" si="1"/>
        <v>0</v>
      </c>
      <c r="J40" s="744"/>
      <c r="K40" s="745"/>
    </row>
    <row r="41" spans="1:11" ht="12" customHeight="1">
      <c r="A41" s="733"/>
      <c r="B41" s="734"/>
      <c r="C41" s="735"/>
      <c r="D41" s="742"/>
      <c r="E41" s="743"/>
      <c r="F41" s="743"/>
      <c r="G41" s="743"/>
      <c r="H41" s="743"/>
      <c r="I41" s="1704">
        <f t="shared" si="1"/>
        <v>0</v>
      </c>
      <c r="J41" s="744"/>
      <c r="K41" s="745"/>
    </row>
    <row r="42" spans="1:11" ht="12" customHeight="1">
      <c r="A42" s="733"/>
      <c r="B42" s="734"/>
      <c r="C42" s="735"/>
      <c r="D42" s="742"/>
      <c r="E42" s="743"/>
      <c r="F42" s="743"/>
      <c r="G42" s="743"/>
      <c r="H42" s="743"/>
      <c r="I42" s="1704">
        <f t="shared" si="1"/>
        <v>0</v>
      </c>
      <c r="J42" s="744"/>
      <c r="K42" s="745"/>
    </row>
    <row r="43" spans="1:11" ht="12" customHeight="1">
      <c r="A43" s="733"/>
      <c r="B43" s="734"/>
      <c r="C43" s="735"/>
      <c r="D43" s="742"/>
      <c r="E43" s="743"/>
      <c r="F43" s="743"/>
      <c r="G43" s="743"/>
      <c r="H43" s="743"/>
      <c r="I43" s="1704">
        <f t="shared" si="1"/>
        <v>0</v>
      </c>
      <c r="J43" s="744"/>
      <c r="K43" s="745"/>
    </row>
    <row r="44" spans="1:11" ht="12" customHeight="1">
      <c r="A44" s="733"/>
      <c r="B44" s="734"/>
      <c r="C44" s="735"/>
      <c r="D44" s="736"/>
      <c r="E44" s="735"/>
      <c r="F44" s="735"/>
      <c r="G44" s="735"/>
      <c r="H44" s="735"/>
      <c r="I44" s="1704">
        <f t="shared" si="1"/>
        <v>0</v>
      </c>
      <c r="J44" s="735"/>
      <c r="K44" s="738"/>
    </row>
    <row r="45" spans="1:11" ht="12" customHeight="1">
      <c r="A45" s="733"/>
      <c r="B45" s="734"/>
      <c r="C45" s="735"/>
      <c r="D45" s="736"/>
      <c r="E45" s="735"/>
      <c r="F45" s="735"/>
      <c r="G45" s="735"/>
      <c r="H45" s="735"/>
      <c r="I45" s="1704">
        <f t="shared" si="1"/>
        <v>0</v>
      </c>
      <c r="J45" s="735"/>
      <c r="K45" s="738"/>
    </row>
    <row r="46" spans="1:11" ht="12" customHeight="1">
      <c r="A46" s="733"/>
      <c r="B46" s="734"/>
      <c r="C46" s="735"/>
      <c r="D46" s="736"/>
      <c r="E46" s="735"/>
      <c r="F46" s="735"/>
      <c r="G46" s="735"/>
      <c r="H46" s="735"/>
      <c r="I46" s="1704">
        <f t="shared" si="1"/>
        <v>0</v>
      </c>
      <c r="J46" s="735"/>
      <c r="K46" s="738"/>
    </row>
    <row r="47" spans="1:11" ht="12" customHeight="1">
      <c r="A47" s="733"/>
      <c r="B47" s="734"/>
      <c r="C47" s="739"/>
      <c r="D47" s="736"/>
      <c r="E47" s="739"/>
      <c r="F47" s="739"/>
      <c r="G47" s="739"/>
      <c r="H47" s="739"/>
      <c r="I47" s="1704">
        <f t="shared" si="1"/>
        <v>0</v>
      </c>
      <c r="J47" s="739"/>
      <c r="K47" s="738"/>
    </row>
    <row r="48" spans="1:11" ht="12" customHeight="1">
      <c r="A48" s="733"/>
      <c r="B48" s="734"/>
      <c r="C48" s="735"/>
      <c r="D48" s="736"/>
      <c r="E48" s="735"/>
      <c r="F48" s="735"/>
      <c r="G48" s="735"/>
      <c r="H48" s="735"/>
      <c r="I48" s="1704">
        <f t="shared" si="1"/>
        <v>0</v>
      </c>
      <c r="J48" s="735"/>
      <c r="K48" s="738"/>
    </row>
    <row r="49" spans="1:11" ht="12" customHeight="1">
      <c r="A49" s="733"/>
      <c r="B49" s="734"/>
      <c r="C49" s="1704">
        <f>SUM(C31:C48)</f>
        <v>4854000</v>
      </c>
      <c r="D49" s="746"/>
      <c r="E49" s="1704">
        <f t="shared" ref="E49:J49" si="2">SUM(E31:E48)</f>
        <v>3792000</v>
      </c>
      <c r="F49" s="1704">
        <f t="shared" si="2"/>
        <v>0</v>
      </c>
      <c r="G49" s="1704">
        <f t="shared" si="2"/>
        <v>0</v>
      </c>
      <c r="H49" s="1704">
        <f t="shared" si="2"/>
        <v>365000</v>
      </c>
      <c r="I49" s="1704">
        <f t="shared" si="2"/>
        <v>3427000</v>
      </c>
      <c r="J49" s="1704">
        <f t="shared" si="2"/>
        <v>3349987</v>
      </c>
      <c r="K49" s="738"/>
    </row>
    <row r="50" spans="1:11" ht="6" customHeight="1">
      <c r="A50" s="747"/>
      <c r="B50" s="737"/>
      <c r="C50" s="737"/>
      <c r="D50" s="737"/>
      <c r="E50" s="737"/>
      <c r="F50" s="737"/>
      <c r="G50" s="737"/>
      <c r="H50" s="737"/>
      <c r="I50" s="737"/>
      <c r="J50" s="747"/>
    </row>
    <row r="51" spans="1:11">
      <c r="A51" s="748" t="s">
        <v>1875</v>
      </c>
      <c r="B51" s="747"/>
      <c r="C51" s="738"/>
      <c r="D51" s="738"/>
      <c r="E51" s="738"/>
      <c r="F51" s="738"/>
      <c r="G51" s="738"/>
      <c r="H51" s="737"/>
      <c r="I51" s="737"/>
      <c r="J51" s="747"/>
    </row>
    <row r="52" spans="1:11" ht="11.25" customHeight="1">
      <c r="A52" s="749" t="s">
        <v>968</v>
      </c>
      <c r="B52" s="2179" t="s">
        <v>605</v>
      </c>
      <c r="C52" s="2180"/>
      <c r="D52" s="2180"/>
      <c r="E52" s="750" t="s">
        <v>900</v>
      </c>
      <c r="F52" s="2181"/>
      <c r="G52" s="2182"/>
      <c r="H52" s="737"/>
      <c r="I52" s="737"/>
      <c r="J52" s="747"/>
    </row>
    <row r="53" spans="1:11" ht="11.25" customHeight="1">
      <c r="A53" s="751" t="s">
        <v>969</v>
      </c>
      <c r="B53" s="752" t="s">
        <v>1008</v>
      </c>
      <c r="C53" s="747"/>
      <c r="D53" s="738"/>
      <c r="E53" s="750" t="s">
        <v>518</v>
      </c>
      <c r="F53" s="2183"/>
      <c r="G53" s="2184"/>
      <c r="H53" s="737"/>
      <c r="I53" s="737"/>
      <c r="J53" s="747"/>
    </row>
    <row r="54" spans="1:11" ht="11.25" customHeight="1">
      <c r="A54" s="753" t="s">
        <v>970</v>
      </c>
      <c r="B54" s="748" t="s">
        <v>1009</v>
      </c>
      <c r="C54" s="747"/>
      <c r="D54" s="738"/>
      <c r="E54" s="750" t="s">
        <v>519</v>
      </c>
      <c r="F54" s="2183"/>
      <c r="G54" s="2184"/>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topLeftCell="A16" colorId="8" zoomScale="110" zoomScaleNormal="110" workbookViewId="0">
      <selection activeCell="I21" sqref="I21:S2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08" t="s">
        <v>911</v>
      </c>
      <c r="B1" s="2209"/>
      <c r="C1" s="2209"/>
      <c r="D1" s="2209"/>
      <c r="E1" s="2209"/>
      <c r="F1" s="2209"/>
      <c r="G1" s="2210"/>
      <c r="H1" s="1482"/>
      <c r="I1" s="761"/>
      <c r="J1" s="433"/>
    </row>
    <row r="2" spans="1:11" ht="26.25">
      <c r="A2" s="2227" t="s">
        <v>1748</v>
      </c>
      <c r="B2" s="2228"/>
      <c r="C2" s="2228"/>
      <c r="D2" s="2228"/>
      <c r="E2" s="2229"/>
      <c r="F2" s="762" t="s">
        <v>960</v>
      </c>
      <c r="G2" s="763" t="s">
        <v>1745</v>
      </c>
      <c r="H2" s="763" t="s">
        <v>430</v>
      </c>
      <c r="I2" s="763" t="s">
        <v>1220</v>
      </c>
      <c r="J2" s="763" t="s">
        <v>1880</v>
      </c>
      <c r="K2" s="763" t="s">
        <v>140</v>
      </c>
    </row>
    <row r="3" spans="1:11">
      <c r="A3" s="2230" t="s">
        <v>1670</v>
      </c>
      <c r="B3" s="2231"/>
      <c r="C3" s="2231"/>
      <c r="D3" s="2231"/>
      <c r="E3" s="2232"/>
      <c r="F3" s="764"/>
      <c r="G3" s="765"/>
      <c r="H3" s="765"/>
      <c r="I3" s="765"/>
      <c r="J3" s="766"/>
      <c r="K3" s="766"/>
    </row>
    <row r="4" spans="1:11">
      <c r="A4" s="2233" t="s">
        <v>387</v>
      </c>
      <c r="B4" s="2234"/>
      <c r="C4" s="2234"/>
      <c r="D4" s="2234"/>
      <c r="E4" s="2180"/>
      <c r="F4" s="767"/>
      <c r="G4" s="768"/>
      <c r="H4" s="769"/>
      <c r="I4" s="768"/>
      <c r="J4" s="770"/>
      <c r="K4" s="770"/>
    </row>
    <row r="5" spans="1:11">
      <c r="A5" s="2211" t="s">
        <v>1129</v>
      </c>
      <c r="B5" s="2212"/>
      <c r="C5" s="2212"/>
      <c r="D5" s="2212"/>
      <c r="E5" s="2213"/>
      <c r="F5" s="771" t="s">
        <v>903</v>
      </c>
      <c r="G5" s="772"/>
      <c r="H5" s="765">
        <v>13689</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v>518628</v>
      </c>
      <c r="K8" s="770"/>
    </row>
    <row r="9" spans="1:11">
      <c r="A9" s="779" t="s">
        <v>140</v>
      </c>
      <c r="B9" s="780"/>
      <c r="C9" s="780"/>
      <c r="D9" s="780"/>
      <c r="E9" s="781"/>
      <c r="F9" s="778" t="s">
        <v>908</v>
      </c>
      <c r="G9" s="783"/>
      <c r="H9" s="772"/>
      <c r="I9" s="772"/>
      <c r="J9" s="782"/>
      <c r="K9" s="766"/>
    </row>
    <row r="10" spans="1:11">
      <c r="A10" s="2211" t="s">
        <v>1881</v>
      </c>
      <c r="B10" s="2212"/>
      <c r="C10" s="2212"/>
      <c r="D10" s="2212"/>
      <c r="E10" s="2214"/>
      <c r="F10" s="784" t="s">
        <v>917</v>
      </c>
      <c r="G10" s="783"/>
      <c r="H10" s="785"/>
      <c r="I10" s="765"/>
      <c r="J10" s="766"/>
      <c r="K10" s="766"/>
    </row>
    <row r="11" spans="1:11">
      <c r="A11" s="2211" t="s">
        <v>162</v>
      </c>
      <c r="B11" s="2212"/>
      <c r="C11" s="2212"/>
      <c r="D11" s="2212"/>
      <c r="E11" s="2213"/>
      <c r="F11" s="771" t="s">
        <v>907</v>
      </c>
      <c r="G11" s="772"/>
      <c r="H11" s="765"/>
      <c r="I11" s="765"/>
      <c r="J11" s="766"/>
      <c r="K11" s="774"/>
    </row>
    <row r="12" spans="1:11" ht="13.5" thickBot="1">
      <c r="A12" s="2238" t="s">
        <v>961</v>
      </c>
      <c r="B12" s="2239"/>
      <c r="C12" s="2239"/>
      <c r="D12" s="2239"/>
      <c r="E12" s="2240"/>
      <c r="F12" s="1705"/>
      <c r="G12" s="1706">
        <f>SUM(G5:G11)</f>
        <v>0</v>
      </c>
      <c r="H12" s="1706">
        <f>SUM(H5:H11)</f>
        <v>13689</v>
      </c>
      <c r="I12" s="1706">
        <f>SUM(I5:I11)</f>
        <v>0</v>
      </c>
      <c r="J12" s="1706">
        <f>SUM(J5:J11)</f>
        <v>518628</v>
      </c>
      <c r="K12" s="1706">
        <f>SUM(K5:K11)</f>
        <v>0</v>
      </c>
    </row>
    <row r="13" spans="1:11" ht="13.5" thickTop="1">
      <c r="A13" s="2235" t="s">
        <v>388</v>
      </c>
      <c r="B13" s="2236"/>
      <c r="C13" s="2236"/>
      <c r="D13" s="2236"/>
      <c r="E13" s="2237"/>
      <c r="F13" s="786"/>
      <c r="G13" s="787"/>
      <c r="H13" s="788"/>
      <c r="I13" s="789"/>
      <c r="J13" s="789"/>
      <c r="K13" s="789"/>
    </row>
    <row r="14" spans="1:11">
      <c r="A14" s="2218" t="s">
        <v>476</v>
      </c>
      <c r="B14" s="2218"/>
      <c r="C14" s="2218"/>
      <c r="D14" s="2218"/>
      <c r="E14" s="2219"/>
      <c r="F14" s="790" t="s">
        <v>909</v>
      </c>
      <c r="G14" s="783"/>
      <c r="H14" s="765">
        <v>13689</v>
      </c>
      <c r="I14" s="772"/>
      <c r="J14" s="774"/>
      <c r="K14" s="766"/>
    </row>
    <row r="15" spans="1:11">
      <c r="A15" s="2212" t="s">
        <v>4</v>
      </c>
      <c r="B15" s="2212"/>
      <c r="C15" s="2212"/>
      <c r="D15" s="2212"/>
      <c r="E15" s="2213"/>
      <c r="F15" s="790" t="s">
        <v>910</v>
      </c>
      <c r="G15" s="772"/>
      <c r="H15" s="765"/>
      <c r="I15" s="765"/>
      <c r="J15" s="766">
        <v>162516</v>
      </c>
      <c r="K15" s="766"/>
    </row>
    <row r="16" spans="1:11">
      <c r="A16" s="2212" t="s">
        <v>316</v>
      </c>
      <c r="B16" s="2212"/>
      <c r="C16" s="2212"/>
      <c r="D16" s="2212"/>
      <c r="E16" s="2213"/>
      <c r="F16" s="790" t="s">
        <v>980</v>
      </c>
      <c r="G16" s="773"/>
      <c r="H16" s="768"/>
      <c r="I16" s="768"/>
      <c r="J16" s="770"/>
      <c r="K16" s="770"/>
    </row>
    <row r="17" spans="1:11">
      <c r="A17" s="2243" t="s">
        <v>992</v>
      </c>
      <c r="B17" s="2243"/>
      <c r="C17" s="2243"/>
      <c r="D17" s="2243"/>
      <c r="E17" s="2244"/>
      <c r="F17" s="791"/>
      <c r="G17" s="792"/>
      <c r="H17" s="793"/>
      <c r="I17" s="793"/>
      <c r="J17" s="794"/>
      <c r="K17" s="795"/>
    </row>
    <row r="18" spans="1:11">
      <c r="A18" s="2222" t="s">
        <v>386</v>
      </c>
      <c r="B18" s="2223"/>
      <c r="C18" s="2223"/>
      <c r="D18" s="2223"/>
      <c r="E18" s="2224"/>
      <c r="F18" s="790" t="s">
        <v>989</v>
      </c>
      <c r="G18" s="783"/>
      <c r="H18" s="783"/>
      <c r="I18" s="783"/>
      <c r="J18" s="766"/>
      <c r="K18" s="796"/>
    </row>
    <row r="19" spans="1:11" ht="21.75" customHeight="1">
      <c r="A19" s="2220" t="s">
        <v>1877</v>
      </c>
      <c r="B19" s="2220"/>
      <c r="C19" s="2220"/>
      <c r="D19" s="2220"/>
      <c r="E19" s="2221"/>
      <c r="F19" s="790" t="s">
        <v>990</v>
      </c>
      <c r="G19" s="783"/>
      <c r="H19" s="783"/>
      <c r="I19" s="783"/>
      <c r="J19" s="766">
        <v>328545</v>
      </c>
      <c r="K19" s="796"/>
    </row>
    <row r="20" spans="1:11">
      <c r="A20" s="2222" t="s">
        <v>1882</v>
      </c>
      <c r="B20" s="2223"/>
      <c r="C20" s="2223"/>
      <c r="D20" s="2223"/>
      <c r="E20" s="2224"/>
      <c r="F20" s="790" t="s">
        <v>991</v>
      </c>
      <c r="G20" s="783"/>
      <c r="H20" s="783"/>
      <c r="I20" s="783"/>
      <c r="J20" s="766"/>
      <c r="K20" s="796"/>
    </row>
    <row r="21" spans="1:11" ht="13.5" thickBot="1">
      <c r="A21" s="2241" t="s">
        <v>659</v>
      </c>
      <c r="B21" s="2241"/>
      <c r="C21" s="2241"/>
      <c r="D21" s="2241"/>
      <c r="E21" s="2241"/>
      <c r="F21" s="1707"/>
      <c r="G21" s="793"/>
      <c r="H21" s="797"/>
      <c r="I21" s="797"/>
      <c r="J21" s="1708">
        <f>SUM(J18:J20)</f>
        <v>328545</v>
      </c>
      <c r="K21" s="794"/>
    </row>
    <row r="22" spans="1:11" ht="13.5" thickTop="1">
      <c r="A22" s="2212" t="s">
        <v>1883</v>
      </c>
      <c r="B22" s="2212"/>
      <c r="C22" s="2212"/>
      <c r="D22" s="2212"/>
      <c r="E22" s="2213"/>
      <c r="F22" s="790" t="s">
        <v>917</v>
      </c>
      <c r="G22" s="783"/>
      <c r="H22" s="765"/>
      <c r="I22" s="765"/>
      <c r="J22" s="798"/>
      <c r="K22" s="766"/>
    </row>
    <row r="23" spans="1:11" ht="13.5" thickBot="1">
      <c r="A23" s="2242" t="s">
        <v>962</v>
      </c>
      <c r="B23" s="2241"/>
      <c r="C23" s="2241"/>
      <c r="D23" s="2241"/>
      <c r="E23" s="2241"/>
      <c r="F23" s="1709"/>
      <c r="G23" s="1706">
        <f>SUM(G14:G16,G21,G22)</f>
        <v>0</v>
      </c>
      <c r="H23" s="1706">
        <f>SUM(H14:H16,H21,H22)</f>
        <v>13689</v>
      </c>
      <c r="I23" s="1706">
        <f>SUM(I14:I16,I21,I22)</f>
        <v>0</v>
      </c>
      <c r="J23" s="1706">
        <f>SUM(J14:J16,J21,J22)</f>
        <v>491061</v>
      </c>
      <c r="K23" s="1706">
        <f>SUM(K14:K16,K21,K22)</f>
        <v>0</v>
      </c>
    </row>
    <row r="24" spans="1:11" ht="14.25" thickTop="1" thickBot="1">
      <c r="A24" s="2242" t="s">
        <v>1985</v>
      </c>
      <c r="B24" s="2241"/>
      <c r="C24" s="2241"/>
      <c r="D24" s="2241"/>
      <c r="E24" s="2241"/>
      <c r="F24" s="1710"/>
      <c r="G24" s="1711">
        <f>SUM(G3,G12)-G23</f>
        <v>0</v>
      </c>
      <c r="H24" s="1711">
        <f>SUM(H3,H12)-H23</f>
        <v>0</v>
      </c>
      <c r="I24" s="1711">
        <f>SUM(I3,I12)-I23</f>
        <v>0</v>
      </c>
      <c r="J24" s="1711">
        <f>SUM(J3,J12)-J23</f>
        <v>27567</v>
      </c>
      <c r="K24" s="1711">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06">
        <f>G24-G25</f>
        <v>0</v>
      </c>
      <c r="H26" s="1706">
        <f>H24-H25</f>
        <v>0</v>
      </c>
      <c r="I26" s="1706">
        <f>I24-I25</f>
        <v>0</v>
      </c>
      <c r="J26" s="1706">
        <f>J24-J25</f>
        <v>27567</v>
      </c>
      <c r="K26" s="1706">
        <f>K24-K25</f>
        <v>0</v>
      </c>
    </row>
    <row r="27" spans="1:11" ht="5.25" customHeight="1" thickTop="1">
      <c r="I27" s="202"/>
      <c r="J27" s="202"/>
    </row>
    <row r="28" spans="1:11" ht="29.25" customHeight="1">
      <c r="A28" s="1830" t="s">
        <v>1995</v>
      </c>
      <c r="B28" s="1831"/>
      <c r="C28" s="1831"/>
      <c r="D28" s="1831"/>
      <c r="E28" s="1832"/>
      <c r="F28" s="804"/>
      <c r="G28" s="805"/>
    </row>
    <row r="29" spans="1:11">
      <c r="B29" s="501"/>
      <c r="C29" s="501"/>
      <c r="D29" s="501"/>
      <c r="F29" s="202"/>
      <c r="G29" s="806"/>
    </row>
    <row r="30" spans="1:11">
      <c r="A30" s="807" t="s">
        <v>593</v>
      </c>
      <c r="B30" s="808"/>
      <c r="C30" s="807" t="s">
        <v>401</v>
      </c>
      <c r="D30" s="808"/>
      <c r="E30" s="809" t="s">
        <v>792</v>
      </c>
      <c r="F30" s="202"/>
      <c r="G30" s="806"/>
    </row>
    <row r="31" spans="1:11">
      <c r="A31" s="810"/>
      <c r="D31" s="237"/>
      <c r="E31" s="811" t="s">
        <v>793</v>
      </c>
      <c r="F31" s="812" t="s">
        <v>560</v>
      </c>
      <c r="G31" s="765"/>
      <c r="H31" s="2215"/>
      <c r="I31" s="2216"/>
      <c r="J31" s="2216"/>
      <c r="K31" s="2216"/>
    </row>
    <row r="32" spans="1:11">
      <c r="A32" s="810"/>
      <c r="B32" s="237"/>
      <c r="C32" s="237"/>
      <c r="D32" s="237"/>
      <c r="E32" s="806"/>
      <c r="F32" s="812" t="s">
        <v>561</v>
      </c>
      <c r="G32" s="765"/>
      <c r="H32" s="2217"/>
      <c r="I32" s="2216"/>
      <c r="J32" s="2216"/>
      <c r="K32" s="2216"/>
    </row>
    <row r="33" spans="1:11" ht="1.5" customHeight="1">
      <c r="A33" s="813" t="s">
        <v>1231</v>
      </c>
      <c r="B33" s="364"/>
      <c r="C33" s="364"/>
      <c r="D33" s="364"/>
      <c r="E33" s="364"/>
      <c r="F33" s="364"/>
      <c r="G33" s="814"/>
      <c r="H33" s="2217"/>
      <c r="I33" s="2216"/>
      <c r="J33" s="2216"/>
      <c r="K33" s="2216"/>
    </row>
    <row r="34" spans="1:11">
      <c r="A34" s="815" t="s">
        <v>1884</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212" t="s">
        <v>562</v>
      </c>
      <c r="B41" s="2225"/>
      <c r="C41" s="2225"/>
      <c r="D41" s="2225"/>
      <c r="E41" s="2225"/>
      <c r="F41" s="2226"/>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483" t="s">
        <v>1878</v>
      </c>
      <c r="B46" s="408" t="s">
        <v>1746</v>
      </c>
    </row>
    <row r="47" spans="1:11" s="824" customFormat="1" ht="12.95" customHeight="1">
      <c r="A47" s="822"/>
      <c r="B47" s="823" t="s">
        <v>1747</v>
      </c>
      <c r="E47" s="823"/>
      <c r="K47" s="825"/>
    </row>
    <row r="48" spans="1:11" ht="12.95" customHeight="1">
      <c r="A48" s="1484" t="s">
        <v>1879</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I21" sqref="I21:S21"/>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47" t="s">
        <v>1994</v>
      </c>
      <c r="B1" s="2248"/>
      <c r="C1" s="2249"/>
      <c r="D1" s="827"/>
      <c r="E1" s="828"/>
      <c r="F1" s="828"/>
      <c r="G1" s="829"/>
      <c r="H1" s="830"/>
      <c r="I1" s="831"/>
      <c r="J1" s="2245"/>
      <c r="K1" s="2246"/>
      <c r="L1" s="2246"/>
    </row>
    <row r="2" spans="1:14" ht="69.75" customHeight="1">
      <c r="A2" s="832" t="s">
        <v>1749</v>
      </c>
      <c r="B2" s="833" t="s">
        <v>396</v>
      </c>
      <c r="C2" s="834" t="s">
        <v>1989</v>
      </c>
      <c r="D2" s="834" t="s">
        <v>1986</v>
      </c>
      <c r="E2" s="834" t="s">
        <v>1987</v>
      </c>
      <c r="F2" s="834" t="s">
        <v>1988</v>
      </c>
      <c r="G2" s="834" t="s">
        <v>626</v>
      </c>
      <c r="H2" s="834" t="s">
        <v>1990</v>
      </c>
      <c r="I2" s="834" t="s">
        <v>1991</v>
      </c>
      <c r="J2" s="834" t="s">
        <v>2006</v>
      </c>
      <c r="K2" s="834" t="s">
        <v>1992</v>
      </c>
      <c r="L2" s="834" t="s">
        <v>1993</v>
      </c>
      <c r="M2" s="835"/>
      <c r="N2" s="835"/>
    </row>
    <row r="3" spans="1:14" ht="13.5" thickBot="1">
      <c r="A3" s="1581" t="s">
        <v>948</v>
      </c>
      <c r="B3" s="1582">
        <v>210</v>
      </c>
      <c r="C3" s="836"/>
      <c r="D3" s="836"/>
      <c r="E3" s="836"/>
      <c r="F3" s="1708">
        <f>(C3+D3)-E3</f>
        <v>0</v>
      </c>
      <c r="G3" s="837"/>
      <c r="H3" s="836"/>
      <c r="I3" s="836"/>
      <c r="J3" s="836"/>
      <c r="K3" s="1717">
        <f>(H3+I3)-J3</f>
        <v>0</v>
      </c>
      <c r="L3" s="1717">
        <f>F3-K3</f>
        <v>0</v>
      </c>
      <c r="M3" s="835"/>
      <c r="N3" s="835"/>
    </row>
    <row r="4" spans="1:14" ht="15" customHeight="1" thickTop="1">
      <c r="A4" s="1583" t="s">
        <v>160</v>
      </c>
      <c r="B4" s="1582">
        <v>220</v>
      </c>
      <c r="C4" s="782"/>
      <c r="D4" s="782"/>
      <c r="E4" s="782"/>
      <c r="F4" s="774"/>
      <c r="G4" s="838"/>
      <c r="H4" s="839"/>
      <c r="I4" s="839"/>
      <c r="J4" s="839"/>
      <c r="K4" s="840"/>
      <c r="L4" s="774"/>
    </row>
    <row r="5" spans="1:14" ht="13.5" thickBot="1">
      <c r="A5" s="779" t="s">
        <v>949</v>
      </c>
      <c r="B5" s="841">
        <v>221</v>
      </c>
      <c r="C5" s="842">
        <v>78800</v>
      </c>
      <c r="D5" s="842"/>
      <c r="E5" s="842"/>
      <c r="F5" s="1708">
        <f>(C5+D5)-E5</f>
        <v>78800</v>
      </c>
      <c r="G5" s="838"/>
      <c r="H5" s="843"/>
      <c r="I5" s="843"/>
      <c r="J5" s="843"/>
      <c r="K5" s="794"/>
      <c r="L5" s="1717">
        <f>F5-K5</f>
        <v>78800</v>
      </c>
    </row>
    <row r="6" spans="1:14" ht="14.25" thickTop="1" thickBot="1">
      <c r="A6" s="779" t="s">
        <v>1179</v>
      </c>
      <c r="B6" s="841">
        <v>222</v>
      </c>
      <c r="C6" s="766"/>
      <c r="D6" s="766"/>
      <c r="E6" s="766"/>
      <c r="F6" s="1708">
        <f>(C6+D6)-E6</f>
        <v>0</v>
      </c>
      <c r="G6" s="838">
        <v>50</v>
      </c>
      <c r="H6" s="766"/>
      <c r="I6" s="766"/>
      <c r="J6" s="766"/>
      <c r="K6" s="1717">
        <f>(H6+I6)-J6</f>
        <v>0</v>
      </c>
      <c r="L6" s="1717">
        <f>F6-K6</f>
        <v>0</v>
      </c>
    </row>
    <row r="7" spans="1:14" ht="15" customHeight="1" thickTop="1">
      <c r="A7" s="1583" t="s">
        <v>161</v>
      </c>
      <c r="B7" s="1582">
        <v>230</v>
      </c>
      <c r="C7" s="782"/>
      <c r="D7" s="782"/>
      <c r="E7" s="782"/>
      <c r="F7" s="774"/>
      <c r="G7" s="844"/>
      <c r="H7" s="782"/>
      <c r="I7" s="782"/>
      <c r="J7" s="782"/>
      <c r="K7" s="774"/>
      <c r="L7" s="774"/>
    </row>
    <row r="8" spans="1:14" ht="13.5" thickBot="1">
      <c r="A8" s="779" t="s">
        <v>1180</v>
      </c>
      <c r="B8" s="841">
        <v>231</v>
      </c>
      <c r="C8" s="845">
        <v>16904710</v>
      </c>
      <c r="D8" s="845">
        <v>162516</v>
      </c>
      <c r="E8" s="845"/>
      <c r="F8" s="1708">
        <f>(C8+D8)-E8</f>
        <v>17067226</v>
      </c>
      <c r="G8" s="844">
        <v>50</v>
      </c>
      <c r="H8" s="766">
        <v>7988935</v>
      </c>
      <c r="I8" s="766">
        <v>220119</v>
      </c>
      <c r="J8" s="766"/>
      <c r="K8" s="1717">
        <f>(H8+I8)-J8</f>
        <v>8209054</v>
      </c>
      <c r="L8" s="1717">
        <f>F8-K8</f>
        <v>8858172</v>
      </c>
    </row>
    <row r="9" spans="1:14" ht="14.25" thickTop="1" thickBot="1">
      <c r="A9" s="779" t="s">
        <v>1181</v>
      </c>
      <c r="B9" s="841">
        <v>232</v>
      </c>
      <c r="C9" s="766"/>
      <c r="D9" s="766"/>
      <c r="E9" s="766"/>
      <c r="F9" s="1708">
        <f>(C9+D9)-E9</f>
        <v>0</v>
      </c>
      <c r="G9" s="844">
        <v>20</v>
      </c>
      <c r="H9" s="766"/>
      <c r="I9" s="766"/>
      <c r="J9" s="766"/>
      <c r="K9" s="1717">
        <f>(H9+I9)-J9</f>
        <v>0</v>
      </c>
      <c r="L9" s="1717">
        <f>F9-K9</f>
        <v>0</v>
      </c>
    </row>
    <row r="10" spans="1:14" ht="24" thickTop="1" thickBot="1">
      <c r="A10" s="846" t="s">
        <v>1182</v>
      </c>
      <c r="B10" s="841">
        <v>240</v>
      </c>
      <c r="C10" s="847">
        <v>345963</v>
      </c>
      <c r="D10" s="847"/>
      <c r="E10" s="847"/>
      <c r="F10" s="1712">
        <f>(C10+D10)-E10</f>
        <v>345963</v>
      </c>
      <c r="G10" s="844">
        <v>20</v>
      </c>
      <c r="H10" s="848">
        <v>337911</v>
      </c>
      <c r="I10" s="848">
        <v>3062</v>
      </c>
      <c r="J10" s="848"/>
      <c r="K10" s="1717">
        <f>(H10+I10)-J10</f>
        <v>340973</v>
      </c>
      <c r="L10" s="1717">
        <f>F10-K10</f>
        <v>4990</v>
      </c>
    </row>
    <row r="11" spans="1:14" ht="13.5" thickTop="1">
      <c r="A11" s="1584" t="s">
        <v>1198</v>
      </c>
      <c r="B11" s="1582">
        <v>250</v>
      </c>
      <c r="C11" s="782"/>
      <c r="D11" s="782"/>
      <c r="E11" s="782"/>
      <c r="F11" s="774"/>
      <c r="G11" s="844"/>
      <c r="H11" s="782"/>
      <c r="I11" s="782"/>
      <c r="J11" s="782"/>
      <c r="K11" s="774"/>
      <c r="L11" s="774"/>
    </row>
    <row r="12" spans="1:14" ht="13.5" thickBot="1">
      <c r="A12" s="849" t="s">
        <v>1183</v>
      </c>
      <c r="B12" s="841">
        <v>251</v>
      </c>
      <c r="C12" s="845">
        <v>1488517</v>
      </c>
      <c r="D12" s="845">
        <f>4682+57147</f>
        <v>61829</v>
      </c>
      <c r="E12" s="845">
        <v>87216</v>
      </c>
      <c r="F12" s="1708">
        <f>(C12+D12)-E12</f>
        <v>1463130</v>
      </c>
      <c r="G12" s="844">
        <v>10</v>
      </c>
      <c r="H12" s="766">
        <v>850848</v>
      </c>
      <c r="I12" s="766">
        <v>146313</v>
      </c>
      <c r="J12" s="766">
        <v>87216</v>
      </c>
      <c r="K12" s="1717">
        <f>(H12+I12)-J12</f>
        <v>909945</v>
      </c>
      <c r="L12" s="1717">
        <f>F12-K12</f>
        <v>553185</v>
      </c>
    </row>
    <row r="13" spans="1:14" ht="14.25" thickTop="1" thickBot="1">
      <c r="A13" s="849" t="s">
        <v>1184</v>
      </c>
      <c r="B13" s="841">
        <v>252</v>
      </c>
      <c r="C13" s="845"/>
      <c r="D13" s="845"/>
      <c r="E13" s="845"/>
      <c r="F13" s="1708">
        <f>(C13+D13)-E13</f>
        <v>0</v>
      </c>
      <c r="G13" s="844">
        <v>5</v>
      </c>
      <c r="H13" s="766"/>
      <c r="I13" s="766"/>
      <c r="J13" s="766"/>
      <c r="K13" s="1717">
        <f>(H13+I13)-J13</f>
        <v>0</v>
      </c>
      <c r="L13" s="1717">
        <f>F13-K13</f>
        <v>0</v>
      </c>
    </row>
    <row r="14" spans="1:14" ht="14.25" thickTop="1" thickBot="1">
      <c r="A14" s="849" t="s">
        <v>1185</v>
      </c>
      <c r="B14" s="841">
        <v>253</v>
      </c>
      <c r="C14" s="766"/>
      <c r="D14" s="766"/>
      <c r="E14" s="766"/>
      <c r="F14" s="1708">
        <f>(C14+D14)-E14</f>
        <v>0</v>
      </c>
      <c r="G14" s="844">
        <v>3</v>
      </c>
      <c r="H14" s="766"/>
      <c r="I14" s="766"/>
      <c r="J14" s="766"/>
      <c r="K14" s="1717">
        <f>(H14+I14)-J14</f>
        <v>0</v>
      </c>
      <c r="L14" s="1717">
        <f>F14-K14</f>
        <v>0</v>
      </c>
    </row>
    <row r="15" spans="1:14" ht="15" customHeight="1" thickTop="1" thickBot="1">
      <c r="A15" s="1583" t="s">
        <v>549</v>
      </c>
      <c r="B15" s="1582">
        <v>260</v>
      </c>
      <c r="C15" s="845"/>
      <c r="D15" s="845"/>
      <c r="E15" s="845"/>
      <c r="F15" s="1708">
        <f>(C15+D15)-E15</f>
        <v>0</v>
      </c>
      <c r="G15" s="850" t="s">
        <v>917</v>
      </c>
      <c r="H15" s="782"/>
      <c r="I15" s="782"/>
      <c r="J15" s="782"/>
      <c r="K15" s="782"/>
      <c r="L15" s="1717">
        <f>F15-K15</f>
        <v>0</v>
      </c>
    </row>
    <row r="16" spans="1:14" ht="15" customHeight="1" thickTop="1" thickBot="1">
      <c r="A16" s="1713" t="s">
        <v>664</v>
      </c>
      <c r="B16" s="1714">
        <v>200</v>
      </c>
      <c r="C16" s="1708">
        <f>SUM(C3,C5:C6,C8:C10,C12:C15)</f>
        <v>18817990</v>
      </c>
      <c r="D16" s="1708">
        <f>SUM(D3,D5:D6,D8:D10,D12:D15)</f>
        <v>224345</v>
      </c>
      <c r="E16" s="1708">
        <f>SUM(E3,E5:E6,E8:E10,E12:E15)</f>
        <v>87216</v>
      </c>
      <c r="F16" s="1708">
        <f>SUM(F3,F5:F6,F8:F10,F12:F15)</f>
        <v>18955119</v>
      </c>
      <c r="G16" s="844"/>
      <c r="H16" s="1708">
        <f>SUM(H3,H6,H8:H10,H12:H14,)</f>
        <v>9177694</v>
      </c>
      <c r="I16" s="1708">
        <f>SUM(I3,I6,I8:I10,I12:I14,)</f>
        <v>369494</v>
      </c>
      <c r="J16" s="1708">
        <f>SUM(J3,J6,J8:J10,J12:J14,)</f>
        <v>87216</v>
      </c>
      <c r="K16" s="1708">
        <f>(H16+I16)-J16</f>
        <v>9459972</v>
      </c>
      <c r="L16" s="1708">
        <f>F16-K16</f>
        <v>9495147</v>
      </c>
    </row>
    <row r="17" spans="1:12" ht="15" customHeight="1" thickTop="1" thickBot="1">
      <c r="A17" s="1585" t="s">
        <v>309</v>
      </c>
      <c r="B17" s="1582">
        <v>700</v>
      </c>
      <c r="C17" s="770"/>
      <c r="D17" s="770"/>
      <c r="E17" s="770"/>
      <c r="F17" s="1708">
        <f>SUM('Expenditures 15-22'!I114,'Expenditures 15-22'!I151,'Expenditures 15-22'!I210,'Expenditures 15-22'!I312,'Expenditures 15-22'!I342,'Expenditures 15-22'!I367)</f>
        <v>0</v>
      </c>
      <c r="G17" s="838">
        <v>10</v>
      </c>
      <c r="H17" s="770"/>
      <c r="I17" s="1717">
        <f>F17/G17</f>
        <v>0</v>
      </c>
      <c r="J17" s="770"/>
      <c r="K17" s="796"/>
      <c r="L17" s="796"/>
    </row>
    <row r="18" spans="1:12" ht="14.25" thickTop="1" thickBot="1">
      <c r="A18" s="1715" t="s">
        <v>706</v>
      </c>
      <c r="B18" s="1716"/>
      <c r="C18" s="772"/>
      <c r="D18" s="772"/>
      <c r="E18" s="772"/>
      <c r="F18" s="851"/>
      <c r="G18" s="852"/>
      <c r="H18" s="774"/>
      <c r="I18" s="1708">
        <f>SUM(I16,I17)</f>
        <v>369494</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6"/>
  <sheetViews>
    <sheetView showGridLines="0" defaultGridColor="0" topLeftCell="B1" colorId="8" zoomScaleNormal="100" workbookViewId="0">
      <pane ySplit="5" topLeftCell="A86" activePane="bottomLeft" state="frozen"/>
      <selection activeCell="I21" sqref="I21:S21"/>
      <selection pane="bottomLeft" activeCell="I21" sqref="I21:S21"/>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253" t="s">
        <v>1671</v>
      </c>
      <c r="B1" s="2254"/>
      <c r="C1" s="2254"/>
      <c r="D1" s="2254"/>
      <c r="E1" s="2254"/>
      <c r="F1" s="2255"/>
      <c r="G1" s="856"/>
    </row>
    <row r="2" spans="1:7" ht="15" customHeight="1" thickBot="1">
      <c r="A2" s="2256" t="s">
        <v>498</v>
      </c>
      <c r="B2" s="2257"/>
      <c r="C2" s="2257"/>
      <c r="D2" s="2257"/>
      <c r="E2" s="2257"/>
      <c r="F2" s="2258"/>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259"/>
      <c r="B5" s="2260"/>
      <c r="C5" s="2260"/>
      <c r="D5" s="2260"/>
      <c r="E5" s="2260"/>
      <c r="F5" s="2260"/>
    </row>
    <row r="6" spans="1:7" ht="13.5" customHeight="1" thickBot="1">
      <c r="A6" s="2250" t="s">
        <v>1166</v>
      </c>
      <c r="B6" s="2251"/>
      <c r="C6" s="2251"/>
      <c r="D6" s="2251"/>
      <c r="E6" s="2251"/>
      <c r="F6" s="2252"/>
      <c r="G6" s="866"/>
    </row>
    <row r="7" spans="1:7" s="866" customFormat="1" ht="12" thickTop="1">
      <c r="A7" s="867" t="s">
        <v>523</v>
      </c>
      <c r="B7" s="868"/>
      <c r="C7" s="869"/>
      <c r="D7" s="868"/>
      <c r="E7" s="869"/>
      <c r="F7" s="868"/>
    </row>
    <row r="8" spans="1:7">
      <c r="A8" s="870" t="s">
        <v>479</v>
      </c>
      <c r="B8" s="871" t="s">
        <v>1523</v>
      </c>
      <c r="C8" s="872"/>
      <c r="D8" s="870" t="s">
        <v>522</v>
      </c>
      <c r="E8" s="869" t="s">
        <v>1015</v>
      </c>
      <c r="F8" s="1859">
        <f>'Expenditures 15-22'!K114</f>
        <v>8032680</v>
      </c>
      <c r="G8" s="866"/>
    </row>
    <row r="9" spans="1:7">
      <c r="A9" s="870" t="s">
        <v>480</v>
      </c>
      <c r="B9" s="871" t="s">
        <v>1948</v>
      </c>
      <c r="C9" s="872"/>
      <c r="D9" s="870" t="s">
        <v>522</v>
      </c>
      <c r="E9" s="869"/>
      <c r="F9" s="1860">
        <f>'Expenditures 15-22'!K151</f>
        <v>1003512</v>
      </c>
      <c r="G9" s="873"/>
    </row>
    <row r="10" spans="1:7">
      <c r="A10" s="870" t="s">
        <v>520</v>
      </c>
      <c r="B10" s="871" t="s">
        <v>1949</v>
      </c>
      <c r="C10" s="872"/>
      <c r="D10" s="870" t="s">
        <v>522</v>
      </c>
      <c r="E10" s="869"/>
      <c r="F10" s="1860">
        <f>'Expenditures 15-22'!K174</f>
        <v>458522</v>
      </c>
      <c r="G10" s="873"/>
    </row>
    <row r="11" spans="1:7">
      <c r="A11" s="870" t="s">
        <v>481</v>
      </c>
      <c r="B11" s="871" t="s">
        <v>1950</v>
      </c>
      <c r="C11" s="872"/>
      <c r="D11" s="870" t="s">
        <v>522</v>
      </c>
      <c r="E11" s="869"/>
      <c r="F11" s="1860">
        <f>'Expenditures 15-22'!K210</f>
        <v>507074</v>
      </c>
      <c r="G11" s="873"/>
    </row>
    <row r="12" spans="1:7">
      <c r="A12" s="870" t="s">
        <v>482</v>
      </c>
      <c r="B12" s="871" t="s">
        <v>1951</v>
      </c>
      <c r="C12" s="872"/>
      <c r="D12" s="870" t="s">
        <v>522</v>
      </c>
      <c r="E12" s="869"/>
      <c r="F12" s="1860">
        <f>'Expenditures 15-22'!K295</f>
        <v>294202</v>
      </c>
      <c r="G12" s="873"/>
    </row>
    <row r="13" spans="1:7">
      <c r="A13" s="870" t="s">
        <v>108</v>
      </c>
      <c r="B13" s="871" t="s">
        <v>1952</v>
      </c>
      <c r="C13" s="872"/>
      <c r="D13" s="870" t="s">
        <v>522</v>
      </c>
      <c r="E13" s="869"/>
      <c r="F13" s="1860">
        <f>'Expenditures 15-22'!K342</f>
        <v>117675</v>
      </c>
      <c r="G13" s="874"/>
    </row>
    <row r="14" spans="1:7" ht="12" customHeight="1" thickBot="1">
      <c r="A14" s="1718"/>
      <c r="B14" s="1719"/>
      <c r="C14" s="1720"/>
      <c r="D14" s="1721" t="s">
        <v>522</v>
      </c>
      <c r="E14" s="1722" t="s">
        <v>1015</v>
      </c>
      <c r="F14" s="1723">
        <f>SUM(F8:F13)</f>
        <v>10413665</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861">
        <f>'Revenues 9-14'!F43</f>
        <v>0</v>
      </c>
      <c r="G18" s="866"/>
    </row>
    <row r="19" spans="1:7">
      <c r="A19" s="870" t="s">
        <v>481</v>
      </c>
      <c r="B19" s="871" t="s">
        <v>1069</v>
      </c>
      <c r="C19" s="878">
        <f>'Revenues 9-14'!B47</f>
        <v>1421</v>
      </c>
      <c r="D19" s="879" t="str">
        <f>'Revenues 9-14'!A47</f>
        <v>Summer Sch - Transp. Fees from Pupils or Parents (In State)</v>
      </c>
      <c r="E19" s="880"/>
      <c r="F19" s="1862">
        <f>'Revenues 9-14'!F47</f>
        <v>0</v>
      </c>
      <c r="G19" s="866"/>
    </row>
    <row r="20" spans="1:7">
      <c r="A20" s="870" t="s">
        <v>481</v>
      </c>
      <c r="B20" s="871" t="s">
        <v>1070</v>
      </c>
      <c r="C20" s="876">
        <f>'Revenues 9-14'!B48</f>
        <v>1422</v>
      </c>
      <c r="D20" s="877" t="str">
        <f>'Revenues 9-14'!A48</f>
        <v>Summer Sch - Transp. Fees from Other Districts (In State)</v>
      </c>
      <c r="E20" s="869"/>
      <c r="F20" s="1863">
        <f>'Revenues 9-14'!F48</f>
        <v>0</v>
      </c>
      <c r="G20" s="866"/>
    </row>
    <row r="21" spans="1:7">
      <c r="A21" s="870" t="s">
        <v>481</v>
      </c>
      <c r="B21" s="871" t="s">
        <v>1071</v>
      </c>
      <c r="C21" s="878">
        <f>'Revenues 9-14'!B49</f>
        <v>1423</v>
      </c>
      <c r="D21" s="877" t="str">
        <f>'Revenues 9-14'!A49</f>
        <v>Summer Sch - Transp. Fees from Other Sources (In State)</v>
      </c>
      <c r="E21" s="869"/>
      <c r="F21" s="1864">
        <f>'Revenues 9-14'!F49</f>
        <v>0</v>
      </c>
      <c r="G21" s="866"/>
    </row>
    <row r="22" spans="1:7">
      <c r="A22" s="870" t="s">
        <v>481</v>
      </c>
      <c r="B22" s="871" t="s">
        <v>1072</v>
      </c>
      <c r="C22" s="878">
        <f>'Revenues 9-14'!B50</f>
        <v>1424</v>
      </c>
      <c r="D22" s="877" t="str">
        <f>'Revenues 9-14'!A50</f>
        <v>Summer Sch - Transp. Fees from Other Sources (Out of State)</v>
      </c>
      <c r="E22" s="869"/>
      <c r="F22" s="1864">
        <f>'Revenues 9-14'!F50</f>
        <v>0</v>
      </c>
      <c r="G22" s="866"/>
    </row>
    <row r="23" spans="1:7">
      <c r="A23" s="870" t="s">
        <v>481</v>
      </c>
      <c r="B23" s="871" t="s">
        <v>1073</v>
      </c>
      <c r="C23" s="876">
        <f>'Revenues 9-14'!B52</f>
        <v>1432</v>
      </c>
      <c r="D23" s="877" t="str">
        <f>'Revenues 9-14'!A52</f>
        <v>CTE - Transp Fees from Other Districts (In State)</v>
      </c>
      <c r="E23" s="869"/>
      <c r="F23" s="1864">
        <f>'Revenues 9-14'!F52</f>
        <v>0</v>
      </c>
      <c r="G23" s="866"/>
    </row>
    <row r="24" spans="1:7">
      <c r="A24" s="870" t="s">
        <v>481</v>
      </c>
      <c r="B24" s="871" t="s">
        <v>1074</v>
      </c>
      <c r="C24" s="876">
        <f>'Revenues 9-14'!B56</f>
        <v>1442</v>
      </c>
      <c r="D24" s="877" t="str">
        <f>'Revenues 9-14'!A56</f>
        <v>Special Ed - Transp Fees from Other Districts (In State)</v>
      </c>
      <c r="E24" s="869"/>
      <c r="F24" s="1864">
        <f>'Revenues 9-14'!F56</f>
        <v>0</v>
      </c>
      <c r="G24" s="866"/>
    </row>
    <row r="25" spans="1:7">
      <c r="A25" s="870" t="s">
        <v>481</v>
      </c>
      <c r="B25" s="871" t="s">
        <v>1075</v>
      </c>
      <c r="C25" s="876">
        <f>'Revenues 9-14'!B59</f>
        <v>1451</v>
      </c>
      <c r="D25" s="877" t="str">
        <f>'Revenues 9-14'!A59</f>
        <v>Adult - Transp Fees from Pupils or Parents (In State)</v>
      </c>
      <c r="E25" s="869"/>
      <c r="F25" s="1864">
        <f>'Revenues 9-14'!F59</f>
        <v>0</v>
      </c>
      <c r="G25" s="866"/>
    </row>
    <row r="26" spans="1:7">
      <c r="A26" s="870" t="s">
        <v>481</v>
      </c>
      <c r="B26" s="871" t="s">
        <v>1076</v>
      </c>
      <c r="C26" s="876">
        <f>'Revenues 9-14'!B60</f>
        <v>1452</v>
      </c>
      <c r="D26" s="877" t="str">
        <f>'Revenues 9-14'!A60</f>
        <v>Adult - Transp Fees from Other Districts (In State)</v>
      </c>
      <c r="E26" s="869"/>
      <c r="F26" s="1864">
        <f>'Revenues 9-14'!F60</f>
        <v>0</v>
      </c>
      <c r="G26" s="866"/>
    </row>
    <row r="27" spans="1:7">
      <c r="A27" s="870" t="s">
        <v>481</v>
      </c>
      <c r="B27" s="871" t="s">
        <v>1077</v>
      </c>
      <c r="C27" s="876">
        <f>'Revenues 9-14'!B61</f>
        <v>1453</v>
      </c>
      <c r="D27" s="877" t="str">
        <f>'Revenues 9-14'!A61</f>
        <v>Adult - Transp Fees from Other Sources (In State)</v>
      </c>
      <c r="E27" s="869"/>
      <c r="F27" s="1864">
        <f>'Revenues 9-14'!F61</f>
        <v>0</v>
      </c>
      <c r="G27" s="866"/>
    </row>
    <row r="28" spans="1:7">
      <c r="A28" s="870" t="s">
        <v>481</v>
      </c>
      <c r="B28" s="871" t="s">
        <v>1078</v>
      </c>
      <c r="C28" s="876">
        <f>'Revenues 9-14'!B62</f>
        <v>1454</v>
      </c>
      <c r="D28" s="877" t="str">
        <f>'Revenues 9-14'!A62</f>
        <v>Adult - Transp Fees from Other Sources (Out of State)</v>
      </c>
      <c r="E28" s="869"/>
      <c r="F28" s="1864">
        <f>'Revenues 9-14'!F62</f>
        <v>0</v>
      </c>
      <c r="G28" s="866"/>
    </row>
    <row r="29" spans="1:7">
      <c r="A29" s="870" t="s">
        <v>1159</v>
      </c>
      <c r="B29" s="871" t="s">
        <v>1655</v>
      </c>
      <c r="C29" s="881">
        <f>'Revenues 9-14'!B148</f>
        <v>3410</v>
      </c>
      <c r="D29" s="882" t="str">
        <f>'Revenues 9-14'!A148</f>
        <v>Adult Ed (from ICCB)</v>
      </c>
      <c r="E29" s="869"/>
      <c r="F29" s="1864">
        <f>SUM('Revenues 9-14'!D148,F149)</f>
        <v>0</v>
      </c>
      <c r="G29" s="866"/>
    </row>
    <row r="30" spans="1:7">
      <c r="A30" s="870" t="s">
        <v>1159</v>
      </c>
      <c r="B30" s="871" t="s">
        <v>861</v>
      </c>
      <c r="C30" s="881">
        <f>'Revenues 9-14'!B149</f>
        <v>3499</v>
      </c>
      <c r="D30" s="882" t="str">
        <f>'Revenues 9-14'!A149</f>
        <v>Adult Ed - Other (Describe &amp; Itemize)</v>
      </c>
      <c r="E30" s="869"/>
      <c r="F30" s="1865">
        <f>('Revenues 9-14'!D149+'Revenues 9-14'!F149)</f>
        <v>0</v>
      </c>
      <c r="G30" s="866"/>
    </row>
    <row r="31" spans="1:7">
      <c r="A31" s="870" t="s">
        <v>1159</v>
      </c>
      <c r="B31" s="871" t="s">
        <v>862</v>
      </c>
      <c r="C31" s="876">
        <f>'Revenues 9-14'!B218</f>
        <v>4600</v>
      </c>
      <c r="D31" s="884" t="str">
        <f>'Revenues 9-14'!A218</f>
        <v>Fed - Spec Education - Preschool Flow-Through</v>
      </c>
      <c r="E31" s="885"/>
      <c r="F31" s="1864">
        <f>SUM('Revenues 9-14'!D218,'Revenues 9-14'!F218)</f>
        <v>0</v>
      </c>
      <c r="G31" s="866"/>
    </row>
    <row r="32" spans="1:7">
      <c r="A32" s="870" t="s">
        <v>1159</v>
      </c>
      <c r="B32" s="871" t="s">
        <v>800</v>
      </c>
      <c r="C32" s="876">
        <f>'Revenues 9-14'!B219</f>
        <v>4605</v>
      </c>
      <c r="D32" s="886" t="str">
        <f>'Revenues 9-14'!A219</f>
        <v>Fed - Spec Education - Preschool Discretionary</v>
      </c>
      <c r="E32" s="885"/>
      <c r="F32" s="1864">
        <f>SUM('Revenues 9-14'!D219,'Revenues 9-14'!F219)</f>
        <v>0</v>
      </c>
      <c r="G32" s="866"/>
    </row>
    <row r="33" spans="1:7">
      <c r="A33" s="870" t="s">
        <v>480</v>
      </c>
      <c r="B33" s="871" t="s">
        <v>801</v>
      </c>
      <c r="C33" s="876">
        <f>'Revenues 9-14'!B229</f>
        <v>4810</v>
      </c>
      <c r="D33" s="884" t="str">
        <f>'Revenues 9-14'!A229</f>
        <v>Federal - Adult Education</v>
      </c>
      <c r="E33" s="869"/>
      <c r="F33" s="1864">
        <f>'Revenues 9-14'!D229</f>
        <v>0</v>
      </c>
      <c r="G33" s="866"/>
    </row>
    <row r="34" spans="1:7">
      <c r="A34" s="870" t="s">
        <v>479</v>
      </c>
      <c r="B34" s="870" t="s">
        <v>1524</v>
      </c>
      <c r="C34" s="887" t="str">
        <f>'Expenditures 15-22'!B7</f>
        <v>1125</v>
      </c>
      <c r="D34" s="888" t="str">
        <f>'Expenditures 15-22'!A7</f>
        <v>Pre-K Programs</v>
      </c>
      <c r="E34" s="869"/>
      <c r="F34" s="1864">
        <f>'Expenditures 15-22'!K7-SUM('Expenditures 15-22'!G7,'Expenditures 15-22'!I7)</f>
        <v>310932</v>
      </c>
      <c r="G34" s="866"/>
    </row>
    <row r="35" spans="1:7">
      <c r="A35" s="870" t="s">
        <v>479</v>
      </c>
      <c r="B35" s="870" t="s">
        <v>1525</v>
      </c>
      <c r="C35" s="887" t="str">
        <f>'Expenditures 15-22'!B9</f>
        <v>1225</v>
      </c>
      <c r="D35" s="888" t="str">
        <f>'Expenditures 15-22'!A9</f>
        <v>Special Education Programs Pre-K</v>
      </c>
      <c r="E35" s="869"/>
      <c r="F35" s="1864">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864">
        <f>'Expenditures 15-22'!K11-SUM('Expenditures 15-22'!G11,'Expenditures 15-22'!I11)</f>
        <v>0</v>
      </c>
      <c r="G36" s="866"/>
    </row>
    <row r="37" spans="1:7">
      <c r="A37" s="870" t="s">
        <v>479</v>
      </c>
      <c r="B37" s="870" t="s">
        <v>1526</v>
      </c>
      <c r="C37" s="887">
        <f>'Expenditures 15-22'!B12</f>
        <v>1300</v>
      </c>
      <c r="D37" s="889" t="str">
        <f>'Expenditures 15-22'!A12</f>
        <v>Adult/Continuing Education Programs</v>
      </c>
      <c r="E37" s="869"/>
      <c r="F37" s="1864">
        <f>'Expenditures 15-22'!K12-SUM('Expenditures 15-22'!G12+'Expenditures 15-22'!I12)</f>
        <v>0</v>
      </c>
      <c r="G37" s="866"/>
    </row>
    <row r="38" spans="1:7">
      <c r="A38" s="870" t="s">
        <v>479</v>
      </c>
      <c r="B38" s="870" t="s">
        <v>1527</v>
      </c>
      <c r="C38" s="887">
        <f>'Expenditures 15-22'!B15</f>
        <v>1600</v>
      </c>
      <c r="D38" s="889" t="str">
        <f>'Expenditures 15-22'!A15</f>
        <v>Summer School Programs</v>
      </c>
      <c r="E38" s="869"/>
      <c r="F38" s="1864">
        <f>'Expenditures 15-22'!K15-SUM('Expenditures 15-22'!G15,'Expenditures 15-22'!I15)</f>
        <v>0</v>
      </c>
      <c r="G38" s="866"/>
    </row>
    <row r="39" spans="1:7">
      <c r="A39" s="870" t="s">
        <v>479</v>
      </c>
      <c r="B39" s="870" t="s">
        <v>119</v>
      </c>
      <c r="C39" s="887" t="str">
        <f>'Expenditures 15-22'!B20</f>
        <v>1910</v>
      </c>
      <c r="D39" s="889" t="str">
        <f>'Expenditures 15-22'!A20</f>
        <v>Pre-K Programs - Private Tuition</v>
      </c>
      <c r="E39" s="869"/>
      <c r="F39" s="1864">
        <f>'Expenditures 15-22'!K20</f>
        <v>0</v>
      </c>
      <c r="G39" s="866"/>
    </row>
    <row r="40" spans="1:7">
      <c r="A40" s="870" t="s">
        <v>479</v>
      </c>
      <c r="B40" s="870" t="s">
        <v>120</v>
      </c>
      <c r="C40" s="887" t="str">
        <f>'Expenditures 15-22'!B21</f>
        <v>1911</v>
      </c>
      <c r="D40" s="889" t="str">
        <f>'Expenditures 15-22'!A21</f>
        <v>Regular K-12 Programs - Private Tuition</v>
      </c>
      <c r="E40" s="869"/>
      <c r="F40" s="1864">
        <f>'Expenditures 15-22'!K21</f>
        <v>0</v>
      </c>
      <c r="G40" s="866"/>
    </row>
    <row r="41" spans="1:7">
      <c r="A41" s="870" t="s">
        <v>479</v>
      </c>
      <c r="B41" s="870" t="s">
        <v>121</v>
      </c>
      <c r="C41" s="887" t="str">
        <f>'Expenditures 15-22'!B22</f>
        <v>1912</v>
      </c>
      <c r="D41" s="889" t="str">
        <f>'Expenditures 15-22'!A22</f>
        <v>Special Education Programs K-12 - Private Tuition</v>
      </c>
      <c r="E41" s="869"/>
      <c r="F41" s="1864">
        <f>'Expenditures 15-22'!K22</f>
        <v>0</v>
      </c>
      <c r="G41" s="866"/>
    </row>
    <row r="42" spans="1:7">
      <c r="A42" s="870" t="s">
        <v>479</v>
      </c>
      <c r="B42" s="870" t="s">
        <v>122</v>
      </c>
      <c r="C42" s="890" t="str">
        <f>'Expenditures 15-22'!B23</f>
        <v>1913</v>
      </c>
      <c r="D42" s="889" t="str">
        <f>'Expenditures 15-22'!A23</f>
        <v>Special Education Programs Pre-K - Tuition</v>
      </c>
      <c r="E42" s="869"/>
      <c r="F42" s="1864">
        <f>'Expenditures 15-22'!K23</f>
        <v>0</v>
      </c>
      <c r="G42" s="866"/>
    </row>
    <row r="43" spans="1:7">
      <c r="A43" s="870" t="s">
        <v>479</v>
      </c>
      <c r="B43" s="870" t="s">
        <v>123</v>
      </c>
      <c r="C43" s="887" t="str">
        <f>'Expenditures 15-22'!B24</f>
        <v>1914</v>
      </c>
      <c r="D43" s="889" t="str">
        <f>'Expenditures 15-22'!A24</f>
        <v>Remedial/Supplemental Programs K-12 - Private Tuition</v>
      </c>
      <c r="E43" s="869"/>
      <c r="F43" s="1864">
        <f>'Expenditures 15-22'!K24</f>
        <v>0</v>
      </c>
      <c r="G43" s="866"/>
    </row>
    <row r="44" spans="1:7">
      <c r="A44" s="870" t="s">
        <v>479</v>
      </c>
      <c r="B44" s="870" t="s">
        <v>124</v>
      </c>
      <c r="C44" s="890" t="str">
        <f>'Expenditures 15-22'!B25</f>
        <v>1915</v>
      </c>
      <c r="D44" s="889" t="str">
        <f>'Expenditures 15-22'!A25</f>
        <v>Remedial/Supplemental Programs Pre-K - Private Tuition</v>
      </c>
      <c r="E44" s="869"/>
      <c r="F44" s="1864">
        <f>'Expenditures 15-22'!K25</f>
        <v>0</v>
      </c>
      <c r="G44" s="866"/>
    </row>
    <row r="45" spans="1:7">
      <c r="A45" s="870" t="s">
        <v>479</v>
      </c>
      <c r="B45" s="870" t="s">
        <v>125</v>
      </c>
      <c r="C45" s="890" t="str">
        <f>'Expenditures 15-22'!B26</f>
        <v>1916</v>
      </c>
      <c r="D45" s="889" t="str">
        <f>'Expenditures 15-22'!A26</f>
        <v>Adult/Continuing Education Programs - Private Tuition</v>
      </c>
      <c r="E45" s="869"/>
      <c r="F45" s="1864">
        <f>'Expenditures 15-22'!K26</f>
        <v>0</v>
      </c>
      <c r="G45" s="866"/>
    </row>
    <row r="46" spans="1:7">
      <c r="A46" s="870" t="s">
        <v>479</v>
      </c>
      <c r="B46" s="870" t="s">
        <v>126</v>
      </c>
      <c r="C46" s="887" t="str">
        <f>'Expenditures 15-22'!B27</f>
        <v>1917</v>
      </c>
      <c r="D46" s="889" t="str">
        <f>'Expenditures 15-22'!A27</f>
        <v>CTE Programs - Private Tuition</v>
      </c>
      <c r="E46" s="869"/>
      <c r="F46" s="1864">
        <f>'Expenditures 15-22'!K27</f>
        <v>0</v>
      </c>
      <c r="G46" s="866"/>
    </row>
    <row r="47" spans="1:7">
      <c r="A47" s="870" t="s">
        <v>479</v>
      </c>
      <c r="B47" s="870" t="s">
        <v>127</v>
      </c>
      <c r="C47" s="891" t="str">
        <f>'Expenditures 15-22'!B28</f>
        <v>1918</v>
      </c>
      <c r="D47" s="892" t="str">
        <f>'Expenditures 15-22'!A28</f>
        <v>Interscholastic Programs - Private Tuition</v>
      </c>
      <c r="E47" s="869"/>
      <c r="F47" s="1864">
        <f>'Expenditures 15-22'!K28</f>
        <v>0</v>
      </c>
      <c r="G47" s="866"/>
    </row>
    <row r="48" spans="1:7">
      <c r="A48" s="870" t="s">
        <v>479</v>
      </c>
      <c r="B48" s="870" t="s">
        <v>128</v>
      </c>
      <c r="C48" s="890" t="str">
        <f>'Expenditures 15-22'!B29</f>
        <v>1919</v>
      </c>
      <c r="D48" s="889" t="str">
        <f>'Expenditures 15-22'!A29</f>
        <v>Summer School Programs - Private Tuition</v>
      </c>
      <c r="E48" s="869"/>
      <c r="F48" s="1864">
        <f>'Expenditures 15-22'!K29</f>
        <v>0</v>
      </c>
      <c r="G48" s="866"/>
    </row>
    <row r="49" spans="1:7">
      <c r="A49" s="870" t="s">
        <v>479</v>
      </c>
      <c r="B49" s="870" t="s">
        <v>129</v>
      </c>
      <c r="C49" s="887" t="str">
        <f>'Expenditures 15-22'!B30</f>
        <v>1920</v>
      </c>
      <c r="D49" s="889" t="str">
        <f>'Expenditures 15-22'!A30</f>
        <v>Gifted Programs - Private Tuition</v>
      </c>
      <c r="E49" s="869"/>
      <c r="F49" s="1864">
        <f>'Expenditures 15-22'!K30</f>
        <v>0</v>
      </c>
      <c r="G49" s="866"/>
    </row>
    <row r="50" spans="1:7">
      <c r="A50" s="870" t="s">
        <v>479</v>
      </c>
      <c r="B50" s="870" t="s">
        <v>130</v>
      </c>
      <c r="C50" s="887" t="str">
        <f>'Expenditures 15-22'!B31</f>
        <v>1921</v>
      </c>
      <c r="D50" s="889" t="str">
        <f>'Expenditures 15-22'!A31</f>
        <v>Bilingual Programs - Private Tuition</v>
      </c>
      <c r="E50" s="869"/>
      <c r="F50" s="1864">
        <f>'Expenditures 15-22'!K31</f>
        <v>0</v>
      </c>
      <c r="G50" s="866"/>
    </row>
    <row r="51" spans="1:7">
      <c r="A51" s="870" t="s">
        <v>479</v>
      </c>
      <c r="B51" s="870" t="s">
        <v>1528</v>
      </c>
      <c r="C51" s="887" t="str">
        <f>'Expenditures 15-22'!B32</f>
        <v>1922</v>
      </c>
      <c r="D51" s="889" t="str">
        <f>'Expenditures 15-22'!A32</f>
        <v>Truants Alternative/Optional Ed Progms - Private Tuition</v>
      </c>
      <c r="E51" s="869"/>
      <c r="F51" s="1864">
        <f>'Expenditures 15-22'!K32</f>
        <v>0</v>
      </c>
      <c r="G51" s="866"/>
    </row>
    <row r="52" spans="1:7">
      <c r="A52" s="870" t="s">
        <v>479</v>
      </c>
      <c r="B52" s="870" t="s">
        <v>1529</v>
      </c>
      <c r="C52" s="890" t="str">
        <f>'Expenditures 15-22'!B75</f>
        <v>3000</v>
      </c>
      <c r="D52" s="889" t="s">
        <v>469</v>
      </c>
      <c r="E52" s="869"/>
      <c r="F52" s="1864">
        <f>'Expenditures 15-22'!K75-SUM('Expenditures 15-22'!G75,'Expenditures 15-22'!I75)</f>
        <v>37719</v>
      </c>
      <c r="G52" s="866"/>
    </row>
    <row r="53" spans="1:7">
      <c r="A53" s="870" t="s">
        <v>479</v>
      </c>
      <c r="B53" s="870" t="s">
        <v>1530</v>
      </c>
      <c r="C53" s="890">
        <f>'Expenditures 15-22'!B102</f>
        <v>4000</v>
      </c>
      <c r="D53" s="889" t="str">
        <f>'Expenditures 15-22'!A102</f>
        <v>Total Payments to Other Govt Units</v>
      </c>
      <c r="E53" s="869"/>
      <c r="F53" s="1864">
        <f>'Expenditures 15-22'!K102</f>
        <v>146126</v>
      </c>
      <c r="G53" s="866"/>
    </row>
    <row r="54" spans="1:7">
      <c r="A54" s="870" t="s">
        <v>479</v>
      </c>
      <c r="B54" s="870" t="s">
        <v>1531</v>
      </c>
      <c r="C54" s="890" t="s">
        <v>1039</v>
      </c>
      <c r="D54" s="886" t="s">
        <v>1157</v>
      </c>
      <c r="E54" s="869"/>
      <c r="F54" s="1864">
        <f>'Expenditures 15-22'!G114</f>
        <v>50053</v>
      </c>
      <c r="G54" s="866"/>
    </row>
    <row r="55" spans="1:7">
      <c r="A55" s="870" t="s">
        <v>479</v>
      </c>
      <c r="B55" s="870" t="s">
        <v>1532</v>
      </c>
      <c r="C55" s="890" t="s">
        <v>1039</v>
      </c>
      <c r="D55" s="886" t="s">
        <v>309</v>
      </c>
      <c r="E55" s="869"/>
      <c r="F55" s="1864">
        <f>'Expenditures 15-22'!I114</f>
        <v>0</v>
      </c>
      <c r="G55" s="866"/>
    </row>
    <row r="56" spans="1:7">
      <c r="A56" s="870" t="s">
        <v>480</v>
      </c>
      <c r="B56" s="870" t="s">
        <v>1533</v>
      </c>
      <c r="C56" s="887" t="str">
        <f>'Expenditures 15-22'!B130</f>
        <v>3000</v>
      </c>
      <c r="D56" s="893" t="s">
        <v>469</v>
      </c>
      <c r="E56" s="869"/>
      <c r="F56" s="1864">
        <f>'Expenditures 15-22'!K130-SUM('Expenditures 15-22'!G130+'Expenditures 15-22'!I130)</f>
        <v>0</v>
      </c>
      <c r="G56" s="866"/>
    </row>
    <row r="57" spans="1:7">
      <c r="A57" s="870" t="s">
        <v>480</v>
      </c>
      <c r="B57" s="870" t="s">
        <v>1953</v>
      </c>
      <c r="C57" s="890">
        <f>'Expenditures 15-22'!B139</f>
        <v>4000</v>
      </c>
      <c r="D57" s="888" t="str">
        <f>'Expenditures 15-22'!A139</f>
        <v>Total Payments to Other Govt Units</v>
      </c>
      <c r="E57" s="869"/>
      <c r="F57" s="1864">
        <f>'Expenditures 15-22'!K139</f>
        <v>0</v>
      </c>
      <c r="G57" s="866"/>
    </row>
    <row r="58" spans="1:7">
      <c r="A58" s="870" t="s">
        <v>480</v>
      </c>
      <c r="B58" s="870" t="s">
        <v>1954</v>
      </c>
      <c r="C58" s="887" t="s">
        <v>1039</v>
      </c>
      <c r="D58" s="886" t="s">
        <v>1157</v>
      </c>
      <c r="E58" s="869"/>
      <c r="F58" s="1866">
        <f>'Expenditures 15-22'!G151</f>
        <v>11776</v>
      </c>
      <c r="G58" s="866"/>
    </row>
    <row r="59" spans="1:7">
      <c r="A59" s="894" t="s">
        <v>480</v>
      </c>
      <c r="B59" s="857" t="s">
        <v>1955</v>
      </c>
      <c r="C59" s="895" t="s">
        <v>1039</v>
      </c>
      <c r="D59" s="857" t="s">
        <v>309</v>
      </c>
      <c r="F59" s="1867">
        <f>'Expenditures 15-22'!I151</f>
        <v>0</v>
      </c>
      <c r="G59" s="866"/>
    </row>
    <row r="60" spans="1:7">
      <c r="A60" s="894" t="s">
        <v>520</v>
      </c>
      <c r="B60" s="857" t="s">
        <v>1956</v>
      </c>
      <c r="C60" s="895">
        <v>4000</v>
      </c>
      <c r="D60" s="857" t="s">
        <v>330</v>
      </c>
      <c r="F60" s="1865">
        <f>'Expenditures 15-22'!K160</f>
        <v>0</v>
      </c>
      <c r="G60" s="866"/>
    </row>
    <row r="61" spans="1:7">
      <c r="A61" s="896" t="s">
        <v>520</v>
      </c>
      <c r="B61" s="896" t="s">
        <v>1957</v>
      </c>
      <c r="C61" s="897" t="str">
        <f>'Expenditures 15-22'!B170</f>
        <v>5300</v>
      </c>
      <c r="D61" s="898" t="s">
        <v>329</v>
      </c>
      <c r="E61" s="880"/>
      <c r="F61" s="1864">
        <f>'Expenditures 15-22'!K170</f>
        <v>365000</v>
      </c>
      <c r="G61" s="866"/>
    </row>
    <row r="62" spans="1:7">
      <c r="A62" s="870" t="s">
        <v>481</v>
      </c>
      <c r="B62" s="870" t="s">
        <v>1958</v>
      </c>
      <c r="C62" s="887">
        <f>'Expenditures 15-22'!B185</f>
        <v>3000</v>
      </c>
      <c r="D62" s="877" t="s">
        <v>469</v>
      </c>
      <c r="E62" s="869"/>
      <c r="F62" s="1864">
        <f>'Expenditures 15-22'!K185-SUM('Expenditures 15-22'!G185,'Expenditures 15-22'!I185)</f>
        <v>0</v>
      </c>
      <c r="G62" s="866"/>
    </row>
    <row r="63" spans="1:7">
      <c r="A63" s="870" t="s">
        <v>481</v>
      </c>
      <c r="B63" s="870" t="s">
        <v>1959</v>
      </c>
      <c r="C63" s="887" t="str">
        <f>'Expenditures 15-22'!B196</f>
        <v>4000</v>
      </c>
      <c r="D63" s="888" t="str">
        <f>'Expenditures 15-22'!A196</f>
        <v>Total Payments to Other Govt Units</v>
      </c>
      <c r="E63" s="869"/>
      <c r="F63" s="1864">
        <f>'Expenditures 15-22'!K196</f>
        <v>0</v>
      </c>
      <c r="G63" s="866"/>
    </row>
    <row r="64" spans="1:7">
      <c r="A64" s="896" t="s">
        <v>481</v>
      </c>
      <c r="B64" s="896" t="s">
        <v>1960</v>
      </c>
      <c r="C64" s="897" t="str">
        <f>'Expenditures 15-22'!B206</f>
        <v>5300</v>
      </c>
      <c r="D64" s="893" t="s">
        <v>329</v>
      </c>
      <c r="E64" s="869"/>
      <c r="F64" s="1864">
        <f>'Expenditures 15-22'!K206</f>
        <v>0</v>
      </c>
      <c r="G64" s="866"/>
    </row>
    <row r="65" spans="1:8">
      <c r="A65" s="870" t="s">
        <v>481</v>
      </c>
      <c r="B65" s="870" t="s">
        <v>1961</v>
      </c>
      <c r="C65" s="887" t="s">
        <v>1039</v>
      </c>
      <c r="D65" s="886" t="s">
        <v>1157</v>
      </c>
      <c r="E65" s="869"/>
      <c r="F65" s="1864">
        <f>'Expenditures 15-22'!G210</f>
        <v>0</v>
      </c>
      <c r="G65" s="866"/>
    </row>
    <row r="66" spans="1:8">
      <c r="A66" s="870" t="s">
        <v>481</v>
      </c>
      <c r="B66" s="870" t="s">
        <v>1962</v>
      </c>
      <c r="C66" s="887" t="s">
        <v>1039</v>
      </c>
      <c r="D66" s="886" t="s">
        <v>309</v>
      </c>
      <c r="E66" s="869"/>
      <c r="F66" s="1864">
        <f>'Expenditures 15-22'!I210</f>
        <v>0</v>
      </c>
      <c r="G66" s="866"/>
    </row>
    <row r="67" spans="1:8">
      <c r="A67" s="870" t="s">
        <v>482</v>
      </c>
      <c r="B67" s="870" t="s">
        <v>1963</v>
      </c>
      <c r="C67" s="887" t="str">
        <f>'Expenditures 15-22'!B216</f>
        <v>1125</v>
      </c>
      <c r="D67" s="893" t="str">
        <f>'Expenditures 15-22'!A216</f>
        <v>Pre-K Programs</v>
      </c>
      <c r="E67" s="869"/>
      <c r="F67" s="1864">
        <f>'Expenditures 15-22'!K216</f>
        <v>9939</v>
      </c>
      <c r="G67" s="866"/>
    </row>
    <row r="68" spans="1:8">
      <c r="A68" s="870" t="s">
        <v>482</v>
      </c>
      <c r="B68" s="870" t="s">
        <v>1534</v>
      </c>
      <c r="C68" s="887" t="str">
        <f>'Expenditures 15-22'!B218</f>
        <v>1225</v>
      </c>
      <c r="D68" s="893" t="str">
        <f>'Expenditures 15-22'!A218</f>
        <v>Special Education Programs - Pre-K</v>
      </c>
      <c r="E68" s="869"/>
      <c r="F68" s="1864">
        <f>'Expenditures 15-22'!K218</f>
        <v>0</v>
      </c>
      <c r="G68" s="866"/>
    </row>
    <row r="69" spans="1:8">
      <c r="A69" s="870" t="s">
        <v>482</v>
      </c>
      <c r="B69" s="870" t="s">
        <v>1964</v>
      </c>
      <c r="C69" s="887" t="str">
        <f>'Expenditures 15-22'!B220</f>
        <v>1275</v>
      </c>
      <c r="D69" s="893" t="str">
        <f>'Expenditures 15-22'!A220</f>
        <v>Remedial and Supplemental Programs - Pre-K</v>
      </c>
      <c r="E69" s="869"/>
      <c r="F69" s="1864">
        <f>'Expenditures 15-22'!K220</f>
        <v>0</v>
      </c>
      <c r="G69" s="866"/>
    </row>
    <row r="70" spans="1:8">
      <c r="A70" s="870" t="s">
        <v>482</v>
      </c>
      <c r="B70" s="870" t="s">
        <v>1965</v>
      </c>
      <c r="C70" s="887">
        <f>'Expenditures 15-22'!B221</f>
        <v>1300</v>
      </c>
      <c r="D70" s="888" t="str">
        <f>'Expenditures 15-22'!A221</f>
        <v>Adult/Continuing Education Programs</v>
      </c>
      <c r="E70" s="869"/>
      <c r="F70" s="1864">
        <f>'Expenditures 15-22'!K221</f>
        <v>0</v>
      </c>
      <c r="G70" s="866"/>
    </row>
    <row r="71" spans="1:8">
      <c r="A71" s="870" t="s">
        <v>482</v>
      </c>
      <c r="B71" s="870" t="s">
        <v>1966</v>
      </c>
      <c r="C71" s="887">
        <f>'Expenditures 15-22'!B224</f>
        <v>1600</v>
      </c>
      <c r="D71" s="888" t="str">
        <f>'Expenditures 15-22'!A224</f>
        <v>Summer School Programs</v>
      </c>
      <c r="E71" s="869"/>
      <c r="F71" s="1864">
        <f>'Expenditures 15-22'!K224</f>
        <v>0</v>
      </c>
      <c r="G71" s="866"/>
    </row>
    <row r="72" spans="1:8">
      <c r="A72" s="870" t="s">
        <v>482</v>
      </c>
      <c r="B72" s="870" t="s">
        <v>1967</v>
      </c>
      <c r="C72" s="887">
        <f>'Expenditures 15-22'!B280</f>
        <v>3000</v>
      </c>
      <c r="D72" s="877" t="s">
        <v>469</v>
      </c>
      <c r="E72" s="869"/>
      <c r="F72" s="1864">
        <f>'Expenditures 15-22'!K280</f>
        <v>3477</v>
      </c>
      <c r="G72" s="866"/>
    </row>
    <row r="73" spans="1:8">
      <c r="A73" s="870" t="s">
        <v>482</v>
      </c>
      <c r="B73" s="870" t="s">
        <v>1968</v>
      </c>
      <c r="C73" s="887" t="str">
        <f>'Expenditures 15-22'!B285</f>
        <v>4000</v>
      </c>
      <c r="D73" s="888" t="str">
        <f>'Expenditures 15-22'!A285</f>
        <v>Total Payments to Other Govt Units</v>
      </c>
      <c r="E73" s="869"/>
      <c r="F73" s="1864">
        <f>'Expenditures 15-22'!K285</f>
        <v>3110</v>
      </c>
      <c r="G73" s="866"/>
    </row>
    <row r="74" spans="1:8">
      <c r="A74" s="870" t="s">
        <v>456</v>
      </c>
      <c r="B74" s="870" t="s">
        <v>1969</v>
      </c>
      <c r="C74" s="887" t="s">
        <v>915</v>
      </c>
      <c r="D74" s="888" t="s">
        <v>1546</v>
      </c>
      <c r="E74" s="869"/>
      <c r="F74" s="1868">
        <f>'Expenditures 15-22'!K334</f>
        <v>0</v>
      </c>
      <c r="G74" s="866"/>
    </row>
    <row r="75" spans="1:8" ht="5.25" customHeight="1">
      <c r="A75" s="866"/>
      <c r="B75" s="876"/>
      <c r="C75" s="876"/>
      <c r="D75" s="866"/>
      <c r="E75" s="869"/>
      <c r="F75" s="883"/>
      <c r="G75" s="868"/>
    </row>
    <row r="76" spans="1:8" ht="12" thickBot="1">
      <c r="A76" s="1718"/>
      <c r="B76" s="1724"/>
      <c r="C76" s="1720"/>
      <c r="D76" s="1725" t="s">
        <v>1970</v>
      </c>
      <c r="E76" s="1722" t="s">
        <v>1015</v>
      </c>
      <c r="F76" s="1726">
        <f>SUM(F18:F74)</f>
        <v>938132</v>
      </c>
      <c r="G76" s="866"/>
    </row>
    <row r="77" spans="1:8" s="894" customFormat="1" ht="12" customHeight="1" thickTop="1" thickBot="1">
      <c r="A77" s="1727"/>
      <c r="B77" s="1724"/>
      <c r="C77" s="1720"/>
      <c r="D77" s="1725" t="s">
        <v>1971</v>
      </c>
      <c r="E77" s="1722"/>
      <c r="F77" s="1728">
        <f>(F14-F76)</f>
        <v>9475533</v>
      </c>
      <c r="G77" s="870"/>
    </row>
    <row r="78" spans="1:8" s="894" customFormat="1" ht="12" customHeight="1" thickTop="1">
      <c r="A78" s="1729"/>
      <c r="B78" s="1724"/>
      <c r="C78" s="1720"/>
      <c r="D78" s="1725" t="s">
        <v>2018</v>
      </c>
      <c r="E78" s="1722"/>
      <c r="F78" s="899">
        <v>997.08</v>
      </c>
      <c r="G78" s="900"/>
      <c r="H78" s="870"/>
    </row>
    <row r="79" spans="1:8" s="894" customFormat="1" ht="12" customHeight="1" thickBot="1">
      <c r="A79" s="1730"/>
      <c r="B79" s="1724"/>
      <c r="C79" s="1720"/>
      <c r="D79" s="1725" t="s">
        <v>1972</v>
      </c>
      <c r="E79" s="1722" t="s">
        <v>1015</v>
      </c>
      <c r="F79" s="1731">
        <f>IF(F78&gt;0,F77/F78," Complete Line 78")</f>
        <v>9503.2825851486341</v>
      </c>
      <c r="G79" s="870"/>
    </row>
    <row r="80" spans="1:8" s="894" customFormat="1" ht="8.25" customHeight="1" thickTop="1">
      <c r="A80" s="901"/>
      <c r="B80" s="870"/>
      <c r="C80" s="872"/>
      <c r="D80" s="902"/>
      <c r="E80" s="869"/>
      <c r="F80" s="903"/>
      <c r="G80" s="870"/>
    </row>
    <row r="81" spans="1:7" s="894" customFormat="1" ht="12" thickBot="1">
      <c r="A81" s="2250" t="s">
        <v>1167</v>
      </c>
      <c r="B81" s="2251"/>
      <c r="C81" s="2251"/>
      <c r="D81" s="2251"/>
      <c r="E81" s="2251"/>
      <c r="F81" s="2252"/>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858">
        <f>'Revenues 9-14'!F42</f>
        <v>0</v>
      </c>
      <c r="G84" s="913"/>
    </row>
    <row r="85" spans="1:7">
      <c r="A85" s="909" t="s">
        <v>481</v>
      </c>
      <c r="B85" s="909" t="s">
        <v>192</v>
      </c>
      <c r="C85" s="914">
        <f>'Revenues 9-14'!B44</f>
        <v>1413</v>
      </c>
      <c r="D85" s="912" t="str">
        <f>'Revenues 9-14'!A44</f>
        <v>Regular - Transp Fees from Other Sources (In State)</v>
      </c>
      <c r="E85" s="907"/>
      <c r="F85" s="1737">
        <f>'Revenues 9-14'!F44</f>
        <v>0</v>
      </c>
      <c r="G85" s="915"/>
    </row>
    <row r="86" spans="1:7">
      <c r="A86" s="909" t="s">
        <v>481</v>
      </c>
      <c r="B86" s="909" t="s">
        <v>168</v>
      </c>
      <c r="C86" s="911">
        <f>'Revenues 9-14'!B45</f>
        <v>1415</v>
      </c>
      <c r="D86" s="912" t="str">
        <f>'Revenues 9-14'!A45</f>
        <v>Regular - Transp Fees from Co-curricular Activities (In State)</v>
      </c>
      <c r="E86" s="907"/>
      <c r="F86" s="1737">
        <f>'Revenues 9-14'!F45</f>
        <v>0</v>
      </c>
      <c r="G86" s="915"/>
    </row>
    <row r="87" spans="1:7">
      <c r="A87" s="909" t="s">
        <v>481</v>
      </c>
      <c r="B87" s="909" t="s">
        <v>169</v>
      </c>
      <c r="C87" s="911">
        <v>1416</v>
      </c>
      <c r="D87" s="912" t="str">
        <f>'Revenues 9-14'!A46</f>
        <v>Regular Transp Fees from Other Sources (Out of State)</v>
      </c>
      <c r="E87" s="907"/>
      <c r="F87" s="1737">
        <f>'Revenues 9-14'!F46</f>
        <v>0</v>
      </c>
      <c r="G87" s="915"/>
    </row>
    <row r="88" spans="1:7">
      <c r="A88" s="909" t="s">
        <v>481</v>
      </c>
      <c r="B88" s="909" t="s">
        <v>170</v>
      </c>
      <c r="C88" s="911">
        <f>'Revenues 9-14'!B51</f>
        <v>1431</v>
      </c>
      <c r="D88" s="912" t="str">
        <f>'Revenues 9-14'!A51</f>
        <v>CTE - Transp Fees from Pupils or Parents (In State)</v>
      </c>
      <c r="E88" s="907"/>
      <c r="F88" s="1737">
        <f>'Revenues 9-14'!F51</f>
        <v>0</v>
      </c>
      <c r="G88" s="915"/>
    </row>
    <row r="89" spans="1:7">
      <c r="A89" s="909" t="s">
        <v>481</v>
      </c>
      <c r="B89" s="909" t="s">
        <v>171</v>
      </c>
      <c r="C89" s="911">
        <f>'Revenues 9-14'!B53</f>
        <v>1433</v>
      </c>
      <c r="D89" s="912" t="str">
        <f>'Revenues 9-14'!A53</f>
        <v>CTE - Transp Fees from Other Sources (In State)</v>
      </c>
      <c r="E89" s="907"/>
      <c r="F89" s="1737">
        <f>'Revenues 9-14'!F53</f>
        <v>0</v>
      </c>
      <c r="G89" s="915"/>
    </row>
    <row r="90" spans="1:7">
      <c r="A90" s="909" t="s">
        <v>481</v>
      </c>
      <c r="B90" s="909" t="s">
        <v>172</v>
      </c>
      <c r="C90" s="911">
        <f>'Revenues 9-14'!B54</f>
        <v>1434</v>
      </c>
      <c r="D90" s="912" t="str">
        <f>'Revenues 9-14'!A54</f>
        <v>CTE - Transp Fees from Other Sources (Out of State)</v>
      </c>
      <c r="E90" s="907"/>
      <c r="F90" s="1737">
        <f>'Revenues 9-14'!F54</f>
        <v>0</v>
      </c>
      <c r="G90" s="915"/>
    </row>
    <row r="91" spans="1:7">
      <c r="A91" s="909" t="s">
        <v>481</v>
      </c>
      <c r="B91" s="909" t="s">
        <v>173</v>
      </c>
      <c r="C91" s="916">
        <f>'Revenues 9-14'!B55</f>
        <v>1441</v>
      </c>
      <c r="D91" s="912" t="str">
        <f>'Revenues 9-14'!A55</f>
        <v>Special Ed - Transp Fees from Pupils or Parents (In State)</v>
      </c>
      <c r="E91" s="907"/>
      <c r="F91" s="1737">
        <f>'Revenues 9-14'!F55</f>
        <v>0</v>
      </c>
      <c r="G91" s="915"/>
    </row>
    <row r="92" spans="1:7">
      <c r="A92" s="909" t="s">
        <v>481</v>
      </c>
      <c r="B92" s="909" t="s">
        <v>174</v>
      </c>
      <c r="C92" s="911">
        <f>'Revenues 9-14'!B57</f>
        <v>1443</v>
      </c>
      <c r="D92" s="912" t="str">
        <f>'Revenues 9-14'!A57</f>
        <v>Special Ed - Transp Fees from Other Sources (In State)</v>
      </c>
      <c r="E92" s="907"/>
      <c r="F92" s="1737">
        <f>'Revenues 9-14'!F57</f>
        <v>0</v>
      </c>
      <c r="G92" s="917"/>
    </row>
    <row r="93" spans="1:7">
      <c r="A93" s="909" t="s">
        <v>481</v>
      </c>
      <c r="B93" s="909" t="s">
        <v>175</v>
      </c>
      <c r="C93" s="911">
        <f>'Revenues 9-14'!B58</f>
        <v>1444</v>
      </c>
      <c r="D93" s="912" t="str">
        <f>'Revenues 9-14'!A58</f>
        <v>Special Ed - Transp Fees from Other Sources (Out of State)</v>
      </c>
      <c r="E93" s="907"/>
      <c r="F93" s="1737">
        <f>'Revenues 9-14'!F58</f>
        <v>0</v>
      </c>
      <c r="G93" s="917"/>
    </row>
    <row r="94" spans="1:7">
      <c r="A94" s="909" t="s">
        <v>479</v>
      </c>
      <c r="B94" s="909" t="s">
        <v>176</v>
      </c>
      <c r="C94" s="911">
        <v>1600</v>
      </c>
      <c r="D94" s="918" t="str">
        <f>'Revenues 9-14'!A75</f>
        <v>Total Food Service</v>
      </c>
      <c r="E94" s="907"/>
      <c r="F94" s="1737">
        <f>'Revenues 9-14'!C75</f>
        <v>154523</v>
      </c>
      <c r="G94" s="913"/>
    </row>
    <row r="95" spans="1:7">
      <c r="A95" s="909" t="s">
        <v>142</v>
      </c>
      <c r="B95" s="909" t="s">
        <v>177</v>
      </c>
      <c r="C95" s="911">
        <v>1700</v>
      </c>
      <c r="D95" s="919" t="str">
        <f>'Revenues 9-14'!A82</f>
        <v>Total District/School Activity Income</v>
      </c>
      <c r="E95" s="907"/>
      <c r="F95" s="1737">
        <f>SUM('Revenues 9-14'!C82,'Revenues 9-14'!D82)</f>
        <v>16729</v>
      </c>
      <c r="G95" s="913"/>
    </row>
    <row r="96" spans="1:7">
      <c r="A96" s="909" t="s">
        <v>479</v>
      </c>
      <c r="B96" s="909" t="s">
        <v>178</v>
      </c>
      <c r="C96" s="911">
        <f>'Revenues 9-14'!B84</f>
        <v>1811</v>
      </c>
      <c r="D96" s="912" t="str">
        <f>'Revenues 9-14'!A84</f>
        <v>Rentals - Regular Textbooks</v>
      </c>
      <c r="E96" s="907"/>
      <c r="F96" s="1737">
        <f>'Revenues 9-14'!C84</f>
        <v>18361</v>
      </c>
      <c r="G96" s="913"/>
    </row>
    <row r="97" spans="1:7">
      <c r="A97" s="909" t="s">
        <v>479</v>
      </c>
      <c r="B97" s="909" t="s">
        <v>179</v>
      </c>
      <c r="C97" s="911">
        <f>'Revenues 9-14'!B87</f>
        <v>1819</v>
      </c>
      <c r="D97" s="912" t="str">
        <f>'Revenues 9-14'!A87</f>
        <v>Rentals - Other (Describe &amp; Itemize)</v>
      </c>
      <c r="E97" s="907"/>
      <c r="F97" s="1737">
        <f>'Revenues 9-14'!C87</f>
        <v>0</v>
      </c>
      <c r="G97" s="913"/>
    </row>
    <row r="98" spans="1:7">
      <c r="A98" s="909" t="s">
        <v>479</v>
      </c>
      <c r="B98" s="909" t="s">
        <v>180</v>
      </c>
      <c r="C98" s="911">
        <f>'Revenues 9-14'!B88</f>
        <v>1821</v>
      </c>
      <c r="D98" s="912" t="str">
        <f>'Revenues 9-14'!A88</f>
        <v>Sales - Regular Textbooks</v>
      </c>
      <c r="E98" s="907"/>
      <c r="F98" s="1737">
        <f>'Revenues 9-14'!C88</f>
        <v>0</v>
      </c>
      <c r="G98" s="913"/>
    </row>
    <row r="99" spans="1:7">
      <c r="A99" s="909" t="s">
        <v>479</v>
      </c>
      <c r="B99" s="909" t="s">
        <v>181</v>
      </c>
      <c r="C99" s="911">
        <f>'Revenues 9-14'!B91</f>
        <v>1829</v>
      </c>
      <c r="D99" s="912" t="str">
        <f>'Revenues 9-14'!A91</f>
        <v>Sales - Other (Describe &amp; Itemize)</v>
      </c>
      <c r="E99" s="907"/>
      <c r="F99" s="1737">
        <f>'Revenues 9-14'!C91</f>
        <v>0</v>
      </c>
      <c r="G99" s="913"/>
    </row>
    <row r="100" spans="1:7">
      <c r="A100" s="909" t="s">
        <v>479</v>
      </c>
      <c r="B100" s="909" t="s">
        <v>182</v>
      </c>
      <c r="C100" s="911">
        <f>'Revenues 9-14'!B92</f>
        <v>1890</v>
      </c>
      <c r="D100" s="912" t="str">
        <f>'Revenues 9-14'!A92</f>
        <v>Other (Describe &amp; Itemize)</v>
      </c>
      <c r="E100" s="907"/>
      <c r="F100" s="1737">
        <f>'Revenues 9-14'!C92</f>
        <v>0</v>
      </c>
      <c r="G100" s="913"/>
    </row>
    <row r="101" spans="1:7">
      <c r="A101" s="909" t="s">
        <v>142</v>
      </c>
      <c r="B101" s="909" t="s">
        <v>183</v>
      </c>
      <c r="C101" s="911">
        <f>'Revenues 9-14'!B95</f>
        <v>1910</v>
      </c>
      <c r="D101" s="912" t="str">
        <f>'Revenues 9-14'!A95</f>
        <v>Rentals</v>
      </c>
      <c r="E101" s="907"/>
      <c r="F101" s="1737">
        <f>SUM('Revenues 9-14'!C95:D95)</f>
        <v>52800</v>
      </c>
      <c r="G101" s="913"/>
    </row>
    <row r="102" spans="1:7">
      <c r="A102" s="909" t="s">
        <v>524</v>
      </c>
      <c r="B102" s="909" t="s">
        <v>184</v>
      </c>
      <c r="C102" s="911">
        <f>'Revenues 9-14'!B98</f>
        <v>1940</v>
      </c>
      <c r="D102" s="912" t="str">
        <f>'Revenues 9-14'!A98</f>
        <v>Services Provided Other Districts</v>
      </c>
      <c r="E102" s="907"/>
      <c r="F102" s="1737">
        <f>SUM('Revenues 9-14'!C98,'Revenues 9-14'!D98,'Revenues 9-14'!F98)</f>
        <v>121341</v>
      </c>
      <c r="G102" s="913"/>
    </row>
    <row r="103" spans="1:7">
      <c r="A103" s="909" t="s">
        <v>1066</v>
      </c>
      <c r="B103" s="909" t="s">
        <v>834</v>
      </c>
      <c r="C103" s="911">
        <f>'Revenues 9-14'!B104</f>
        <v>1991</v>
      </c>
      <c r="D103" s="920" t="str">
        <f>'Revenues 9-14'!A104</f>
        <v>Payment from Other Districts</v>
      </c>
      <c r="E103" s="907"/>
      <c r="F103" s="1737">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737">
        <f>('Revenues 9-14'!C106)</f>
        <v>27760</v>
      </c>
      <c r="G104" s="913"/>
    </row>
    <row r="105" spans="1:7">
      <c r="A105" s="909" t="s">
        <v>524</v>
      </c>
      <c r="B105" s="909" t="s">
        <v>842</v>
      </c>
      <c r="C105" s="914">
        <v>3100</v>
      </c>
      <c r="D105" s="920" t="str">
        <f>'Revenues 9-14'!A131</f>
        <v>Total Special Education</v>
      </c>
      <c r="E105" s="907"/>
      <c r="F105" s="1737">
        <f>SUM('Revenues 9-14'!C131:D131,'Revenues 9-14'!F131)</f>
        <v>212824</v>
      </c>
      <c r="G105" s="913"/>
    </row>
    <row r="106" spans="1:7">
      <c r="A106" s="909" t="s">
        <v>694</v>
      </c>
      <c r="B106" s="909" t="s">
        <v>1462</v>
      </c>
      <c r="C106" s="921">
        <v>3200</v>
      </c>
      <c r="D106" s="912" t="str">
        <f>'Revenues 9-14'!A140</f>
        <v>Total Career and Technical Education</v>
      </c>
      <c r="E106" s="907"/>
      <c r="F106" s="1737">
        <f>SUM('Revenues 9-14'!C140,'Revenues 9-14'!D140,'Revenues 9-14'!G140)</f>
        <v>470</v>
      </c>
      <c r="G106" s="913"/>
    </row>
    <row r="107" spans="1:7">
      <c r="A107" s="922" t="s">
        <v>685</v>
      </c>
      <c r="B107" s="909" t="s">
        <v>843</v>
      </c>
      <c r="C107" s="921">
        <v>3300</v>
      </c>
      <c r="D107" s="912" t="str">
        <f>'Revenues 9-14'!A144</f>
        <v>Total Bilingual Ed</v>
      </c>
      <c r="E107" s="907"/>
      <c r="F107" s="1737">
        <f>SUM('Revenues 9-14'!C144,'Revenues 9-14'!G144)</f>
        <v>21629</v>
      </c>
      <c r="G107" s="913"/>
    </row>
    <row r="108" spans="1:7">
      <c r="A108" s="909" t="s">
        <v>479</v>
      </c>
      <c r="B108" s="909" t="s">
        <v>844</v>
      </c>
      <c r="C108" s="921">
        <f>'Revenues 9-14'!B145</f>
        <v>3360</v>
      </c>
      <c r="D108" s="912" t="str">
        <f>'Revenues 9-14'!A145</f>
        <v>State Free Lunch &amp; Breakfast</v>
      </c>
      <c r="E108" s="907"/>
      <c r="F108" s="1737">
        <f>'Revenues 9-14'!C145</f>
        <v>6123</v>
      </c>
      <c r="G108" s="913"/>
    </row>
    <row r="109" spans="1:7">
      <c r="A109" s="909" t="s">
        <v>694</v>
      </c>
      <c r="B109" s="909" t="s">
        <v>845</v>
      </c>
      <c r="C109" s="921">
        <f>'Revenues 9-14'!B146</f>
        <v>3365</v>
      </c>
      <c r="D109" s="912" t="str">
        <f>'Revenues 9-14'!A146</f>
        <v>School Breakfast Initiative</v>
      </c>
      <c r="E109" s="907"/>
      <c r="F109" s="1737">
        <f>SUM('Revenues 9-14'!C146,'Revenues 9-14'!D146,'Revenues 9-14'!G146)</f>
        <v>0</v>
      </c>
      <c r="G109" s="913"/>
    </row>
    <row r="110" spans="1:7">
      <c r="A110" s="909" t="s">
        <v>142</v>
      </c>
      <c r="B110" s="909" t="s">
        <v>846</v>
      </c>
      <c r="C110" s="921">
        <f>'Revenues 9-14'!B147</f>
        <v>3370</v>
      </c>
      <c r="D110" s="912" t="str">
        <f>'Revenues 9-14'!A147</f>
        <v>Driver Education</v>
      </c>
      <c r="E110" s="907"/>
      <c r="F110" s="1737">
        <f>SUM('Revenues 9-14'!C147,'Revenues 9-14'!D147)</f>
        <v>0</v>
      </c>
      <c r="G110" s="913"/>
    </row>
    <row r="111" spans="1:7">
      <c r="A111" s="909" t="s">
        <v>689</v>
      </c>
      <c r="B111" s="909" t="s">
        <v>802</v>
      </c>
      <c r="C111" s="923">
        <v>3500</v>
      </c>
      <c r="D111" s="912" t="str">
        <f>'Revenues 9-14'!A154</f>
        <v>Total Transportation</v>
      </c>
      <c r="E111" s="907"/>
      <c r="F111" s="1737">
        <f>SUM('Revenues 9-14'!C154,'Revenues 9-14'!D154,'Revenues 9-14'!F154,'Revenues 9-14'!G154)</f>
        <v>318172</v>
      </c>
      <c r="G111" s="913"/>
    </row>
    <row r="112" spans="1:7">
      <c r="A112" s="909" t="s">
        <v>479</v>
      </c>
      <c r="B112" s="909" t="s">
        <v>847</v>
      </c>
      <c r="C112" s="921">
        <f>'Revenues 9-14'!B155</f>
        <v>3610</v>
      </c>
      <c r="D112" s="912" t="str">
        <f>'Revenues 9-14'!A155</f>
        <v>Learning Improvement - Change Grants</v>
      </c>
      <c r="E112" s="907"/>
      <c r="F112" s="1737">
        <f>'Revenues 9-14'!C155</f>
        <v>0</v>
      </c>
      <c r="G112" s="913"/>
    </row>
    <row r="113" spans="1:7">
      <c r="A113" s="909" t="s">
        <v>689</v>
      </c>
      <c r="B113" s="909" t="s">
        <v>848</v>
      </c>
      <c r="C113" s="921">
        <f>'Revenues 9-14'!B156</f>
        <v>3660</v>
      </c>
      <c r="D113" s="912" t="str">
        <f>'Revenues 9-14'!A156</f>
        <v>Scientific Literacy</v>
      </c>
      <c r="E113" s="907"/>
      <c r="F113" s="1737">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737">
        <f>SUM('Revenues 9-14'!C157,'Revenues 9-14'!F157,'Revenues 9-14'!G157)</f>
        <v>0</v>
      </c>
      <c r="G114" s="913"/>
    </row>
    <row r="115" spans="1:7">
      <c r="A115" s="909" t="s">
        <v>5</v>
      </c>
      <c r="B115" s="909" t="s">
        <v>185</v>
      </c>
      <c r="C115" s="921">
        <f>'Revenues 9-14'!B159</f>
        <v>3715</v>
      </c>
      <c r="D115" s="912" t="str">
        <f>'Revenues 9-14'!A159</f>
        <v>Reading Improvement Block Grant</v>
      </c>
      <c r="E115" s="907"/>
      <c r="F115" s="1737">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737">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737">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857">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737">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737">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858">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858">
        <f>SUM('Revenues 9-14'!C166:G166)</f>
        <v>0</v>
      </c>
      <c r="G122" s="913"/>
    </row>
    <row r="123" spans="1:7">
      <c r="A123" s="924" t="s">
        <v>525</v>
      </c>
      <c r="B123" s="924" t="s">
        <v>853</v>
      </c>
      <c r="C123" s="925">
        <f>'Revenues 9-14'!B167</f>
        <v>3815</v>
      </c>
      <c r="D123" s="926" t="str">
        <f>'Revenues 9-14'!A167</f>
        <v>State Charter Schools</v>
      </c>
      <c r="E123" s="907"/>
      <c r="F123" s="1858">
        <f>SUM('Revenues 9-14'!C167,'Revenues 9-14'!F167)</f>
        <v>0</v>
      </c>
      <c r="G123" s="913"/>
    </row>
    <row r="124" spans="1:7">
      <c r="A124" s="928" t="s">
        <v>480</v>
      </c>
      <c r="B124" s="928" t="s">
        <v>854</v>
      </c>
      <c r="C124" s="929">
        <f>'Revenues 9-14'!B170</f>
        <v>3925</v>
      </c>
      <c r="D124" s="930" t="str">
        <f>'Revenues 9-14'!A170</f>
        <v>School Infrastructure - Maintenance Projects</v>
      </c>
      <c r="E124" s="907"/>
      <c r="F124" s="1737">
        <f>'Revenues 9-14'!D170</f>
        <v>0</v>
      </c>
      <c r="G124" s="931"/>
    </row>
    <row r="125" spans="1:7">
      <c r="A125" s="928" t="s">
        <v>521</v>
      </c>
      <c r="B125" s="928" t="s">
        <v>855</v>
      </c>
      <c r="C125" s="929">
        <f>'Revenues 9-14'!B171</f>
        <v>3999</v>
      </c>
      <c r="D125" s="930" t="s">
        <v>564</v>
      </c>
      <c r="E125" s="932"/>
      <c r="F125" s="1737">
        <f>SUM('Revenues 9-14'!C171:G171,'Revenues 9-14'!J171)</f>
        <v>61933</v>
      </c>
      <c r="G125" s="931"/>
    </row>
    <row r="126" spans="1:7">
      <c r="A126" s="928" t="s">
        <v>479</v>
      </c>
      <c r="B126" s="928" t="s">
        <v>856</v>
      </c>
      <c r="C126" s="933">
        <f>'Revenues 9-14'!B180</f>
        <v>4045</v>
      </c>
      <c r="D126" s="930" t="str">
        <f>'Revenues 9-14'!A180 &amp; " (Subtract)"</f>
        <v>Head Start (Subtract)</v>
      </c>
      <c r="E126" s="907"/>
      <c r="F126" s="1737">
        <f>SUM(-'Revenues 9-14'!C180)</f>
        <v>0</v>
      </c>
      <c r="G126" s="931"/>
    </row>
    <row r="127" spans="1:7">
      <c r="A127" s="928" t="s">
        <v>689</v>
      </c>
      <c r="B127" s="928" t="s">
        <v>857</v>
      </c>
      <c r="C127" s="933" t="s">
        <v>1039</v>
      </c>
      <c r="D127" s="930" t="str">
        <f>('Revenues 9-14'!A184)</f>
        <v>Total Restricted Grants-In-Aid Received Directly from Federal Govt</v>
      </c>
      <c r="E127" s="907"/>
      <c r="F127" s="1737">
        <f>SUM('Revenues 9-14'!C184,'Revenues 9-14'!D184,'Revenues 9-14'!F184,'Revenues 9-14'!G184)</f>
        <v>0</v>
      </c>
      <c r="G127" s="931"/>
    </row>
    <row r="128" spans="1:7">
      <c r="A128" s="928" t="s">
        <v>689</v>
      </c>
      <c r="B128" s="928" t="s">
        <v>858</v>
      </c>
      <c r="C128" s="933">
        <v>4100</v>
      </c>
      <c r="D128" s="934" t="str">
        <f>'Revenues 9-14'!A191</f>
        <v>Total Title V</v>
      </c>
      <c r="E128" s="907"/>
      <c r="F128" s="1737">
        <f>SUM('Revenues 9-14'!C191,'Revenues 9-14'!D191,'Revenues 9-14'!F191,'Revenues 9-14'!G191)</f>
        <v>8921</v>
      </c>
      <c r="G128" s="931"/>
    </row>
    <row r="129" spans="1:7">
      <c r="A129" s="928" t="s">
        <v>685</v>
      </c>
      <c r="B129" s="928" t="s">
        <v>803</v>
      </c>
      <c r="C129" s="933">
        <v>4200</v>
      </c>
      <c r="D129" s="930" t="str">
        <f>'Revenues 9-14'!A201</f>
        <v>Total Food Service</v>
      </c>
      <c r="E129" s="907"/>
      <c r="F129" s="1737">
        <f>SUM('Revenues 9-14'!C201,'Revenues 9-14'!G201)</f>
        <v>480795</v>
      </c>
      <c r="G129" s="931"/>
    </row>
    <row r="130" spans="1:7">
      <c r="A130" s="928" t="s">
        <v>689</v>
      </c>
      <c r="B130" s="928" t="s">
        <v>804</v>
      </c>
      <c r="C130" s="933">
        <v>4300</v>
      </c>
      <c r="D130" s="934" t="str">
        <f>'Revenues 9-14'!A211</f>
        <v>Total Title I</v>
      </c>
      <c r="E130" s="907"/>
      <c r="F130" s="1737">
        <f>SUM('Revenues 9-14'!C211,'Revenues 9-14'!D211,'Revenues 9-14'!F211,'Revenues 9-14'!G211)</f>
        <v>487247</v>
      </c>
      <c r="G130" s="931"/>
    </row>
    <row r="131" spans="1:7">
      <c r="A131" s="928" t="s">
        <v>689</v>
      </c>
      <c r="B131" s="928" t="s">
        <v>805</v>
      </c>
      <c r="C131" s="933">
        <v>4400</v>
      </c>
      <c r="D131" s="934" t="str">
        <f>'Revenues 9-14'!A216</f>
        <v>Total Title IV</v>
      </c>
      <c r="E131" s="907"/>
      <c r="F131" s="1737">
        <f>SUM('Revenues 9-14'!C216,'Revenues 9-14'!D216,'Revenues 9-14'!F216,'Revenues 9-14'!G216)</f>
        <v>0</v>
      </c>
      <c r="G131" s="931"/>
    </row>
    <row r="132" spans="1:7">
      <c r="A132" s="928" t="s">
        <v>689</v>
      </c>
      <c r="B132" s="928" t="s">
        <v>190</v>
      </c>
      <c r="C132" s="933">
        <f>'Revenues 9-14'!B220</f>
        <v>4620</v>
      </c>
      <c r="D132" s="934" t="str">
        <f>'Revenues 9-14'!A220</f>
        <v>Fed - Spec Education - IDEA - Flow Through</v>
      </c>
      <c r="E132" s="907"/>
      <c r="F132" s="1737">
        <f>SUM('Revenues 9-14'!C220:D220,'Revenues 9-14'!F220:G220)</f>
        <v>0</v>
      </c>
      <c r="G132" s="931"/>
    </row>
    <row r="133" spans="1:7">
      <c r="A133" s="928" t="s">
        <v>689</v>
      </c>
      <c r="B133" s="928" t="s">
        <v>191</v>
      </c>
      <c r="C133" s="933">
        <f>'Revenues 9-14'!B221</f>
        <v>4625</v>
      </c>
      <c r="D133" s="934" t="str">
        <f>'Revenues 9-14'!A221</f>
        <v>Fed - Spec Education - IDEA - Room &amp; Board</v>
      </c>
      <c r="E133" s="907"/>
      <c r="F133" s="1737">
        <f>SUM('Revenues 9-14'!C221,'Revenues 9-14'!D221,'Revenues 9-14'!F221,'Revenues 9-14'!G221)</f>
        <v>0</v>
      </c>
      <c r="G133" s="931"/>
    </row>
    <row r="134" spans="1:7">
      <c r="A134" s="928" t="s">
        <v>689</v>
      </c>
      <c r="B134" s="928" t="s">
        <v>859</v>
      </c>
      <c r="C134" s="933">
        <f>'Revenues 9-14'!B222</f>
        <v>4630</v>
      </c>
      <c r="D134" s="934" t="str">
        <f>'Revenues 9-14'!A222</f>
        <v>Fed - Spec Education - IDEA - Discretionary</v>
      </c>
      <c r="E134" s="907"/>
      <c r="F134" s="1737">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737">
        <f>SUM('Revenues 9-14'!C223:D223,'Revenues 9-14'!F223:G223)</f>
        <v>0</v>
      </c>
      <c r="G135" s="931"/>
    </row>
    <row r="136" spans="1:7">
      <c r="A136" s="928" t="s">
        <v>694</v>
      </c>
      <c r="B136" s="928" t="s">
        <v>807</v>
      </c>
      <c r="C136" s="933">
        <v>4700</v>
      </c>
      <c r="D136" s="930" t="str">
        <f>'Revenues 9-14'!A228</f>
        <v>Total CTE - Perkins</v>
      </c>
      <c r="E136" s="907"/>
      <c r="F136" s="1737">
        <f>SUM('Revenues 9-14'!C228,'Revenues 9-14'!D228,'Revenues 9-14'!G228)</f>
        <v>0</v>
      </c>
      <c r="G136" s="931">
        <v>6303</v>
      </c>
    </row>
    <row r="137" spans="1:7" s="868" customFormat="1" hidden="1">
      <c r="A137" s="935" t="s">
        <v>215</v>
      </c>
      <c r="B137" s="935" t="s">
        <v>1463</v>
      </c>
      <c r="C137" s="936" t="s">
        <v>216</v>
      </c>
      <c r="D137" s="937" t="str">
        <f>'Revenues 9-14'!A231</f>
        <v>ARRA - Title I - Low Income</v>
      </c>
      <c r="E137" s="938"/>
      <c r="F137" s="1858">
        <f>SUM('Revenues 9-14'!$C$231:$D$231,'Revenues 9-14'!$F$231:$G$231)</f>
        <v>0</v>
      </c>
      <c r="G137" s="906"/>
    </row>
    <row r="138" spans="1:7" s="868" customFormat="1" hidden="1">
      <c r="A138" s="935" t="s">
        <v>215</v>
      </c>
      <c r="B138" s="935" t="s">
        <v>1464</v>
      </c>
      <c r="C138" s="936" t="s">
        <v>217</v>
      </c>
      <c r="D138" s="937" t="str">
        <f>'Revenues 9-14'!A232</f>
        <v>ARRA - Title I - Neglected, Private</v>
      </c>
      <c r="E138" s="938"/>
      <c r="F138" s="1737">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737">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737">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737">
        <f>SUM('Revenues 9-14'!C235:G235,'Revenues 9-14'!J235)</f>
        <v>0</v>
      </c>
      <c r="G141" s="906"/>
    </row>
    <row r="142" spans="1:7" s="868" customFormat="1" hidden="1">
      <c r="A142" s="935" t="s">
        <v>215</v>
      </c>
      <c r="B142" s="935" t="s">
        <v>226</v>
      </c>
      <c r="C142" s="936" t="s">
        <v>223</v>
      </c>
      <c r="D142" s="937" t="str">
        <f>'Revenues 9-14'!A236</f>
        <v>ARRA - IDEA - Part B - Preschool</v>
      </c>
      <c r="E142" s="938"/>
      <c r="F142" s="1737">
        <v>0</v>
      </c>
      <c r="G142" s="906"/>
    </row>
    <row r="143" spans="1:7" s="868" customFormat="1" hidden="1">
      <c r="A143" s="935" t="s">
        <v>215</v>
      </c>
      <c r="B143" s="935" t="s">
        <v>228</v>
      </c>
      <c r="C143" s="936" t="s">
        <v>225</v>
      </c>
      <c r="D143" s="937" t="str">
        <f>'Revenues 9-14'!A237</f>
        <v>ARRA - IDEA - Part B - Flow-Through</v>
      </c>
      <c r="E143" s="938"/>
      <c r="F143" s="1737">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737">
        <f>SUM('Revenues 9-14'!C238:G238,'Revenues 9-14'!J238)</f>
        <v>0</v>
      </c>
      <c r="G144" s="906"/>
    </row>
    <row r="145" spans="1:7" s="868" customFormat="1" hidden="1">
      <c r="A145" s="935" t="s">
        <v>215</v>
      </c>
      <c r="B145" s="935" t="s">
        <v>1465</v>
      </c>
      <c r="C145" s="936" t="s">
        <v>229</v>
      </c>
      <c r="D145" s="937" t="str">
        <f>'Revenues 9-14'!A239</f>
        <v>ARRA - Title IID - Technology-Competitive</v>
      </c>
      <c r="E145" s="938"/>
      <c r="F145" s="1737">
        <f>SUM('Revenues 9-14'!C239:G239,'Revenues 9-14'!J239)</f>
        <v>0</v>
      </c>
      <c r="G145" s="906"/>
    </row>
    <row r="146" spans="1:7" s="868" customFormat="1" hidden="1">
      <c r="A146" s="935" t="s">
        <v>689</v>
      </c>
      <c r="B146" s="935" t="s">
        <v>1466</v>
      </c>
      <c r="C146" s="936" t="s">
        <v>230</v>
      </c>
      <c r="D146" s="937" t="str">
        <f>'Revenues 9-14'!A240</f>
        <v>ARRA - McKinney - Vento Homeless Education</v>
      </c>
      <c r="E146" s="938"/>
      <c r="F146" s="1737">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737">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737">
        <f>SUM('Revenues 9-14'!C245:G245,'Revenues 9-14'!J245)</f>
        <v>0</v>
      </c>
      <c r="G148" s="906"/>
    </row>
    <row r="149" spans="1:7" s="868" customFormat="1" hidden="1">
      <c r="A149" s="935" t="s">
        <v>215</v>
      </c>
      <c r="B149" s="935" t="s">
        <v>237</v>
      </c>
      <c r="C149" s="936" t="s">
        <v>234</v>
      </c>
      <c r="D149" s="937" t="str">
        <f>'Revenues 9-14'!A246</f>
        <v>Build America Bond Tax Credits</v>
      </c>
      <c r="E149" s="938"/>
      <c r="F149" s="1737">
        <f>SUM('Revenues 9-14'!C246:G246,'Revenues 9-14'!J246)</f>
        <v>0</v>
      </c>
      <c r="G149" s="906"/>
    </row>
    <row r="150" spans="1:7" s="868" customFormat="1" hidden="1">
      <c r="A150" s="935" t="s">
        <v>215</v>
      </c>
      <c r="B150" s="935" t="s">
        <v>1467</v>
      </c>
      <c r="C150" s="936" t="s">
        <v>236</v>
      </c>
      <c r="D150" s="937" t="str">
        <f>'Revenues 9-14'!A247</f>
        <v>Build America Bond Interest Reimbursement</v>
      </c>
      <c r="E150" s="938"/>
      <c r="F150" s="1737">
        <f>SUM('Revenues 9-14'!C247:G247,'Revenues 9-14'!J247)</f>
        <v>0</v>
      </c>
      <c r="G150" s="906"/>
    </row>
    <row r="151" spans="1:7" s="868" customFormat="1" hidden="1">
      <c r="A151" s="935" t="s">
        <v>215</v>
      </c>
      <c r="B151" s="935" t="s">
        <v>240</v>
      </c>
      <c r="C151" s="936" t="s">
        <v>238</v>
      </c>
      <c r="D151" s="937" t="str">
        <f>'Revenues 9-14'!A249</f>
        <v>Other ARRA Funds - II</v>
      </c>
      <c r="E151" s="938"/>
      <c r="F151" s="1737">
        <f>SUM('Revenues 9-14'!C249:G249,'Revenues 9-14'!J249)</f>
        <v>0</v>
      </c>
      <c r="G151" s="906"/>
    </row>
    <row r="152" spans="1:7" s="868" customFormat="1" hidden="1">
      <c r="A152" s="935" t="s">
        <v>215</v>
      </c>
      <c r="B152" s="935" t="s">
        <v>242</v>
      </c>
      <c r="C152" s="936" t="s">
        <v>239</v>
      </c>
      <c r="D152" s="937" t="str">
        <f>'Revenues 9-14'!A250</f>
        <v>Other ARRA Funds - III</v>
      </c>
      <c r="E152" s="938"/>
      <c r="F152" s="1737">
        <f>SUM('Revenues 9-14'!C250:G250,'Revenues 9-14'!J250)</f>
        <v>0</v>
      </c>
      <c r="G152" s="906"/>
    </row>
    <row r="153" spans="1:7" s="868" customFormat="1" hidden="1">
      <c r="A153" s="935" t="s">
        <v>215</v>
      </c>
      <c r="B153" s="935" t="s">
        <v>244</v>
      </c>
      <c r="C153" s="936" t="s">
        <v>241</v>
      </c>
      <c r="D153" s="937" t="str">
        <f>'Revenues 9-14'!A251</f>
        <v>Other ARRA Funds - IV</v>
      </c>
      <c r="E153" s="938"/>
      <c r="F153" s="1737">
        <f>SUM('Revenues 9-14'!C251:G251,'Revenues 9-14'!J251)</f>
        <v>0</v>
      </c>
      <c r="G153" s="906"/>
    </row>
    <row r="154" spans="1:7" s="868" customFormat="1" hidden="1">
      <c r="A154" s="935" t="s">
        <v>215</v>
      </c>
      <c r="B154" s="935" t="s">
        <v>246</v>
      </c>
      <c r="C154" s="936" t="s">
        <v>243</v>
      </c>
      <c r="D154" s="937" t="str">
        <f>'Revenues 9-14'!A252</f>
        <v>Other ARRA Funds - V</v>
      </c>
      <c r="E154" s="938"/>
      <c r="F154" s="1737">
        <f>SUM('Revenues 9-14'!C252:G252,'Revenues 9-14'!J252)</f>
        <v>0</v>
      </c>
      <c r="G154" s="906"/>
    </row>
    <row r="155" spans="1:7" s="868" customFormat="1" hidden="1">
      <c r="A155" s="935" t="s">
        <v>215</v>
      </c>
      <c r="B155" s="935" t="s">
        <v>248</v>
      </c>
      <c r="C155" s="936" t="s">
        <v>245</v>
      </c>
      <c r="D155" s="937" t="str">
        <f>'Revenues 9-14'!A253</f>
        <v>ARRA - Early Childhood</v>
      </c>
      <c r="E155" s="938"/>
      <c r="F155" s="1737">
        <v>0</v>
      </c>
      <c r="G155" s="906"/>
    </row>
    <row r="156" spans="1:7" s="868" customFormat="1" hidden="1">
      <c r="A156" s="935" t="s">
        <v>215</v>
      </c>
      <c r="B156" s="935" t="s">
        <v>250</v>
      </c>
      <c r="C156" s="936" t="s">
        <v>247</v>
      </c>
      <c r="D156" s="937" t="str">
        <f>'Revenues 9-14'!A254</f>
        <v>Other ARRA Funds VII</v>
      </c>
      <c r="E156" s="938"/>
      <c r="F156" s="1737">
        <f>SUM('Revenues 9-14'!C254:G254,'Revenues 9-14'!J254)</f>
        <v>0</v>
      </c>
      <c r="G156" s="906"/>
    </row>
    <row r="157" spans="1:7" s="868" customFormat="1" hidden="1">
      <c r="A157" s="935" t="s">
        <v>215</v>
      </c>
      <c r="B157" s="935" t="s">
        <v>252</v>
      </c>
      <c r="C157" s="936" t="s">
        <v>249</v>
      </c>
      <c r="D157" s="937" t="str">
        <f>'Revenues 9-14'!A255</f>
        <v>Other ARRA Funds VIII</v>
      </c>
      <c r="E157" s="938"/>
      <c r="F157" s="1737">
        <f>SUM('Revenues 9-14'!C255:G255,'Revenues 9-14'!J255)</f>
        <v>0</v>
      </c>
      <c r="G157" s="906"/>
    </row>
    <row r="158" spans="1:7" s="868" customFormat="1" hidden="1">
      <c r="A158" s="935" t="s">
        <v>215</v>
      </c>
      <c r="B158" s="935" t="s">
        <v>254</v>
      </c>
      <c r="C158" s="936" t="s">
        <v>251</v>
      </c>
      <c r="D158" s="937" t="str">
        <f>'Revenues 9-14'!A256</f>
        <v>Other ARRA Funds IX</v>
      </c>
      <c r="E158" s="938"/>
      <c r="F158" s="1737">
        <f>SUM('Revenues 9-14'!C256:G256,'Revenues 9-14'!J256)</f>
        <v>0</v>
      </c>
      <c r="G158" s="906"/>
    </row>
    <row r="159" spans="1:7" s="868" customFormat="1" hidden="1">
      <c r="A159" s="935" t="s">
        <v>215</v>
      </c>
      <c r="B159" s="935" t="s">
        <v>863</v>
      </c>
      <c r="C159" s="936" t="s">
        <v>253</v>
      </c>
      <c r="D159" s="937" t="str">
        <f>'Revenues 9-14'!A257</f>
        <v>Other ARRA Funds X</v>
      </c>
      <c r="E159" s="938"/>
      <c r="F159" s="1737">
        <f>SUM('Revenues 9-14'!C257:G257,'Revenues 9-14'!J257)</f>
        <v>0</v>
      </c>
      <c r="G159" s="906"/>
    </row>
    <row r="160" spans="1:7" s="868" customFormat="1" hidden="1">
      <c r="A160" s="935" t="s">
        <v>215</v>
      </c>
      <c r="B160" s="935" t="s">
        <v>1468</v>
      </c>
      <c r="C160" s="936" t="s">
        <v>255</v>
      </c>
      <c r="D160" s="937" t="str">
        <f>'Revenues 9-14'!A258</f>
        <v>Other ARRA Funds Ed Job Fund Program</v>
      </c>
      <c r="E160" s="938"/>
      <c r="F160" s="1737">
        <f>SUM('Revenues 9-14'!C258:G258,'Revenues 9-14'!J258)</f>
        <v>0</v>
      </c>
      <c r="G160" s="906"/>
    </row>
    <row r="161" spans="1:7" s="868" customFormat="1">
      <c r="A161" s="939" t="s">
        <v>521</v>
      </c>
      <c r="B161" s="940" t="s">
        <v>1543</v>
      </c>
      <c r="C161" s="941" t="s">
        <v>896</v>
      </c>
      <c r="D161" s="942" t="s">
        <v>808</v>
      </c>
      <c r="E161" s="943"/>
      <c r="F161" s="1737">
        <f>SUM(F137:F160)</f>
        <v>0</v>
      </c>
      <c r="G161" s="906"/>
    </row>
    <row r="162" spans="1:7" s="868" customFormat="1">
      <c r="A162" s="939" t="s">
        <v>479</v>
      </c>
      <c r="B162" s="940" t="s">
        <v>1480</v>
      </c>
      <c r="C162" s="941" t="s">
        <v>1478</v>
      </c>
      <c r="D162" s="942" t="s">
        <v>1479</v>
      </c>
      <c r="E162" s="943"/>
      <c r="F162" s="1737">
        <f>SUM('Revenues 9-14'!C260)</f>
        <v>0</v>
      </c>
      <c r="G162" s="906"/>
    </row>
    <row r="163" spans="1:7" s="868" customFormat="1">
      <c r="A163" s="939" t="s">
        <v>521</v>
      </c>
      <c r="B163" s="940" t="s">
        <v>1520</v>
      </c>
      <c r="C163" s="941" t="s">
        <v>1521</v>
      </c>
      <c r="D163" s="942" t="s">
        <v>1522</v>
      </c>
      <c r="E163" s="943"/>
      <c r="F163" s="1737">
        <f>SUM('Revenues 9-14'!C261:H261,'Revenues 9-14'!J261:K261)</f>
        <v>0</v>
      </c>
      <c r="G163" s="906"/>
    </row>
    <row r="164" spans="1:7">
      <c r="A164" s="928" t="s">
        <v>1067</v>
      </c>
      <c r="B164" s="928" t="s">
        <v>1535</v>
      </c>
      <c r="C164" s="933">
        <f>'Revenues 9-14'!B262</f>
        <v>4904</v>
      </c>
      <c r="D164" s="930" t="str">
        <f>'Revenues 9-14'!A262</f>
        <v>Advanced Placement Fee/International Baccalaureate</v>
      </c>
      <c r="E164" s="907"/>
      <c r="F164" s="1737">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737">
        <f>SUM('Revenues 9-14'!C263,'Revenues 9-14'!F263,'Revenues 9-14'!G263)</f>
        <v>0</v>
      </c>
      <c r="G165" s="944">
        <v>6306</v>
      </c>
    </row>
    <row r="166" spans="1:7">
      <c r="A166" s="928" t="s">
        <v>5</v>
      </c>
      <c r="B166" s="928" t="s">
        <v>1481</v>
      </c>
      <c r="C166" s="933">
        <f>'Revenues 9-14'!B264</f>
        <v>4909</v>
      </c>
      <c r="D166" s="930" t="str">
        <f>'Revenues 9-14'!A264</f>
        <v>Title III - Language Inst Program - Limited Eng (LIPLEP)</v>
      </c>
      <c r="E166" s="907"/>
      <c r="F166" s="1737">
        <f>SUM('Revenues 9-14'!C264,'Revenues 9-14'!F264,'Revenues 9-14'!G264)</f>
        <v>0</v>
      </c>
      <c r="G166" s="944"/>
    </row>
    <row r="167" spans="1:7">
      <c r="A167" s="928" t="s">
        <v>5</v>
      </c>
      <c r="B167" s="928" t="s">
        <v>1536</v>
      </c>
      <c r="C167" s="933">
        <f>'Revenues 9-14'!B265</f>
        <v>4910</v>
      </c>
      <c r="D167" s="930" t="str">
        <f>'Revenues 9-14'!A265</f>
        <v>Learn &amp; Serve America</v>
      </c>
      <c r="E167" s="907"/>
      <c r="F167" s="1737">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737">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858">
        <f>SUM('Revenues 9-14'!C267:D267,'Revenues 9-14'!F267,'Revenues 9-14'!G267)</f>
        <v>0</v>
      </c>
      <c r="G169" s="931"/>
    </row>
    <row r="170" spans="1:7">
      <c r="A170" s="928" t="s">
        <v>689</v>
      </c>
      <c r="B170" s="928" t="s">
        <v>709</v>
      </c>
      <c r="C170" s="933">
        <f>'Revenues 9-14'!B268</f>
        <v>4932</v>
      </c>
      <c r="D170" s="934" t="str">
        <f>'Revenues 9-14'!A268</f>
        <v>Title II - Teacher Quality</v>
      </c>
      <c r="E170" s="907"/>
      <c r="F170" s="1858">
        <f>SUM('Revenues 9-14'!C268,'Revenues 9-14'!D268,'Revenues 9-14'!F268,'Revenues 9-14'!G268)</f>
        <v>0</v>
      </c>
      <c r="G170" s="931"/>
    </row>
    <row r="171" spans="1:7">
      <c r="A171" s="928" t="s">
        <v>689</v>
      </c>
      <c r="B171" s="928" t="s">
        <v>864</v>
      </c>
      <c r="C171" s="933">
        <f>'Revenues 9-14'!B269</f>
        <v>4960</v>
      </c>
      <c r="D171" s="930" t="str">
        <f>'Revenues 9-14'!A269</f>
        <v>Federal Charter Schools</v>
      </c>
      <c r="E171" s="907"/>
      <c r="F171" s="1737">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737">
        <f>SUM('Revenues 9-14'!C270:D270,'Revenues 9-14'!F270:G270)</f>
        <v>33881</v>
      </c>
      <c r="G172" s="948">
        <v>6320</v>
      </c>
    </row>
    <row r="173" spans="1:7">
      <c r="A173" s="928" t="s">
        <v>689</v>
      </c>
      <c r="B173" s="928" t="s">
        <v>1482</v>
      </c>
      <c r="C173" s="933">
        <f>'Revenues 9-14'!B271</f>
        <v>4992</v>
      </c>
      <c r="D173" s="934" t="str">
        <f>'Revenues 9-14'!A271</f>
        <v>Medicaid Matching Funds - Fee-for-Service Program</v>
      </c>
      <c r="E173" s="907"/>
      <c r="F173" s="1737">
        <f>SUM('Revenues 9-14'!C271:D271,'Revenues 9-14'!F271:G271)</f>
        <v>138362</v>
      </c>
      <c r="G173" s="948"/>
    </row>
    <row r="174" spans="1:7">
      <c r="A174" s="949" t="s">
        <v>689</v>
      </c>
      <c r="B174" s="945" t="s">
        <v>1537</v>
      </c>
      <c r="C174" s="946">
        <f>'Revenues 9-14'!B272</f>
        <v>4999</v>
      </c>
      <c r="D174" s="947" t="str">
        <f>'Revenues 9-14'!A272</f>
        <v>Other Restricted Revenue from Federal Sources (Describe &amp; Itemize)</v>
      </c>
      <c r="E174" s="907"/>
      <c r="F174" s="1737">
        <f>SUM('Revenues 9-14'!C272:D272,'Revenues 9-14'!F272:G272)</f>
        <v>0</v>
      </c>
      <c r="G174" s="928"/>
    </row>
    <row r="175" spans="1:7">
      <c r="A175" s="1869" t="s">
        <v>5</v>
      </c>
      <c r="B175" s="1870" t="s">
        <v>2017</v>
      </c>
      <c r="C175" s="1871">
        <v>3100</v>
      </c>
      <c r="D175" s="1872" t="s">
        <v>2020</v>
      </c>
      <c r="E175" s="907"/>
      <c r="F175" s="1856"/>
      <c r="G175" s="928"/>
    </row>
    <row r="176" spans="1:7">
      <c r="A176" s="1869" t="s">
        <v>685</v>
      </c>
      <c r="B176" s="1870" t="s">
        <v>2017</v>
      </c>
      <c r="C176" s="1871">
        <v>3300</v>
      </c>
      <c r="D176" s="1872" t="s">
        <v>2021</v>
      </c>
      <c r="E176" s="907"/>
      <c r="F176" s="1856"/>
      <c r="G176" s="928"/>
    </row>
    <row r="177" spans="1:7" ht="6" customHeight="1">
      <c r="A177" s="928"/>
      <c r="B177" s="928"/>
      <c r="C177" s="950"/>
      <c r="D177" s="928"/>
      <c r="E177" s="907"/>
      <c r="F177" s="951"/>
      <c r="G177" s="948"/>
    </row>
    <row r="178" spans="1:7">
      <c r="A178" s="1718"/>
      <c r="B178" s="1732"/>
      <c r="C178" s="1733"/>
      <c r="D178" s="1734" t="s">
        <v>1973</v>
      </c>
      <c r="E178" s="1735" t="s">
        <v>1015</v>
      </c>
      <c r="F178" s="1736">
        <f>SUM(F84:F136,F161:F176)</f>
        <v>2161871</v>
      </c>
    </row>
    <row r="179" spans="1:7" ht="12" customHeight="1">
      <c r="A179" s="1718"/>
      <c r="B179" s="1732"/>
      <c r="C179" s="1733"/>
      <c r="D179" s="1734" t="s">
        <v>1974</v>
      </c>
      <c r="E179" s="1735"/>
      <c r="F179" s="1737">
        <f>'PCTC-OEPP 27-28'!F77-F178</f>
        <v>7313662</v>
      </c>
    </row>
    <row r="180" spans="1:7" ht="12" customHeight="1">
      <c r="A180" s="1718"/>
      <c r="B180" s="1732"/>
      <c r="C180" s="1733"/>
      <c r="D180" s="1734" t="s">
        <v>1885</v>
      </c>
      <c r="E180" s="1735"/>
      <c r="F180" s="1737">
        <f>'Cap Outlay Deprec 26'!I18</f>
        <v>369494</v>
      </c>
    </row>
    <row r="181" spans="1:7" ht="12" customHeight="1">
      <c r="A181" s="1718"/>
      <c r="B181" s="1732"/>
      <c r="C181" s="1733"/>
      <c r="D181" s="1734" t="s">
        <v>1975</v>
      </c>
      <c r="E181" s="1735"/>
      <c r="F181" s="1737">
        <f>F179+F180</f>
        <v>7683156</v>
      </c>
    </row>
    <row r="182" spans="1:7" ht="12" customHeight="1">
      <c r="A182" s="1718"/>
      <c r="B182" s="1738"/>
      <c r="C182" s="1733"/>
      <c r="D182" s="1734" t="str">
        <f>D78</f>
        <v>9 Month ADA from District Average Daily Attendance/Prior General State Aid Inquiry 2017-2018</v>
      </c>
      <c r="E182" s="1735"/>
      <c r="F182" s="1739">
        <f>'PCTC-OEPP 27-28'!F78</f>
        <v>997.08</v>
      </c>
      <c r="G182" s="931"/>
    </row>
    <row r="183" spans="1:7" ht="12" customHeight="1" thickBot="1">
      <c r="A183" s="1718"/>
      <c r="B183" s="1738"/>
      <c r="C183" s="1733"/>
      <c r="D183" s="1734" t="s">
        <v>1976</v>
      </c>
      <c r="E183" s="1735" t="s">
        <v>1605</v>
      </c>
      <c r="F183" s="1740">
        <f>F181/F182</f>
        <v>7705.6565170297263</v>
      </c>
      <c r="G183" s="857">
        <v>6323</v>
      </c>
    </row>
    <row r="184" spans="1:7" ht="12" thickTop="1">
      <c r="B184" s="931"/>
      <c r="C184" s="950"/>
      <c r="D184" s="931"/>
      <c r="E184" s="950"/>
      <c r="F184" s="931"/>
      <c r="G184" s="952">
        <v>6326</v>
      </c>
    </row>
    <row r="185" spans="1:7" ht="12.2" customHeight="1">
      <c r="A185" s="931" t="s">
        <v>2019</v>
      </c>
      <c r="B185" s="931"/>
      <c r="C185" s="950"/>
      <c r="D185" s="931"/>
      <c r="E185" s="950"/>
      <c r="F185" s="931"/>
      <c r="G185" s="931"/>
    </row>
    <row r="186" spans="1:7" s="1873" customFormat="1" ht="12.2" customHeight="1">
      <c r="A186" s="1873" t="s">
        <v>2024</v>
      </c>
      <c r="B186" s="1874"/>
      <c r="C186" s="1875"/>
      <c r="D186" s="1874"/>
      <c r="E186" s="1875"/>
      <c r="F186" s="1874"/>
      <c r="G186" s="1874"/>
    </row>
    <row r="187" spans="1:7" s="1873" customFormat="1" ht="12.2" customHeight="1">
      <c r="A187" s="1876" t="s">
        <v>2025</v>
      </c>
      <c r="C187" s="1875"/>
      <c r="D187" s="1874"/>
      <c r="E187" s="1875"/>
      <c r="F187" s="1874"/>
      <c r="G187" s="1874"/>
    </row>
    <row r="188" spans="1:7" ht="12" customHeight="1">
      <c r="C188" s="950"/>
      <c r="D188" s="931"/>
      <c r="E188" s="950"/>
      <c r="F188" s="931"/>
      <c r="G188" s="931"/>
    </row>
    <row r="189" spans="1:7">
      <c r="A189" s="1877" t="s">
        <v>2023</v>
      </c>
      <c r="B189" s="1878" t="s">
        <v>2022</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35"/>
  <sheetViews>
    <sheetView showGridLines="0" workbookViewId="0">
      <pane ySplit="16" topLeftCell="A17" activePane="bottomLeft" state="frozen"/>
      <selection activeCell="I21" sqref="I21:S21"/>
      <selection pane="bottomLeft" activeCell="J33" sqref="J33"/>
    </sheetView>
  </sheetViews>
  <sheetFormatPr defaultColWidth="9.140625" defaultRowHeight="15"/>
  <cols>
    <col min="1" max="1" width="52" style="1494" customWidth="1"/>
    <col min="2" max="2" width="16.42578125" style="1495" bestFit="1" customWidth="1"/>
    <col min="3" max="3" width="33.7109375" style="1495" customWidth="1"/>
    <col min="4" max="4" width="16.28515625" style="1496" customWidth="1"/>
    <col min="5" max="5" width="0.140625" style="1496" hidden="1" customWidth="1"/>
    <col min="6" max="6" width="23.5703125" style="1496" customWidth="1"/>
    <col min="7" max="7" width="23.28515625" style="1495" customWidth="1"/>
    <col min="8" max="16384" width="9.140625" style="1485"/>
  </cols>
  <sheetData>
    <row r="1" spans="1:7" ht="15" customHeight="1">
      <c r="A1" s="1610" t="s">
        <v>1901</v>
      </c>
      <c r="B1" s="1611"/>
      <c r="C1" s="1611"/>
      <c r="D1" s="1611"/>
      <c r="E1" s="1611"/>
      <c r="F1" s="1611"/>
      <c r="G1" s="1611"/>
    </row>
    <row r="2" spans="1:7">
      <c r="A2" s="1608"/>
      <c r="B2" s="1608"/>
      <c r="C2" s="1609" t="s">
        <v>1036</v>
      </c>
      <c r="D2" s="1608"/>
      <c r="E2" s="1608"/>
      <c r="F2" s="1608"/>
      <c r="G2" s="1608"/>
    </row>
    <row r="3" spans="1:7" ht="5.25" customHeight="1">
      <c r="A3" s="1497"/>
      <c r="B3" s="1497"/>
      <c r="C3" s="1497"/>
      <c r="D3" s="1497"/>
      <c r="E3" s="1497"/>
      <c r="F3" s="1497"/>
      <c r="G3" s="1497"/>
    </row>
    <row r="4" spans="1:7" ht="18.75" customHeight="1">
      <c r="A4" s="2264" t="s">
        <v>1886</v>
      </c>
      <c r="B4" s="2265"/>
      <c r="C4" s="2265"/>
      <c r="D4" s="2265"/>
      <c r="E4" s="2265"/>
      <c r="F4" s="2265"/>
      <c r="G4" s="2266"/>
    </row>
    <row r="5" spans="1:7">
      <c r="A5" s="2267"/>
      <c r="B5" s="2268"/>
      <c r="C5" s="2268"/>
      <c r="D5" s="2268"/>
      <c r="E5" s="2268"/>
      <c r="F5" s="2268"/>
      <c r="G5" s="2269"/>
    </row>
    <row r="6" spans="1:7" ht="18.75">
      <c r="A6" s="1486" t="s">
        <v>1887</v>
      </c>
      <c r="B6" s="1487"/>
      <c r="C6" s="1487"/>
      <c r="D6" s="1487"/>
      <c r="E6" s="1487"/>
      <c r="F6" s="1487"/>
      <c r="G6" s="1488"/>
    </row>
    <row r="7" spans="1:7" ht="30.95" customHeight="1">
      <c r="A7" s="2270" t="s">
        <v>2034</v>
      </c>
      <c r="B7" s="2271"/>
      <c r="C7" s="2271"/>
      <c r="D7" s="2271"/>
      <c r="E7" s="2271"/>
      <c r="F7" s="2271"/>
      <c r="G7" s="2272"/>
    </row>
    <row r="8" spans="1:7" ht="15.75" customHeight="1">
      <c r="A8" s="2273" t="s">
        <v>1983</v>
      </c>
      <c r="B8" s="2274"/>
      <c r="C8" s="2274"/>
      <c r="D8" s="2274"/>
      <c r="E8" s="2274"/>
      <c r="F8" s="2274"/>
      <c r="G8" s="2275"/>
    </row>
    <row r="9" spans="1:7" ht="35.25" customHeight="1">
      <c r="A9" s="2270" t="s">
        <v>1982</v>
      </c>
      <c r="B9" s="2271"/>
      <c r="C9" s="2271"/>
      <c r="D9" s="2271"/>
      <c r="E9" s="2271"/>
      <c r="F9" s="2271"/>
      <c r="G9" s="2272"/>
    </row>
    <row r="10" spans="1:7" ht="15" customHeight="1">
      <c r="A10" s="1489" t="s">
        <v>1888</v>
      </c>
      <c r="B10" s="1490"/>
      <c r="C10" s="1490"/>
      <c r="D10" s="1490"/>
      <c r="E10" s="1490"/>
      <c r="F10" s="1490"/>
      <c r="G10" s="1491"/>
    </row>
    <row r="11" spans="1:7" ht="17.25" customHeight="1">
      <c r="A11" s="2270" t="s">
        <v>1902</v>
      </c>
      <c r="B11" s="2271"/>
      <c r="C11" s="2271"/>
      <c r="D11" s="2271"/>
      <c r="E11" s="2271"/>
      <c r="F11" s="2271"/>
      <c r="G11" s="2272"/>
    </row>
    <row r="12" spans="1:7" ht="15" customHeight="1">
      <c r="A12" s="1489" t="s">
        <v>1893</v>
      </c>
      <c r="B12" s="1490"/>
      <c r="C12" s="1490"/>
      <c r="D12" s="1490"/>
      <c r="E12" s="1490"/>
      <c r="F12" s="1490"/>
      <c r="G12" s="1491"/>
    </row>
    <row r="13" spans="1:7" ht="32.25" customHeight="1">
      <c r="A13" s="2261" t="s">
        <v>1894</v>
      </c>
      <c r="B13" s="2262"/>
      <c r="C13" s="2262"/>
      <c r="D13" s="2262"/>
      <c r="E13" s="2262"/>
      <c r="F13" s="2262"/>
      <c r="G13" s="2263"/>
    </row>
    <row r="14" spans="1:7">
      <c r="A14" s="1612" t="s">
        <v>1903</v>
      </c>
      <c r="B14" s="1613"/>
      <c r="C14" s="1613"/>
      <c r="D14" s="1613"/>
      <c r="E14" s="1613"/>
      <c r="F14" s="1613"/>
      <c r="G14" s="1614"/>
    </row>
    <row r="15" spans="1:7" ht="61.5" customHeight="1">
      <c r="A15" s="1498" t="s">
        <v>1895</v>
      </c>
      <c r="B15" s="1498" t="s">
        <v>1896</v>
      </c>
      <c r="C15" s="1498" t="s">
        <v>1897</v>
      </c>
      <c r="D15" s="1499" t="s">
        <v>1898</v>
      </c>
      <c r="E15" s="1499" t="s">
        <v>1889</v>
      </c>
      <c r="F15" s="1499" t="s">
        <v>1899</v>
      </c>
      <c r="G15" s="1499" t="s">
        <v>1900</v>
      </c>
    </row>
    <row r="16" spans="1:7">
      <c r="A16" s="1600" t="s">
        <v>1904</v>
      </c>
      <c r="B16" s="1601" t="s">
        <v>1892</v>
      </c>
      <c r="C16" s="1602" t="s">
        <v>1890</v>
      </c>
      <c r="D16" s="1603">
        <v>500000</v>
      </c>
      <c r="E16" s="1603">
        <f>IF(D16&lt;=25000,D16,IF(D16&gt;25000,25000,0))</f>
        <v>25000</v>
      </c>
      <c r="F16" s="160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4">
        <f>IF(F16=0,"0",D16-F16)</f>
        <v>475000</v>
      </c>
    </row>
    <row r="17" spans="1:8">
      <c r="A17" s="1931" t="s">
        <v>2058</v>
      </c>
      <c r="B17" s="1932" t="s">
        <v>2056</v>
      </c>
      <c r="C17" s="1933" t="s">
        <v>2056</v>
      </c>
      <c r="D17" s="1792">
        <v>0</v>
      </c>
      <c r="E17" s="1492">
        <f t="shared" ref="E17:E35" si="1">IF(D17&lt;=25000,D17,IF(D17&gt;25000,25000,0))</f>
        <v>0</v>
      </c>
      <c r="F17" s="1741">
        <f t="shared" si="0"/>
        <v>0</v>
      </c>
      <c r="G17" s="1742">
        <f>IF(F17=0,0,D17-F17)</f>
        <v>0</v>
      </c>
      <c r="H17" s="1599"/>
    </row>
    <row r="18" spans="1:8">
      <c r="A18" s="1605"/>
      <c r="B18" s="1793"/>
      <c r="C18" s="1607"/>
      <c r="D18" s="1792"/>
      <c r="E18" s="1492">
        <f t="shared" ref="E18:E34" si="2">IF(D18&lt;=25000,D18,IF(D18&gt;25000,25000,0))</f>
        <v>0</v>
      </c>
      <c r="F18" s="1741">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2">
        <f t="shared" ref="G18:G34" si="4">IF(F18=0,0,D18-F18)</f>
        <v>0</v>
      </c>
    </row>
    <row r="19" spans="1:8">
      <c r="A19" s="1605"/>
      <c r="B19" s="1794"/>
      <c r="C19" s="1607"/>
      <c r="D19" s="1792"/>
      <c r="E19" s="1492">
        <f t="shared" si="2"/>
        <v>0</v>
      </c>
      <c r="F19" s="1741">
        <f t="shared" si="3"/>
        <v>0</v>
      </c>
      <c r="G19" s="1742">
        <f t="shared" si="4"/>
        <v>0</v>
      </c>
    </row>
    <row r="20" spans="1:8">
      <c r="A20" s="1605"/>
      <c r="B20" s="1793"/>
      <c r="C20" s="1607"/>
      <c r="D20" s="1792"/>
      <c r="E20" s="1492">
        <f t="shared" si="2"/>
        <v>0</v>
      </c>
      <c r="F20" s="1741">
        <f t="shared" si="3"/>
        <v>0</v>
      </c>
      <c r="G20" s="1742">
        <f t="shared" si="4"/>
        <v>0</v>
      </c>
    </row>
    <row r="21" spans="1:8">
      <c r="A21" s="1605"/>
      <c r="B21" s="1793"/>
      <c r="C21" s="1607"/>
      <c r="D21" s="1792"/>
      <c r="E21" s="1492">
        <f t="shared" si="2"/>
        <v>0</v>
      </c>
      <c r="F21" s="1741">
        <f t="shared" si="3"/>
        <v>0</v>
      </c>
      <c r="G21" s="1742">
        <f t="shared" si="4"/>
        <v>0</v>
      </c>
    </row>
    <row r="22" spans="1:8">
      <c r="A22" s="1605"/>
      <c r="B22" s="1793"/>
      <c r="C22" s="1607"/>
      <c r="D22" s="1792"/>
      <c r="E22" s="1492">
        <f t="shared" si="2"/>
        <v>0</v>
      </c>
      <c r="F22" s="1741">
        <f t="shared" si="3"/>
        <v>0</v>
      </c>
      <c r="G22" s="1742">
        <f t="shared" si="4"/>
        <v>0</v>
      </c>
    </row>
    <row r="23" spans="1:8">
      <c r="A23" s="1605"/>
      <c r="B23" s="1793"/>
      <c r="C23" s="1607"/>
      <c r="D23" s="1792"/>
      <c r="E23" s="1492">
        <f t="shared" si="2"/>
        <v>0</v>
      </c>
      <c r="F23" s="1741">
        <f t="shared" si="3"/>
        <v>0</v>
      </c>
      <c r="G23" s="1742">
        <f t="shared" si="4"/>
        <v>0</v>
      </c>
    </row>
    <row r="24" spans="1:8">
      <c r="A24" s="1605"/>
      <c r="B24" s="1794"/>
      <c r="C24" s="1607"/>
      <c r="D24" s="1792"/>
      <c r="E24" s="1492">
        <f t="shared" si="2"/>
        <v>0</v>
      </c>
      <c r="F24" s="1741">
        <f t="shared" si="3"/>
        <v>0</v>
      </c>
      <c r="G24" s="1742">
        <f t="shared" si="4"/>
        <v>0</v>
      </c>
    </row>
    <row r="25" spans="1:8">
      <c r="A25" s="1605"/>
      <c r="B25" s="1793"/>
      <c r="C25" s="1607"/>
      <c r="D25" s="1792"/>
      <c r="E25" s="1492">
        <f t="shared" si="2"/>
        <v>0</v>
      </c>
      <c r="F25" s="1741">
        <f t="shared" si="3"/>
        <v>0</v>
      </c>
      <c r="G25" s="1742">
        <f t="shared" si="4"/>
        <v>0</v>
      </c>
    </row>
    <row r="26" spans="1:8">
      <c r="A26" s="1605"/>
      <c r="B26" s="1794"/>
      <c r="C26" s="1606"/>
      <c r="D26" s="1792"/>
      <c r="E26" s="1492">
        <f t="shared" si="2"/>
        <v>0</v>
      </c>
      <c r="F26" s="1741">
        <f t="shared" si="3"/>
        <v>0</v>
      </c>
      <c r="G26" s="1742">
        <f t="shared" si="4"/>
        <v>0</v>
      </c>
    </row>
    <row r="27" spans="1:8">
      <c r="A27" s="1605"/>
      <c r="B27" s="1794"/>
      <c r="C27" s="1606"/>
      <c r="D27" s="1792"/>
      <c r="E27" s="1492">
        <f t="shared" si="2"/>
        <v>0</v>
      </c>
      <c r="F27" s="1741">
        <f t="shared" si="3"/>
        <v>0</v>
      </c>
      <c r="G27" s="1742">
        <f t="shared" si="4"/>
        <v>0</v>
      </c>
    </row>
    <row r="28" spans="1:8">
      <c r="A28" s="1605"/>
      <c r="B28" s="1794"/>
      <c r="C28" s="1606"/>
      <c r="D28" s="1792"/>
      <c r="E28" s="1492">
        <f t="shared" si="2"/>
        <v>0</v>
      </c>
      <c r="F28" s="1741">
        <f t="shared" si="3"/>
        <v>0</v>
      </c>
      <c r="G28" s="1742">
        <f t="shared" si="4"/>
        <v>0</v>
      </c>
    </row>
    <row r="29" spans="1:8">
      <c r="A29" s="1605"/>
      <c r="B29" s="1794"/>
      <c r="C29" s="1606"/>
      <c r="D29" s="1792"/>
      <c r="E29" s="1492">
        <f t="shared" si="2"/>
        <v>0</v>
      </c>
      <c r="F29" s="1741">
        <f t="shared" si="3"/>
        <v>0</v>
      </c>
      <c r="G29" s="1742">
        <f t="shared" si="4"/>
        <v>0</v>
      </c>
    </row>
    <row r="30" spans="1:8">
      <c r="A30" s="1605"/>
      <c r="B30" s="1794"/>
      <c r="C30" s="1606"/>
      <c r="D30" s="1792"/>
      <c r="E30" s="1492">
        <f t="shared" si="2"/>
        <v>0</v>
      </c>
      <c r="F30" s="1741">
        <f t="shared" si="3"/>
        <v>0</v>
      </c>
      <c r="G30" s="1742">
        <f t="shared" si="4"/>
        <v>0</v>
      </c>
    </row>
    <row r="31" spans="1:8">
      <c r="A31" s="1605"/>
      <c r="B31" s="1794"/>
      <c r="C31" s="1606"/>
      <c r="D31" s="1792"/>
      <c r="E31" s="1492">
        <f t="shared" si="2"/>
        <v>0</v>
      </c>
      <c r="F31" s="1741">
        <f t="shared" si="3"/>
        <v>0</v>
      </c>
      <c r="G31" s="1742">
        <f t="shared" si="4"/>
        <v>0</v>
      </c>
    </row>
    <row r="32" spans="1:8">
      <c r="A32" s="1605"/>
      <c r="B32" s="1794"/>
      <c r="C32" s="1606"/>
      <c r="D32" s="1792"/>
      <c r="E32" s="1492">
        <f t="shared" si="2"/>
        <v>0</v>
      </c>
      <c r="F32" s="1741">
        <f t="shared" si="3"/>
        <v>0</v>
      </c>
      <c r="G32" s="1742">
        <f t="shared" si="4"/>
        <v>0</v>
      </c>
    </row>
    <row r="33" spans="1:7">
      <c r="A33" s="1605"/>
      <c r="B33" s="1794"/>
      <c r="C33" s="1606"/>
      <c r="D33" s="1792"/>
      <c r="E33" s="1492">
        <f t="shared" si="2"/>
        <v>0</v>
      </c>
      <c r="F33" s="1741">
        <f t="shared" si="3"/>
        <v>0</v>
      </c>
      <c r="G33" s="1742">
        <f t="shared" si="4"/>
        <v>0</v>
      </c>
    </row>
    <row r="34" spans="1:7">
      <c r="A34" s="1605"/>
      <c r="B34" s="1794"/>
      <c r="C34" s="1606"/>
      <c r="D34" s="1792"/>
      <c r="E34" s="1492">
        <f t="shared" si="2"/>
        <v>0</v>
      </c>
      <c r="F34" s="1741">
        <f t="shared" si="3"/>
        <v>0</v>
      </c>
      <c r="G34" s="1742">
        <f t="shared" si="4"/>
        <v>0</v>
      </c>
    </row>
    <row r="35" spans="1:7">
      <c r="A35" s="1745" t="s">
        <v>158</v>
      </c>
      <c r="B35" s="1746"/>
      <c r="C35" s="1747"/>
      <c r="D35" s="1743">
        <f>SUM(D17:D34)</f>
        <v>0</v>
      </c>
      <c r="E35" s="1493">
        <f t="shared" si="1"/>
        <v>0</v>
      </c>
      <c r="F35" s="1743">
        <f>SUM(F17:F34)</f>
        <v>0</v>
      </c>
      <c r="G35" s="1744">
        <f>SUM(G17:G34)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9" colorId="8" zoomScale="110" zoomScaleNormal="110" workbookViewId="0">
      <selection activeCell="I21" sqref="I21:S2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c r="A1" s="1586" t="s">
        <v>1177</v>
      </c>
      <c r="B1" s="1587"/>
      <c r="C1" s="1588"/>
    </row>
    <row r="2" spans="1:9">
      <c r="A2" s="953" t="s">
        <v>1178</v>
      </c>
      <c r="B2" s="954"/>
      <c r="C2" s="954"/>
      <c r="D2" s="954"/>
      <c r="E2" s="955"/>
      <c r="F2" s="955"/>
      <c r="G2" s="956"/>
    </row>
    <row r="3" spans="1:9" ht="12" customHeight="1">
      <c r="A3" s="957" t="s">
        <v>1402</v>
      </c>
      <c r="B3" s="958"/>
      <c r="C3" s="958"/>
      <c r="D3" s="958"/>
      <c r="E3" s="959"/>
      <c r="F3" s="959"/>
      <c r="G3" s="960"/>
    </row>
    <row r="4" spans="1:9">
      <c r="A4" s="961" t="s">
        <v>779</v>
      </c>
      <c r="B4" s="962"/>
      <c r="C4" s="962"/>
      <c r="D4" s="962"/>
      <c r="E4" s="963"/>
      <c r="F4" s="964"/>
      <c r="G4" s="965"/>
      <c r="H4" s="252"/>
      <c r="I4" s="252"/>
    </row>
    <row r="5" spans="1:9" s="343" customFormat="1" ht="57" customHeight="1">
      <c r="A5" s="2276" t="s">
        <v>1750</v>
      </c>
      <c r="B5" s="2277"/>
      <c r="C5" s="2277"/>
      <c r="D5" s="2277"/>
      <c r="E5" s="2277"/>
      <c r="F5" s="2277"/>
      <c r="G5" s="2278"/>
      <c r="H5" s="252"/>
      <c r="I5" s="610"/>
    </row>
    <row r="6" spans="1:9" s="669" customFormat="1">
      <c r="A6" s="158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2035</v>
      </c>
      <c r="B10" s="972"/>
      <c r="C10" s="977"/>
      <c r="D10" s="973"/>
      <c r="E10" s="974"/>
      <c r="F10" s="975"/>
      <c r="G10" s="976"/>
      <c r="H10" s="162"/>
      <c r="I10" s="162"/>
    </row>
    <row r="11" spans="1:9" s="669" customFormat="1" ht="22.5" customHeight="1">
      <c r="A11" s="2281" t="s">
        <v>1906</v>
      </c>
      <c r="B11" s="2282"/>
      <c r="C11" s="2282"/>
      <c r="D11" s="2283"/>
      <c r="E11" s="978">
        <v>43225</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1422</v>
      </c>
      <c r="B16" s="984"/>
      <c r="C16" s="985"/>
      <c r="D16" s="964"/>
      <c r="E16" s="959"/>
      <c r="F16" s="959"/>
      <c r="G16" s="960"/>
      <c r="H16" s="162"/>
      <c r="I16" s="162"/>
    </row>
    <row r="17" spans="1:9" s="669" customFormat="1" ht="12" customHeight="1">
      <c r="A17" s="986"/>
      <c r="B17" s="987"/>
      <c r="C17" s="329"/>
      <c r="D17" s="1590" t="s">
        <v>553</v>
      </c>
      <c r="E17" s="1591"/>
      <c r="F17" s="1590" t="s">
        <v>453</v>
      </c>
      <c r="G17" s="1592"/>
      <c r="H17" s="162"/>
      <c r="I17" s="162"/>
    </row>
    <row r="18" spans="1:9" s="259" customFormat="1" ht="11.25">
      <c r="A18" s="989"/>
      <c r="C18" s="990" t="s">
        <v>454</v>
      </c>
      <c r="D18" s="1593" t="s">
        <v>455</v>
      </c>
      <c r="E18" s="1593" t="s">
        <v>55</v>
      </c>
      <c r="F18" s="1593" t="s">
        <v>455</v>
      </c>
      <c r="G18" s="1593" t="s">
        <v>55</v>
      </c>
      <c r="H18" s="178"/>
      <c r="I18" s="178"/>
    </row>
    <row r="19" spans="1:9" s="669" customFormat="1" ht="12" customHeight="1">
      <c r="A19" s="991" t="s">
        <v>476</v>
      </c>
      <c r="B19" s="992"/>
      <c r="C19" s="993" t="s">
        <v>591</v>
      </c>
      <c r="D19" s="1748"/>
      <c r="E19" s="1749">
        <f>'Expenditures 15-22'!K33-SUM('Expenditures 15-22'!G33,'Expenditures 15-22'!I33)+'Expenditures 15-22'!D229</f>
        <v>5788043</v>
      </c>
      <c r="F19" s="1748"/>
      <c r="G19" s="1750">
        <f>'Expenditures 15-22'!K33-SUM('Expenditures 15-22'!G33,'Expenditures 15-22'!I33)+'Expenditures 15-22'!D229</f>
        <v>5788043</v>
      </c>
      <c r="H19" s="988"/>
      <c r="I19" s="162"/>
    </row>
    <row r="20" spans="1:9" s="669" customFormat="1" ht="12" customHeight="1">
      <c r="A20" s="991" t="s">
        <v>56</v>
      </c>
      <c r="B20" s="992"/>
      <c r="C20" s="994"/>
      <c r="D20" s="1751"/>
      <c r="E20" s="1751"/>
      <c r="F20" s="1751"/>
      <c r="G20" s="1752"/>
      <c r="H20" s="988"/>
      <c r="I20" s="162"/>
    </row>
    <row r="21" spans="1:9" s="669" customFormat="1" ht="12" customHeight="1">
      <c r="A21" s="995" t="s">
        <v>421</v>
      </c>
      <c r="B21" s="996"/>
      <c r="C21" s="994">
        <v>2100</v>
      </c>
      <c r="D21" s="1751"/>
      <c r="E21" s="1753">
        <f>'Expenditures 15-22'!K42-SUM('Expenditures 15-22'!G42,'Expenditures 15-22'!I42)+'Expenditures 15-22'!K120-SUM('Expenditures 15-22'!G120,'Expenditures 15-22'!I120)+'Expenditures 15-22'!K180-SUM('Expenditures 15-22'!G180,'Expenditures 15-22'!I180)+'Expenditures 15-22'!D238</f>
        <v>509679</v>
      </c>
      <c r="F21" s="1751"/>
      <c r="G21" s="1754">
        <f>'Expenditures 15-22'!K42-SUM('Expenditures 15-22'!G42,'Expenditures 15-22'!I42)+'Expenditures 15-22'!K120-SUM('Expenditures 15-22'!G120,'Expenditures 15-22'!I120)+'Expenditures 15-22'!K180-SUM('Expenditures 15-22'!G180,'Expenditures 15-22'!I180)+'Expenditures 15-22'!D238</f>
        <v>509679</v>
      </c>
      <c r="H21" s="988"/>
      <c r="I21" s="162"/>
    </row>
    <row r="22" spans="1:9" s="669" customFormat="1" ht="12" customHeight="1">
      <c r="A22" s="995" t="s">
        <v>585</v>
      </c>
      <c r="B22" s="996"/>
      <c r="C22" s="994">
        <v>2200</v>
      </c>
      <c r="D22" s="1751"/>
      <c r="E22" s="1753">
        <f>'Expenditures 15-22'!K47-SUM('Expenditures 15-22'!G47,'Expenditures 15-22'!I47)+'Expenditures 15-22'!D243</f>
        <v>136897</v>
      </c>
      <c r="F22" s="1751"/>
      <c r="G22" s="1754">
        <f>'Expenditures 15-22'!K47-SUM('Expenditures 15-22'!G47,'Expenditures 15-22'!I47)+'Expenditures 15-22'!D243</f>
        <v>136897</v>
      </c>
      <c r="H22" s="988"/>
      <c r="I22" s="162"/>
    </row>
    <row r="23" spans="1:9" s="669" customFormat="1" ht="12" customHeight="1">
      <c r="A23" s="995" t="s">
        <v>586</v>
      </c>
      <c r="B23" s="996"/>
      <c r="C23" s="994">
        <v>2300</v>
      </c>
      <c r="D23" s="1751"/>
      <c r="E23" s="1753">
        <f>'Expenditures 15-22'!K53-SUM('Expenditures 15-22'!G53,'Expenditures 15-22'!I53)+'Expenditures 15-22'!D257+'Expenditures 15-22'!K330-SUM('Expenditures 15-22'!G330,'Expenditures 15-22'!I330)</f>
        <v>471949</v>
      </c>
      <c r="F23" s="1751"/>
      <c r="G23" s="1753">
        <f>'Expenditures 15-22'!K53-SUM('Expenditures 15-22'!G53,'Expenditures 15-22'!I53)+'Expenditures 15-22'!D257+'Expenditures 15-22'!K330-SUM('Expenditures 15-22'!G330,'Expenditures 15-22'!I330)</f>
        <v>471949</v>
      </c>
      <c r="H23" s="988"/>
      <c r="I23" s="162"/>
    </row>
    <row r="24" spans="1:9" s="669" customFormat="1" ht="12" customHeight="1">
      <c r="A24" s="995" t="s">
        <v>587</v>
      </c>
      <c r="B24" s="996"/>
      <c r="C24" s="994">
        <v>2400</v>
      </c>
      <c r="D24" s="1751"/>
      <c r="E24" s="1753">
        <f>'Expenditures 15-22'!K57-SUM('Expenditures 15-22'!G57,'Expenditures 15-22'!I57)+'Expenditures 15-22'!D261</f>
        <v>640309</v>
      </c>
      <c r="F24" s="1751"/>
      <c r="G24" s="1754">
        <f>'Expenditures 15-22'!K57-SUM('Expenditures 15-22'!G57,'Expenditures 15-22'!I57)+'Expenditures 15-22'!D261</f>
        <v>640309</v>
      </c>
      <c r="H24" s="988"/>
      <c r="I24" s="162"/>
    </row>
    <row r="25" spans="1:9" s="669" customFormat="1" ht="12" customHeight="1">
      <c r="A25" s="991" t="s">
        <v>588</v>
      </c>
      <c r="B25" s="997"/>
      <c r="C25" s="994"/>
      <c r="D25" s="1751"/>
      <c r="E25" s="1753"/>
      <c r="F25" s="1751"/>
      <c r="G25" s="1754"/>
      <c r="H25" s="988"/>
      <c r="I25" s="162"/>
    </row>
    <row r="26" spans="1:9" s="669" customFormat="1" ht="12" customHeight="1">
      <c r="A26" s="995" t="s">
        <v>536</v>
      </c>
      <c r="B26" s="998"/>
      <c r="C26" s="994">
        <v>2510</v>
      </c>
      <c r="D26" s="1753">
        <f>'Expenditures 15-22'!K59-SUM('Expenditures 15-22'!G59,'Expenditures 15-22'!I59)+'Expenditures 15-22'!D263-E7</f>
        <v>0</v>
      </c>
      <c r="E26" s="1753">
        <f>'Expenditures 15-22'!K122-SUM('Expenditures 15-22'!G122,'Expenditures 15-22'!I122)+E7</f>
        <v>0</v>
      </c>
      <c r="F26" s="1753">
        <f>'Expenditures 15-22'!K59-SUM('Expenditures 15-22'!G59,'Expenditures 15-22'!I59)+'Expenditures 15-22'!D263-E7</f>
        <v>0</v>
      </c>
      <c r="G26" s="1754">
        <f>'Expenditures 15-22'!K122-SUM('Expenditures 15-22'!G122,'Expenditures 15-22'!I122)+E7</f>
        <v>0</v>
      </c>
      <c r="H26" s="988"/>
      <c r="I26" s="162"/>
    </row>
    <row r="27" spans="1:9" s="669" customFormat="1" ht="12" customHeight="1">
      <c r="A27" s="995" t="s">
        <v>483</v>
      </c>
      <c r="B27" s="998"/>
      <c r="C27" s="994">
        <v>2520</v>
      </c>
      <c r="D27" s="1753">
        <f>'Expenditures 15-22'!K60-SUM('Expenditures 15-22'!G60,'Expenditures 15-22'!I60)+'Expenditures 15-22'!D264-E8</f>
        <v>0</v>
      </c>
      <c r="E27" s="1753">
        <f>E8</f>
        <v>0</v>
      </c>
      <c r="F27" s="1753">
        <f>'Expenditures 15-22'!K60-SUM('Expenditures 15-22'!G60,'Expenditures 15-22'!I60)+'Expenditures 15-22'!D264-E8</f>
        <v>0</v>
      </c>
      <c r="G27" s="1754">
        <f>E8</f>
        <v>0</v>
      </c>
      <c r="H27" s="988"/>
      <c r="I27" s="162"/>
    </row>
    <row r="28" spans="1:9" s="669" customFormat="1" ht="12" customHeight="1">
      <c r="A28" s="995" t="s">
        <v>537</v>
      </c>
      <c r="B28" s="998"/>
      <c r="C28" s="994">
        <v>2540</v>
      </c>
      <c r="D28" s="1755"/>
      <c r="E28" s="1753">
        <f>'Expenditures 15-22'!K61-SUM('Expenditures 15-22'!G61,'Expenditures 15-22'!I61)+'Expenditures 15-22'!K124-SUM('Expenditures 15-22'!G124,'Expenditures 15-22'!I124)+'Expenditures 15-22'!D266</f>
        <v>1062495</v>
      </c>
      <c r="F28" s="1755">
        <f>'Expenditures 15-22'!K61-SUM('Expenditures 15-22'!G61,'Expenditures 15-22'!I61)+'Expenditures 15-22'!K124-SUM('Expenditures 15-22'!G124,'Expenditures 15-22'!I124)+'Expenditures 15-22'!D266-E9</f>
        <v>1062495</v>
      </c>
      <c r="G28" s="1754">
        <f>E9</f>
        <v>0</v>
      </c>
      <c r="H28" s="988"/>
      <c r="I28" s="162"/>
    </row>
    <row r="29" spans="1:9" ht="12" customHeight="1">
      <c r="A29" s="995" t="s">
        <v>538</v>
      </c>
      <c r="B29" s="998"/>
      <c r="C29" s="994">
        <v>2550</v>
      </c>
      <c r="D29" s="1751"/>
      <c r="E29" s="1753">
        <f>'Expenditures 15-22'!K62-SUM('Expenditures 15-22'!G62,'Expenditures 15-22'!I62)+'Expenditures 15-22'!K125-SUM('Expenditures 15-22'!G125,'Expenditures 15-22'!I125)+'Expenditures 15-22'!K182-SUM('Expenditures 15-22'!G182,'Expenditures 15-22'!I182)+'Expenditures 15-22'!D267</f>
        <v>502990</v>
      </c>
      <c r="F29" s="1751"/>
      <c r="G29" s="1754">
        <f>'Expenditures 15-22'!K62-SUM('Expenditures 15-22'!G62,'Expenditures 15-22'!I62)+'Expenditures 15-22'!K125-SUM('Expenditures 15-22'!G125,'Expenditures 15-22'!I125)+'Expenditures 15-22'!K182-SUM('Expenditures 15-22'!G182,'Expenditures 15-22'!I182)+'Expenditures 15-22'!D267</f>
        <v>502990</v>
      </c>
      <c r="H29" s="986"/>
    </row>
    <row r="30" spans="1:9" ht="12" customHeight="1">
      <c r="A30" s="995" t="s">
        <v>102</v>
      </c>
      <c r="B30" s="998"/>
      <c r="C30" s="994">
        <v>2560</v>
      </c>
      <c r="D30" s="1751"/>
      <c r="E30" s="1753">
        <f>'Expenditures 15-22'!K63-SUM('Expenditures 15-22'!G63,'Expenditures 15-22'!I63)+'Expenditures 15-22'!D268-E10</f>
        <v>584890</v>
      </c>
      <c r="F30" s="1751"/>
      <c r="G30" s="1753">
        <f>'Expenditures 15-22'!K63-SUM('Expenditures 15-22'!G63,'Expenditures 15-22'!I63)+'Expenditures 15-22'!D268-E10</f>
        <v>584890</v>
      </c>
    </row>
    <row r="31" spans="1:9" ht="12" customHeight="1">
      <c r="A31" s="995" t="s">
        <v>103</v>
      </c>
      <c r="B31" s="998"/>
      <c r="C31" s="994">
        <v>2570</v>
      </c>
      <c r="D31" s="1753">
        <f>'Expenditures 15-22'!K64-SUM('Expenditures 15-22'!G64,'Expenditures 15-22'!I64)+'Expenditures 15-22'!D269-E12</f>
        <v>0</v>
      </c>
      <c r="E31" s="1753">
        <f>E12</f>
        <v>0</v>
      </c>
      <c r="F31" s="1753">
        <f>'Expenditures 15-22'!K64-SUM('Expenditures 15-22'!G64,'Expenditures 15-22'!I64)+'Expenditures 15-22'!D269-E12</f>
        <v>0</v>
      </c>
      <c r="G31" s="1753">
        <f>E12</f>
        <v>0</v>
      </c>
    </row>
    <row r="32" spans="1:9" ht="12" customHeight="1">
      <c r="A32" s="991" t="s">
        <v>539</v>
      </c>
      <c r="B32" s="997"/>
      <c r="C32" s="994"/>
      <c r="D32" s="1751"/>
      <c r="E32" s="1751"/>
      <c r="F32" s="1751"/>
      <c r="G32" s="1751"/>
    </row>
    <row r="33" spans="1:7" ht="12" customHeight="1">
      <c r="A33" s="995" t="s">
        <v>540</v>
      </c>
      <c r="B33" s="998"/>
      <c r="C33" s="994">
        <v>2610</v>
      </c>
      <c r="D33" s="1751"/>
      <c r="E33" s="1753">
        <f>'Expenditures 15-22'!K67-SUM('Expenditures 15-22'!G67,'Expenditures 15-22'!I67)+'Expenditures 15-22'!D272</f>
        <v>0</v>
      </c>
      <c r="F33" s="1751"/>
      <c r="G33" s="1753">
        <f>'Expenditures 15-22'!K67-SUM('Expenditures 15-22'!G67,'Expenditures 15-22'!I67)+'Expenditures 15-22'!D272</f>
        <v>0</v>
      </c>
    </row>
    <row r="34" spans="1:7" ht="12" customHeight="1">
      <c r="A34" s="995" t="s">
        <v>541</v>
      </c>
      <c r="B34" s="998"/>
      <c r="C34" s="994">
        <v>2620</v>
      </c>
      <c r="D34" s="1751"/>
      <c r="E34" s="1753">
        <f>'Expenditures 15-22'!K68-SUM('Expenditures 15-22'!G68,'Expenditures 15-22'!I68)+'Expenditures 15-22'!D273</f>
        <v>0</v>
      </c>
      <c r="F34" s="1751"/>
      <c r="G34" s="1753">
        <f>'Expenditures 15-22'!K68-SUM('Expenditures 15-22'!G68,'Expenditures 15-22'!I68)+'Expenditures 15-22'!D273</f>
        <v>0</v>
      </c>
    </row>
    <row r="35" spans="1:7" ht="12" customHeight="1">
      <c r="A35" s="995" t="s">
        <v>1121</v>
      </c>
      <c r="B35" s="998"/>
      <c r="C35" s="994">
        <v>2630</v>
      </c>
      <c r="D35" s="1751"/>
      <c r="E35" s="1753">
        <f>'Expenditures 15-22'!K69-SUM('Expenditures 15-22'!G69,'Expenditures 15-22'!I69)+'Expenditures 15-22'!D274</f>
        <v>0</v>
      </c>
      <c r="F35" s="1751"/>
      <c r="G35" s="1753">
        <f>'Expenditures 15-22'!K69-SUM('Expenditures 15-22'!G69,'Expenditures 15-22'!I69)+'Expenditures 15-22'!D274</f>
        <v>0</v>
      </c>
    </row>
    <row r="36" spans="1:7" ht="12" customHeight="1">
      <c r="A36" s="995" t="s">
        <v>423</v>
      </c>
      <c r="B36" s="998"/>
      <c r="C36" s="994">
        <v>2640</v>
      </c>
      <c r="D36" s="1753">
        <f>'Expenditures 15-22'!K70-SUM('Expenditures 15-22'!G70,'Expenditures 15-22'!I70)+'Expenditures 15-22'!D275-E13</f>
        <v>526</v>
      </c>
      <c r="E36" s="1753">
        <f>E13</f>
        <v>0</v>
      </c>
      <c r="F36" s="1753">
        <f>'Expenditures 15-22'!K70-SUM('Expenditures 15-22'!G70,'Expenditures 15-22'!I70)+'Expenditures 15-22'!D275-E13</f>
        <v>526</v>
      </c>
      <c r="G36" s="1753">
        <f>E13</f>
        <v>0</v>
      </c>
    </row>
    <row r="37" spans="1:7" ht="12" customHeight="1">
      <c r="A37" s="995" t="s">
        <v>424</v>
      </c>
      <c r="B37" s="998"/>
      <c r="C37" s="994">
        <v>2660</v>
      </c>
      <c r="D37" s="1753">
        <f>'Expenditures 15-22'!K71-SUM('Expenditures 15-22'!G71,'Expenditures 15-22'!I71)+'Expenditures 15-22'!D276-E14</f>
        <v>0</v>
      </c>
      <c r="E37" s="1753">
        <f>E14</f>
        <v>0</v>
      </c>
      <c r="F37" s="1753">
        <f>'Expenditures 15-22'!K71-SUM('Expenditures 15-22'!G71,'Expenditures 15-22'!I71)+'Expenditures 15-22'!D276-E14</f>
        <v>0</v>
      </c>
      <c r="G37" s="1753">
        <f>E14</f>
        <v>0</v>
      </c>
    </row>
    <row r="38" spans="1:7" ht="12" customHeight="1">
      <c r="A38" s="991" t="s">
        <v>542</v>
      </c>
      <c r="B38" s="992"/>
      <c r="C38" s="994">
        <v>2900</v>
      </c>
      <c r="D38" s="1751"/>
      <c r="E38" s="1753">
        <f>'Expenditures 15-22'!K73-SUM('Expenditures 15-22'!G73,'Expenditures 15-22'!I73)+'Expenditures 15-22'!K128-SUM('Expenditures 15-22'!G128,'Expenditures 15-22'!I128)+'Expenditures 15-22'!K183-SUM('Expenditures 15-22'!G183,'Expenditures 15-22'!I183)+'Expenditures 15-22'!D278</f>
        <v>5104</v>
      </c>
      <c r="F38" s="1751"/>
      <c r="G38" s="1753">
        <f>'Expenditures 15-22'!K73-SUM('Expenditures 15-22'!G73,'Expenditures 15-22'!I73)+'Expenditures 15-22'!K128-SUM('Expenditures 15-22'!G128,'Expenditures 15-22'!I128)+'Expenditures 15-22'!K183-SUM('Expenditures 15-22'!G183,'Expenditures 15-22'!I183)+'Expenditures 15-22'!D278</f>
        <v>5104</v>
      </c>
    </row>
    <row r="39" spans="1:7" ht="12" customHeight="1">
      <c r="A39" s="991" t="s">
        <v>469</v>
      </c>
      <c r="B39" s="992"/>
      <c r="C39" s="994">
        <v>3000</v>
      </c>
      <c r="D39" s="1751"/>
      <c r="E39" s="1753">
        <f>'Expenditures 15-22'!K75-SUM('Expenditures 15-22'!G75,'Expenditures 15-22'!I75)+'Expenditures 15-22'!K130-SUM('Expenditures 15-22'!G130,'Expenditures 15-22'!I130)+'Expenditures 15-22'!K185-SUM('Expenditures 15-22'!G185,'Expenditures 15-22'!I185)+'Expenditures 15-22'!D280</f>
        <v>41196</v>
      </c>
      <c r="F39" s="1751"/>
      <c r="G39" s="1753">
        <f>'Expenditures 15-22'!K75-SUM('Expenditures 15-22'!G75,'Expenditures 15-22'!I75)+'Expenditures 15-22'!K130-SUM('Expenditures 15-22'!G130,'Expenditures 15-22'!I130)+'Expenditures 15-22'!K185-SUM('Expenditures 15-22'!G185,'Expenditures 15-22'!I185)+'Expenditures 15-22'!D280</f>
        <v>41196</v>
      </c>
    </row>
    <row r="40" spans="1:7" ht="12" customHeight="1">
      <c r="A40" s="991" t="s">
        <v>1891</v>
      </c>
      <c r="B40" s="992"/>
      <c r="C40" s="994"/>
      <c r="D40" s="1751"/>
      <c r="E40" s="1755">
        <f>-'Contracts Paid in CY 29'!G35</f>
        <v>0</v>
      </c>
      <c r="F40" s="1751"/>
      <c r="G40" s="1755">
        <f>-'Contracts Paid in CY 29'!G35</f>
        <v>0</v>
      </c>
    </row>
    <row r="41" spans="1:7" ht="12" customHeight="1">
      <c r="A41" s="999" t="s">
        <v>158</v>
      </c>
      <c r="B41" s="1000"/>
      <c r="C41" s="1001"/>
      <c r="D41" s="1755">
        <f>SUM(D19:D39)</f>
        <v>526</v>
      </c>
      <c r="E41" s="1755">
        <f>SUM(E19:E40)</f>
        <v>9743552</v>
      </c>
      <c r="F41" s="1755">
        <f>SUM(F19:F39)</f>
        <v>1063021</v>
      </c>
      <c r="G41" s="1755">
        <f>SUM(G19:G40)</f>
        <v>8681057</v>
      </c>
    </row>
    <row r="42" spans="1:7">
      <c r="A42" s="988"/>
      <c r="B42" s="162"/>
      <c r="C42" s="1002"/>
      <c r="D42" s="2279" t="s">
        <v>543</v>
      </c>
      <c r="E42" s="2280"/>
      <c r="F42" s="1003" t="s">
        <v>544</v>
      </c>
      <c r="G42" s="1004"/>
    </row>
    <row r="43" spans="1:7" ht="12" customHeight="1">
      <c r="A43" s="988"/>
      <c r="B43" s="162"/>
      <c r="C43" s="1002"/>
      <c r="D43" s="1756" t="s">
        <v>493</v>
      </c>
      <c r="E43" s="1757">
        <f>D41</f>
        <v>526</v>
      </c>
      <c r="F43" s="1756" t="s">
        <v>495</v>
      </c>
      <c r="G43" s="1757">
        <f>F41</f>
        <v>1063021</v>
      </c>
    </row>
    <row r="44" spans="1:7" ht="12" customHeight="1">
      <c r="A44" s="988"/>
      <c r="B44" s="162"/>
      <c r="C44" s="1002"/>
      <c r="D44" s="1756" t="s">
        <v>494</v>
      </c>
      <c r="E44" s="1757">
        <f>E41</f>
        <v>9743552</v>
      </c>
      <c r="F44" s="1756" t="s">
        <v>494</v>
      </c>
      <c r="G44" s="1757">
        <f>G41</f>
        <v>8681057</v>
      </c>
    </row>
    <row r="45" spans="1:7" ht="12" customHeight="1">
      <c r="A45" s="988"/>
      <c r="B45" s="162"/>
      <c r="C45" s="162"/>
      <c r="D45" s="1758" t="s">
        <v>1063</v>
      </c>
      <c r="E45" s="1759">
        <f>(E43/E44)</f>
        <v>5.3984419644909781E-5</v>
      </c>
      <c r="F45" s="1758" t="s">
        <v>1063</v>
      </c>
      <c r="G45" s="1759">
        <f>(G43/G44)</f>
        <v>0.12245294553416709</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37" activePane="bottomLeft" state="frozen"/>
      <selection activeCell="I21" sqref="I21:S21"/>
      <selection pane="bottomLeft" activeCell="I21" sqref="I21:S21"/>
    </sheetView>
  </sheetViews>
  <sheetFormatPr defaultColWidth="9.140625" defaultRowHeight="12.75"/>
  <cols>
    <col min="1" max="1" width="54.5703125" style="1826" customWidth="1"/>
    <col min="2" max="2" width="4.140625" style="1826" customWidth="1"/>
    <col min="3" max="4" width="9.85546875" style="1797" customWidth="1"/>
    <col min="5" max="5" width="12.5703125" style="1827" customWidth="1"/>
    <col min="6" max="6" width="67.5703125" style="1797" customWidth="1"/>
    <col min="7" max="7" width="9.140625" style="1797" customWidth="1"/>
    <col min="8" max="8" width="5.7109375" style="1828" bestFit="1" customWidth="1"/>
    <col min="9" max="9" width="3.42578125" style="1828" bestFit="1" customWidth="1"/>
    <col min="10" max="10" width="2.28515625" style="1828" bestFit="1" customWidth="1"/>
    <col min="11" max="11" width="9" style="1828" customWidth="1"/>
    <col min="12" max="16384" width="9.140625" style="1797"/>
  </cols>
  <sheetData>
    <row r="1" spans="1:10">
      <c r="A1" s="2298" t="s">
        <v>1425</v>
      </c>
      <c r="B1" s="2298"/>
      <c r="C1" s="2298"/>
      <c r="D1" s="2298"/>
      <c r="E1" s="2298"/>
      <c r="F1" s="2298"/>
    </row>
    <row r="2" spans="1:10">
      <c r="A2" s="1837" t="s">
        <v>2007</v>
      </c>
      <c r="B2" s="1798"/>
      <c r="C2" s="1837"/>
      <c r="D2" s="1798"/>
      <c r="E2" s="1798"/>
      <c r="F2" s="1799"/>
    </row>
    <row r="3" spans="1:10">
      <c r="A3" s="1837" t="s">
        <v>1672</v>
      </c>
      <c r="B3" s="1798"/>
      <c r="C3" s="1837"/>
      <c r="D3" s="1798"/>
      <c r="E3" s="1798"/>
      <c r="F3" s="1799"/>
    </row>
    <row r="4" spans="1:10" ht="3.75" customHeight="1">
      <c r="A4" s="1798"/>
      <c r="B4" s="1798"/>
      <c r="C4" s="1798"/>
      <c r="D4" s="1798"/>
      <c r="E4" s="1798"/>
      <c r="F4" s="1799"/>
    </row>
    <row r="5" spans="1:10" ht="15">
      <c r="A5" s="2299" t="s">
        <v>1606</v>
      </c>
      <c r="B5" s="2300"/>
      <c r="C5" s="2301"/>
      <c r="D5" s="2301"/>
      <c r="E5" s="2301"/>
      <c r="F5" s="2301"/>
    </row>
    <row r="6" spans="1:10" ht="12" customHeight="1">
      <c r="A6" s="1800"/>
      <c r="B6" s="1801"/>
      <c r="C6" s="2302" t="str">
        <f>COVER!A17</f>
        <v>Rock Falls Elem SD 13</v>
      </c>
      <c r="D6" s="2302"/>
      <c r="E6" s="2302"/>
      <c r="F6" s="1802"/>
    </row>
    <row r="7" spans="1:10" ht="11.25" customHeight="1" thickBot="1">
      <c r="A7" s="1800"/>
      <c r="B7" s="1801"/>
      <c r="C7" s="2303">
        <f>COVER!A13</f>
        <v>47098013002</v>
      </c>
      <c r="D7" s="2303"/>
      <c r="E7" s="2303"/>
      <c r="F7" s="1802"/>
    </row>
    <row r="8" spans="1:10" ht="25.5" customHeight="1" thickBot="1">
      <c r="A8" s="1843" t="s">
        <v>1984</v>
      </c>
      <c r="B8" s="1803"/>
      <c r="C8" s="1839" t="s">
        <v>1752</v>
      </c>
      <c r="D8" s="1838" t="s">
        <v>1753</v>
      </c>
      <c r="E8" s="1840" t="s">
        <v>1426</v>
      </c>
      <c r="F8" s="1838" t="s">
        <v>1754</v>
      </c>
      <c r="H8" s="1804" t="b">
        <v>0</v>
      </c>
    </row>
    <row r="9" spans="1:10" ht="15.75" customHeight="1">
      <c r="A9" s="1805" t="s">
        <v>1602</v>
      </c>
      <c r="B9" s="1806"/>
      <c r="C9" s="1807"/>
      <c r="D9" s="1807"/>
      <c r="E9" s="1808"/>
      <c r="F9" s="1809"/>
    </row>
    <row r="10" spans="1:10" ht="27.75" customHeight="1">
      <c r="A10" s="1810" t="s">
        <v>1751</v>
      </c>
      <c r="B10" s="1811"/>
      <c r="C10" s="1812"/>
      <c r="D10" s="1812"/>
      <c r="E10" s="1841" t="s">
        <v>1427</v>
      </c>
      <c r="F10" s="1842" t="s">
        <v>1428</v>
      </c>
    </row>
    <row r="11" spans="1:10" ht="12" customHeight="1">
      <c r="A11" s="1813" t="s">
        <v>1429</v>
      </c>
      <c r="B11" s="1814"/>
      <c r="C11" s="1815"/>
      <c r="D11" s="1815"/>
      <c r="E11" s="1816"/>
      <c r="F11" s="1817"/>
      <c r="H11" s="1828">
        <f>IF(C11="X",5,0)</f>
        <v>0</v>
      </c>
      <c r="I11" s="1828">
        <f>IF(D11="X",5,0)</f>
        <v>0</v>
      </c>
      <c r="J11" s="1828">
        <f>IF(E11="X",5,0)</f>
        <v>0</v>
      </c>
    </row>
    <row r="12" spans="1:10" ht="12" customHeight="1">
      <c r="A12" s="1813" t="s">
        <v>1430</v>
      </c>
      <c r="B12" s="1814"/>
      <c r="C12" s="1815"/>
      <c r="D12" s="1815"/>
      <c r="E12" s="1818"/>
      <c r="F12" s="1817"/>
      <c r="H12" s="1828">
        <f t="shared" ref="H12:H33" si="0">IF(C12="X",5,0)</f>
        <v>0</v>
      </c>
      <c r="I12" s="1828">
        <f t="shared" ref="I12:I33" si="1">IF(D12="X",5,0)</f>
        <v>0</v>
      </c>
      <c r="J12" s="1828">
        <f t="shared" ref="J12:J33" si="2">IF(E12="X",5,0)</f>
        <v>0</v>
      </c>
    </row>
    <row r="13" spans="1:10" ht="12" customHeight="1">
      <c r="A13" s="1813" t="s">
        <v>1431</v>
      </c>
      <c r="B13" s="1814"/>
      <c r="C13" s="1815"/>
      <c r="D13" s="1815"/>
      <c r="E13" s="1818"/>
      <c r="F13" s="1817"/>
      <c r="H13" s="1828">
        <f t="shared" si="0"/>
        <v>0</v>
      </c>
      <c r="I13" s="1828">
        <f t="shared" si="1"/>
        <v>0</v>
      </c>
      <c r="J13" s="1828">
        <f t="shared" si="2"/>
        <v>0</v>
      </c>
    </row>
    <row r="14" spans="1:10" ht="12" customHeight="1">
      <c r="A14" s="1813" t="s">
        <v>1432</v>
      </c>
      <c r="B14" s="1814"/>
      <c r="C14" s="1815"/>
      <c r="D14" s="1815"/>
      <c r="E14" s="1818"/>
      <c r="F14" s="1817"/>
      <c r="H14" s="1828">
        <f t="shared" si="0"/>
        <v>0</v>
      </c>
      <c r="I14" s="1828">
        <f t="shared" si="1"/>
        <v>0</v>
      </c>
      <c r="J14" s="1828">
        <f t="shared" si="2"/>
        <v>0</v>
      </c>
    </row>
    <row r="15" spans="1:10" ht="12" customHeight="1">
      <c r="A15" s="1813" t="s">
        <v>1433</v>
      </c>
      <c r="B15" s="1814"/>
      <c r="C15" s="1815"/>
      <c r="D15" s="1815"/>
      <c r="E15" s="1818"/>
      <c r="F15" s="1817"/>
      <c r="H15" s="1828">
        <f t="shared" si="0"/>
        <v>0</v>
      </c>
      <c r="I15" s="1828">
        <f t="shared" si="1"/>
        <v>0</v>
      </c>
      <c r="J15" s="1828">
        <f t="shared" si="2"/>
        <v>0</v>
      </c>
    </row>
    <row r="16" spans="1:10" ht="12" customHeight="1">
      <c r="A16" s="1813" t="s">
        <v>1434</v>
      </c>
      <c r="B16" s="1814"/>
      <c r="C16" s="1815" t="s">
        <v>2036</v>
      </c>
      <c r="D16" s="1815" t="s">
        <v>2036</v>
      </c>
      <c r="E16" s="1818"/>
      <c r="F16" s="1817" t="s">
        <v>2128</v>
      </c>
      <c r="H16" s="1828">
        <f t="shared" si="0"/>
        <v>5</v>
      </c>
      <c r="I16" s="1828">
        <f t="shared" si="1"/>
        <v>5</v>
      </c>
      <c r="J16" s="1828">
        <f t="shared" si="2"/>
        <v>0</v>
      </c>
    </row>
    <row r="17" spans="1:12" ht="12" customHeight="1">
      <c r="A17" s="1813" t="s">
        <v>1435</v>
      </c>
      <c r="B17" s="1814"/>
      <c r="C17" s="1815"/>
      <c r="D17" s="1815"/>
      <c r="E17" s="1818"/>
      <c r="F17" s="1817"/>
      <c r="H17" s="1828">
        <f t="shared" si="0"/>
        <v>0</v>
      </c>
      <c r="I17" s="1828">
        <f t="shared" si="1"/>
        <v>0</v>
      </c>
      <c r="J17" s="1828">
        <f t="shared" si="2"/>
        <v>0</v>
      </c>
    </row>
    <row r="18" spans="1:12" ht="12" customHeight="1">
      <c r="A18" s="1813" t="s">
        <v>1436</v>
      </c>
      <c r="B18" s="1814"/>
      <c r="C18" s="1815"/>
      <c r="D18" s="1815"/>
      <c r="E18" s="1818"/>
      <c r="F18" s="1817"/>
      <c r="H18" s="1828">
        <f t="shared" si="0"/>
        <v>0</v>
      </c>
      <c r="I18" s="1828">
        <f t="shared" si="1"/>
        <v>0</v>
      </c>
      <c r="J18" s="1828">
        <f t="shared" si="2"/>
        <v>0</v>
      </c>
    </row>
    <row r="19" spans="1:12" ht="12" customHeight="1">
      <c r="A19" s="1813" t="s">
        <v>1587</v>
      </c>
      <c r="B19" s="1814"/>
      <c r="C19" s="1815"/>
      <c r="D19" s="1815"/>
      <c r="E19" s="1818"/>
      <c r="F19" s="1817"/>
      <c r="H19" s="1828">
        <f t="shared" si="0"/>
        <v>0</v>
      </c>
      <c r="I19" s="1828">
        <f t="shared" si="1"/>
        <v>0</v>
      </c>
      <c r="J19" s="1828">
        <f t="shared" si="2"/>
        <v>0</v>
      </c>
    </row>
    <row r="20" spans="1:12" ht="12" customHeight="1">
      <c r="A20" s="1813" t="s">
        <v>1588</v>
      </c>
      <c r="B20" s="1814"/>
      <c r="C20" s="1815"/>
      <c r="D20" s="1815"/>
      <c r="E20" s="1818"/>
      <c r="F20" s="1817"/>
      <c r="H20" s="1828">
        <f t="shared" si="0"/>
        <v>0</v>
      </c>
      <c r="I20" s="1828">
        <f t="shared" si="1"/>
        <v>0</v>
      </c>
      <c r="J20" s="1828">
        <f t="shared" si="2"/>
        <v>0</v>
      </c>
    </row>
    <row r="21" spans="1:12" ht="12" customHeight="1">
      <c r="A21" s="1813" t="s">
        <v>1589</v>
      </c>
      <c r="B21" s="1814"/>
      <c r="C21" s="1815"/>
      <c r="D21" s="1815"/>
      <c r="E21" s="1818"/>
      <c r="F21" s="1817"/>
      <c r="H21" s="1828">
        <f t="shared" si="0"/>
        <v>0</v>
      </c>
      <c r="I21" s="1828">
        <f t="shared" si="1"/>
        <v>0</v>
      </c>
      <c r="J21" s="1828">
        <f t="shared" si="2"/>
        <v>0</v>
      </c>
    </row>
    <row r="22" spans="1:12" ht="12" customHeight="1">
      <c r="A22" s="1813" t="s">
        <v>1590</v>
      </c>
      <c r="B22" s="1814"/>
      <c r="C22" s="1815"/>
      <c r="D22" s="1815"/>
      <c r="E22" s="1818"/>
      <c r="F22" s="1817"/>
      <c r="H22" s="1828">
        <f t="shared" si="0"/>
        <v>0</v>
      </c>
      <c r="I22" s="1828">
        <f t="shared" si="1"/>
        <v>0</v>
      </c>
      <c r="J22" s="1828">
        <f t="shared" si="2"/>
        <v>0</v>
      </c>
    </row>
    <row r="23" spans="1:12" ht="12" customHeight="1">
      <c r="A23" s="1813" t="s">
        <v>1591</v>
      </c>
      <c r="B23" s="1814"/>
      <c r="C23" s="1815"/>
      <c r="D23" s="1815"/>
      <c r="E23" s="1818"/>
      <c r="F23" s="1817"/>
      <c r="H23" s="1828">
        <f t="shared" si="0"/>
        <v>0</v>
      </c>
      <c r="I23" s="1828">
        <f t="shared" si="1"/>
        <v>0</v>
      </c>
      <c r="J23" s="1828">
        <f t="shared" si="2"/>
        <v>0</v>
      </c>
    </row>
    <row r="24" spans="1:12" ht="12" customHeight="1">
      <c r="A24" s="1813" t="s">
        <v>1592</v>
      </c>
      <c r="B24" s="1814"/>
      <c r="C24" s="1815"/>
      <c r="D24" s="1815"/>
      <c r="E24" s="1818"/>
      <c r="F24" s="1817"/>
      <c r="H24" s="1828">
        <f t="shared" si="0"/>
        <v>0</v>
      </c>
      <c r="I24" s="1828">
        <f t="shared" si="1"/>
        <v>0</v>
      </c>
      <c r="J24" s="1828">
        <f t="shared" si="2"/>
        <v>0</v>
      </c>
    </row>
    <row r="25" spans="1:12" ht="12" customHeight="1">
      <c r="A25" s="1813" t="s">
        <v>1593</v>
      </c>
      <c r="B25" s="1814"/>
      <c r="C25" s="1815"/>
      <c r="D25" s="1815"/>
      <c r="E25" s="1818"/>
      <c r="F25" s="1817"/>
      <c r="H25" s="1828">
        <f t="shared" si="0"/>
        <v>0</v>
      </c>
      <c r="I25" s="1828">
        <f t="shared" si="1"/>
        <v>0</v>
      </c>
      <c r="J25" s="1828">
        <f t="shared" si="2"/>
        <v>0</v>
      </c>
    </row>
    <row r="26" spans="1:12" ht="12" customHeight="1">
      <c r="A26" s="1813" t="s">
        <v>1594</v>
      </c>
      <c r="B26" s="1814"/>
      <c r="C26" s="1815" t="s">
        <v>2036</v>
      </c>
      <c r="D26" s="1815" t="s">
        <v>2036</v>
      </c>
      <c r="E26" s="1818"/>
      <c r="F26" s="1817" t="s">
        <v>2129</v>
      </c>
      <c r="H26" s="1828">
        <f t="shared" si="0"/>
        <v>5</v>
      </c>
      <c r="I26" s="1828">
        <f t="shared" si="1"/>
        <v>5</v>
      </c>
      <c r="J26" s="1828">
        <f t="shared" si="2"/>
        <v>0</v>
      </c>
    </row>
    <row r="27" spans="1:12" ht="18.75">
      <c r="A27" s="1813" t="s">
        <v>1595</v>
      </c>
      <c r="B27" s="1814"/>
      <c r="C27" s="1815"/>
      <c r="D27" s="1815"/>
      <c r="E27" s="1818"/>
      <c r="F27" s="1817"/>
      <c r="H27" s="1828">
        <f t="shared" si="0"/>
        <v>0</v>
      </c>
      <c r="I27" s="1828">
        <f t="shared" si="1"/>
        <v>0</v>
      </c>
      <c r="J27" s="1828">
        <f t="shared" si="2"/>
        <v>0</v>
      </c>
    </row>
    <row r="28" spans="1:12" ht="12" customHeight="1">
      <c r="A28" s="1813" t="s">
        <v>1596</v>
      </c>
      <c r="B28" s="1814"/>
      <c r="C28" s="1815"/>
      <c r="D28" s="1815"/>
      <c r="E28" s="1818"/>
      <c r="F28" s="1817"/>
      <c r="H28" s="1828">
        <f t="shared" si="0"/>
        <v>0</v>
      </c>
      <c r="I28" s="1828">
        <f t="shared" si="1"/>
        <v>0</v>
      </c>
      <c r="J28" s="1828">
        <f t="shared" si="2"/>
        <v>0</v>
      </c>
    </row>
    <row r="29" spans="1:12" ht="12" customHeight="1">
      <c r="A29" s="1813" t="s">
        <v>1597</v>
      </c>
      <c r="B29" s="1814"/>
      <c r="C29" s="1815"/>
      <c r="D29" s="1815"/>
      <c r="E29" s="1818"/>
      <c r="F29" s="1817"/>
      <c r="H29" s="1828">
        <f t="shared" si="0"/>
        <v>0</v>
      </c>
      <c r="I29" s="1828">
        <f t="shared" si="1"/>
        <v>0</v>
      </c>
      <c r="J29" s="1828">
        <f t="shared" si="2"/>
        <v>0</v>
      </c>
    </row>
    <row r="30" spans="1:12" ht="12" customHeight="1">
      <c r="A30" s="1813" t="s">
        <v>1598</v>
      </c>
      <c r="B30" s="1814"/>
      <c r="C30" s="1815"/>
      <c r="D30" s="1815"/>
      <c r="E30" s="1818"/>
      <c r="F30" s="1817"/>
      <c r="H30" s="1828">
        <f t="shared" si="0"/>
        <v>0</v>
      </c>
      <c r="I30" s="1828">
        <f t="shared" si="1"/>
        <v>0</v>
      </c>
      <c r="J30" s="1828">
        <f t="shared" si="2"/>
        <v>0</v>
      </c>
    </row>
    <row r="31" spans="1:12" ht="12" customHeight="1">
      <c r="A31" s="1813" t="s">
        <v>1599</v>
      </c>
      <c r="B31" s="1814"/>
      <c r="C31" s="1815"/>
      <c r="D31" s="1815"/>
      <c r="E31" s="1818"/>
      <c r="F31" s="1817"/>
      <c r="H31" s="1828">
        <f t="shared" si="0"/>
        <v>0</v>
      </c>
      <c r="I31" s="1828">
        <f t="shared" si="1"/>
        <v>0</v>
      </c>
      <c r="J31" s="1828">
        <f t="shared" si="2"/>
        <v>0</v>
      </c>
      <c r="L31" s="1819"/>
    </row>
    <row r="32" spans="1:12" ht="12" customHeight="1">
      <c r="A32" s="1813" t="s">
        <v>1600</v>
      </c>
      <c r="B32" s="1814"/>
      <c r="C32" s="1815"/>
      <c r="D32" s="1815"/>
      <c r="E32" s="1818"/>
      <c r="F32" s="1817"/>
      <c r="H32" s="1828">
        <f t="shared" si="0"/>
        <v>0</v>
      </c>
      <c r="I32" s="1828">
        <f t="shared" si="1"/>
        <v>0</v>
      </c>
      <c r="J32" s="1828">
        <f t="shared" si="2"/>
        <v>0</v>
      </c>
    </row>
    <row r="33" spans="1:11" ht="12" customHeight="1">
      <c r="A33" s="1813" t="s">
        <v>1601</v>
      </c>
      <c r="B33" s="1814"/>
      <c r="C33" s="1815"/>
      <c r="D33" s="1815"/>
      <c r="E33" s="1818"/>
      <c r="F33" s="1817"/>
      <c r="H33" s="1828">
        <f t="shared" si="0"/>
        <v>0</v>
      </c>
      <c r="I33" s="1828">
        <f t="shared" si="1"/>
        <v>0</v>
      </c>
      <c r="J33" s="1828">
        <f t="shared" si="2"/>
        <v>0</v>
      </c>
    </row>
    <row r="34" spans="1:11" ht="12" customHeight="1">
      <c r="A34" s="1820"/>
      <c r="B34" s="1820"/>
      <c r="C34" s="1820"/>
      <c r="D34" s="1820"/>
      <c r="E34" s="1820"/>
      <c r="F34" s="1820"/>
      <c r="H34" s="1828">
        <f>SUM(H11:H32)</f>
        <v>10</v>
      </c>
      <c r="I34" s="1828">
        <f>SUM(I11:I32)</f>
        <v>10</v>
      </c>
      <c r="J34" s="1828">
        <f>SUM(J11:J32)</f>
        <v>0</v>
      </c>
      <c r="K34" s="1828">
        <f>SUM(H34:J34)</f>
        <v>20</v>
      </c>
    </row>
    <row r="35" spans="1:11" ht="12" customHeight="1">
      <c r="A35" s="1821" t="s">
        <v>1438</v>
      </c>
      <c r="B35" s="1822"/>
      <c r="C35" s="2304"/>
      <c r="D35" s="2304"/>
      <c r="E35" s="2304"/>
      <c r="F35" s="2305"/>
    </row>
    <row r="36" spans="1:11" ht="12" customHeight="1">
      <c r="A36" s="2287" t="s">
        <v>2130</v>
      </c>
      <c r="B36" s="2288"/>
      <c r="C36" s="2288"/>
      <c r="D36" s="2288"/>
      <c r="E36" s="2288"/>
      <c r="F36" s="2289"/>
    </row>
    <row r="37" spans="1:11" ht="12" customHeight="1">
      <c r="A37" s="2287" t="s">
        <v>2131</v>
      </c>
      <c r="B37" s="2288"/>
      <c r="C37" s="2288"/>
      <c r="D37" s="2288"/>
      <c r="E37" s="2288"/>
      <c r="F37" s="2289"/>
    </row>
    <row r="38" spans="1:11" ht="12" customHeight="1">
      <c r="A38" s="2290"/>
      <c r="B38" s="2291"/>
      <c r="C38" s="2291"/>
      <c r="D38" s="2291"/>
      <c r="E38" s="2291"/>
      <c r="F38" s="2292"/>
    </row>
    <row r="39" spans="1:11" ht="4.5" hidden="1" customHeight="1">
      <c r="A39" s="1823"/>
      <c r="B39" s="1823"/>
      <c r="C39" s="1823"/>
      <c r="D39" s="1823"/>
      <c r="E39" s="1823"/>
      <c r="F39" s="1823"/>
    </row>
    <row r="40" spans="1:11" s="1820" customFormat="1" ht="12" customHeight="1">
      <c r="A40" s="1824" t="s">
        <v>1437</v>
      </c>
      <c r="B40" s="1825"/>
      <c r="C40" s="2293"/>
      <c r="D40" s="2293"/>
      <c r="E40" s="2293"/>
      <c r="F40" s="2294"/>
      <c r="H40" s="1829"/>
      <c r="I40" s="1829"/>
      <c r="J40" s="1829"/>
      <c r="K40" s="1829"/>
    </row>
    <row r="41" spans="1:11" s="1820" customFormat="1" ht="12" customHeight="1">
      <c r="A41" s="2295"/>
      <c r="B41" s="2296"/>
      <c r="C41" s="2296"/>
      <c r="D41" s="2296"/>
      <c r="E41" s="2296"/>
      <c r="F41" s="2297"/>
      <c r="H41" s="1829"/>
      <c r="I41" s="1829"/>
      <c r="J41" s="1829"/>
      <c r="K41" s="1829"/>
    </row>
    <row r="42" spans="1:11" s="1820" customFormat="1" ht="12" customHeight="1">
      <c r="A42" s="2295"/>
      <c r="B42" s="2296"/>
      <c r="C42" s="2296"/>
      <c r="D42" s="2296"/>
      <c r="E42" s="2296"/>
      <c r="F42" s="2297"/>
      <c r="H42" s="1829"/>
      <c r="I42" s="1829"/>
      <c r="J42" s="1829"/>
      <c r="K42" s="1829"/>
    </row>
    <row r="43" spans="1:11" s="1820" customFormat="1" ht="15">
      <c r="A43" s="2284"/>
      <c r="B43" s="2285"/>
      <c r="C43" s="2285"/>
      <c r="D43" s="2285"/>
      <c r="E43" s="2285"/>
      <c r="F43" s="2286"/>
      <c r="H43" s="1829"/>
      <c r="I43" s="1829"/>
      <c r="J43" s="1829"/>
      <c r="K43" s="1829"/>
    </row>
    <row r="44" spans="1:11" s="1820" customFormat="1" ht="12" hidden="1" customHeight="1">
      <c r="A44" s="2284"/>
      <c r="B44" s="2285"/>
      <c r="C44" s="2285"/>
      <c r="D44" s="2285"/>
      <c r="E44" s="2285"/>
      <c r="F44" s="2286"/>
      <c r="H44" s="1829"/>
      <c r="I44" s="1829"/>
      <c r="J44" s="1829"/>
      <c r="K44" s="1829"/>
    </row>
    <row r="45" spans="1:11" s="1820" customFormat="1" ht="12" customHeight="1">
      <c r="H45" s="1829"/>
      <c r="I45" s="1829"/>
      <c r="J45" s="1829"/>
      <c r="K45" s="1829"/>
    </row>
    <row r="46" spans="1:11" s="1820" customFormat="1" ht="9.75" customHeight="1">
      <c r="H46" s="1829"/>
      <c r="I46" s="1829"/>
      <c r="J46" s="1829"/>
      <c r="K46" s="1829"/>
    </row>
    <row r="47" spans="1:11" s="1820" customFormat="1" ht="13.5" customHeight="1">
      <c r="H47" s="1829"/>
      <c r="I47" s="1829"/>
      <c r="J47" s="1829"/>
      <c r="K47" s="1829"/>
    </row>
    <row r="48" spans="1:11" s="1820" customFormat="1" ht="15">
      <c r="H48" s="1829"/>
      <c r="I48" s="1829"/>
      <c r="J48" s="1829"/>
      <c r="K48" s="1829"/>
    </row>
    <row r="49" spans="1:11" s="1820" customFormat="1" ht="15" hidden="1">
      <c r="A49" s="1820" t="b">
        <v>0</v>
      </c>
      <c r="H49" s="1829"/>
      <c r="I49" s="1829"/>
      <c r="J49" s="1829"/>
      <c r="K49" s="1829"/>
    </row>
    <row r="50" spans="1:11" s="1820" customFormat="1" ht="15">
      <c r="H50" s="1829"/>
      <c r="I50" s="1829"/>
      <c r="J50" s="1829"/>
      <c r="K50" s="1829"/>
    </row>
    <row r="51" spans="1:11" s="1820" customFormat="1" ht="15">
      <c r="H51" s="1829"/>
      <c r="I51" s="1829"/>
      <c r="J51" s="1829"/>
      <c r="K51" s="1829"/>
    </row>
    <row r="52" spans="1:11" s="1820" customFormat="1" ht="15">
      <c r="H52" s="1829"/>
      <c r="I52" s="1829"/>
      <c r="J52" s="1829"/>
      <c r="K52" s="1829"/>
    </row>
    <row r="53" spans="1:11" s="1820" customFormat="1" ht="15">
      <c r="H53" s="1829"/>
      <c r="I53" s="1829"/>
      <c r="J53" s="1829"/>
      <c r="K53" s="1829"/>
    </row>
    <row r="54" spans="1:11" s="1820" customFormat="1" ht="15">
      <c r="H54" s="1829"/>
      <c r="I54" s="1829"/>
      <c r="J54" s="1829"/>
      <c r="K54" s="1829"/>
    </row>
    <row r="55" spans="1:11" s="1820" customFormat="1" ht="15">
      <c r="H55" s="1829"/>
      <c r="I55" s="1829"/>
      <c r="J55" s="1829"/>
      <c r="K55" s="1829"/>
    </row>
    <row r="56" spans="1:11" s="1820" customFormat="1" ht="15">
      <c r="H56" s="1829"/>
      <c r="I56" s="1829"/>
      <c r="J56" s="1829"/>
      <c r="K56" s="1829"/>
    </row>
    <row r="57" spans="1:11" s="1820" customFormat="1" ht="15">
      <c r="H57" s="1829"/>
      <c r="I57" s="1829"/>
      <c r="J57" s="1829"/>
      <c r="K57" s="1829"/>
    </row>
    <row r="58" spans="1:11" s="1820" customFormat="1" ht="15">
      <c r="H58" s="1829"/>
      <c r="I58" s="1829"/>
      <c r="J58" s="1829"/>
      <c r="K58" s="1829"/>
    </row>
    <row r="59" spans="1:11" s="1820" customFormat="1" ht="15">
      <c r="H59" s="1829"/>
      <c r="I59" s="1829"/>
      <c r="J59" s="1829"/>
      <c r="K59" s="1829"/>
    </row>
    <row r="60" spans="1:11" s="1820" customFormat="1" ht="15">
      <c r="H60" s="1829"/>
      <c r="I60" s="1829"/>
      <c r="J60" s="1829"/>
      <c r="K60" s="1829"/>
    </row>
    <row r="61" spans="1:11" s="1820" customFormat="1" ht="15">
      <c r="H61" s="1829"/>
      <c r="I61" s="1829"/>
      <c r="J61" s="1829"/>
      <c r="K61" s="1829"/>
    </row>
    <row r="62" spans="1:11" s="1820" customFormat="1" ht="15">
      <c r="H62" s="1829"/>
      <c r="I62" s="1829"/>
      <c r="J62" s="1829"/>
      <c r="K62" s="1829"/>
    </row>
    <row r="63" spans="1:11" s="1820" customFormat="1" ht="15">
      <c r="H63" s="1829"/>
      <c r="I63" s="1829"/>
      <c r="J63" s="1829"/>
      <c r="K63" s="1829"/>
    </row>
    <row r="64" spans="1:11" s="1820" customFormat="1" ht="15">
      <c r="H64" s="1829"/>
      <c r="I64" s="1829"/>
      <c r="J64" s="1829"/>
      <c r="K64" s="1829"/>
    </row>
    <row r="65" spans="8:11" s="1820" customFormat="1" ht="15">
      <c r="H65" s="1829"/>
      <c r="I65" s="1829"/>
      <c r="J65" s="1829"/>
      <c r="K65" s="1829"/>
    </row>
    <row r="66" spans="8:11" s="1820" customFormat="1" ht="15">
      <c r="H66" s="1829"/>
      <c r="I66" s="1829"/>
      <c r="J66" s="1829"/>
      <c r="K66" s="1829"/>
    </row>
    <row r="67" spans="8:11" s="1820" customFormat="1" ht="15">
      <c r="H67" s="1829"/>
      <c r="I67" s="1829"/>
      <c r="J67" s="1829"/>
      <c r="K67" s="1829"/>
    </row>
    <row r="68" spans="8:11" s="1820" customFormat="1" ht="15">
      <c r="H68" s="1829"/>
      <c r="I68" s="1829"/>
      <c r="J68" s="1829"/>
      <c r="K68" s="1829"/>
    </row>
    <row r="69" spans="8:11" s="1820" customFormat="1" ht="15">
      <c r="H69" s="1829"/>
      <c r="I69" s="1829"/>
      <c r="J69" s="1829"/>
      <c r="K69" s="1829"/>
    </row>
    <row r="70" spans="8:11" s="1820" customFormat="1" ht="15">
      <c r="H70" s="1829"/>
      <c r="I70" s="1829"/>
      <c r="J70" s="1829"/>
      <c r="K70" s="1829"/>
    </row>
    <row r="71" spans="8:11" s="1820" customFormat="1" ht="15">
      <c r="H71" s="1829"/>
      <c r="I71" s="1829"/>
      <c r="J71" s="1829"/>
      <c r="K71" s="1829"/>
    </row>
    <row r="72" spans="8:11" s="1820" customFormat="1" ht="15">
      <c r="H72" s="1829"/>
      <c r="I72" s="1829"/>
      <c r="J72" s="1829"/>
      <c r="K72" s="1829"/>
    </row>
    <row r="73" spans="8:11" s="1820" customFormat="1" ht="15">
      <c r="H73" s="1829"/>
      <c r="I73" s="1829"/>
      <c r="J73" s="1829"/>
      <c r="K73" s="1829"/>
    </row>
    <row r="74" spans="8:11" s="1820" customFormat="1" ht="15">
      <c r="H74" s="1829"/>
      <c r="I74" s="1829"/>
      <c r="J74" s="1829"/>
      <c r="K74" s="1829"/>
    </row>
    <row r="75" spans="8:11" s="1820" customFormat="1" ht="15">
      <c r="H75" s="1829"/>
      <c r="I75" s="1829"/>
      <c r="J75" s="1829"/>
      <c r="K75" s="1829"/>
    </row>
    <row r="76" spans="8:11" s="1820" customFormat="1" ht="15">
      <c r="H76" s="1829"/>
      <c r="I76" s="1829"/>
      <c r="J76" s="1829"/>
      <c r="K76" s="1829"/>
    </row>
    <row r="77" spans="8:11" s="1820" customFormat="1" ht="15">
      <c r="H77" s="1829"/>
      <c r="I77" s="1829"/>
      <c r="J77" s="1829"/>
      <c r="K77" s="1829"/>
    </row>
    <row r="78" spans="8:11" s="1820" customFormat="1" ht="15">
      <c r="H78" s="1829"/>
      <c r="I78" s="1829"/>
      <c r="J78" s="1829"/>
      <c r="K78" s="1829"/>
    </row>
    <row r="79" spans="8:11" s="1820" customFormat="1" ht="15">
      <c r="H79" s="1829"/>
      <c r="I79" s="1829"/>
      <c r="J79" s="1829"/>
      <c r="K79" s="1829"/>
    </row>
    <row r="80" spans="8:11" s="1820" customFormat="1" ht="15">
      <c r="H80" s="1829"/>
      <c r="I80" s="1829"/>
      <c r="J80" s="1829"/>
      <c r="K80" s="1829"/>
    </row>
    <row r="81" spans="8:11" s="1820" customFormat="1" ht="15">
      <c r="H81" s="1829"/>
      <c r="I81" s="1829"/>
      <c r="J81" s="1829"/>
      <c r="K81" s="1829"/>
    </row>
    <row r="82" spans="8:11" s="1820" customFormat="1" ht="15">
      <c r="H82" s="1829"/>
      <c r="I82" s="1829"/>
      <c r="J82" s="1829"/>
      <c r="K82" s="1829"/>
    </row>
    <row r="83" spans="8:11" s="1820" customFormat="1" ht="15">
      <c r="H83" s="1829"/>
      <c r="I83" s="1829"/>
      <c r="J83" s="1829"/>
      <c r="K83" s="1829"/>
    </row>
    <row r="84" spans="8:11" s="1820" customFormat="1" ht="15">
      <c r="H84" s="1829"/>
      <c r="I84" s="1829"/>
      <c r="J84" s="1829"/>
      <c r="K84" s="1829"/>
    </row>
    <row r="85" spans="8:11" s="1820" customFormat="1" ht="15">
      <c r="H85" s="1829"/>
      <c r="I85" s="1829"/>
      <c r="J85" s="1829"/>
      <c r="K85" s="1829"/>
    </row>
    <row r="86" spans="8:11" s="1820" customFormat="1" ht="15">
      <c r="H86" s="1829"/>
      <c r="I86" s="1829"/>
      <c r="J86" s="1829"/>
      <c r="K86" s="1829"/>
    </row>
    <row r="87" spans="8:11" s="1820" customFormat="1" ht="15">
      <c r="H87" s="1829"/>
      <c r="I87" s="1829"/>
      <c r="J87" s="1829"/>
      <c r="K87" s="1829"/>
    </row>
    <row r="88" spans="8:11" s="1820" customFormat="1" ht="15">
      <c r="H88" s="1829"/>
      <c r="I88" s="1829"/>
      <c r="J88" s="1829"/>
      <c r="K88" s="1829"/>
    </row>
    <row r="89" spans="8:11" s="1820" customFormat="1" ht="15">
      <c r="H89" s="1829"/>
      <c r="I89" s="1829"/>
      <c r="J89" s="1829"/>
      <c r="K89" s="1829"/>
    </row>
    <row r="90" spans="8:11" s="1820" customFormat="1" ht="15">
      <c r="H90" s="1829"/>
      <c r="I90" s="1829"/>
      <c r="J90" s="1829"/>
      <c r="K90" s="1829"/>
    </row>
    <row r="91" spans="8:11" s="1820" customFormat="1" ht="15">
      <c r="H91" s="1829"/>
      <c r="I91" s="1829"/>
      <c r="J91" s="1829"/>
      <c r="K91" s="1829"/>
    </row>
    <row r="92" spans="8:11" s="1820" customFormat="1" ht="15">
      <c r="H92" s="1829"/>
      <c r="I92" s="1829"/>
      <c r="J92" s="1829"/>
      <c r="K92" s="1829"/>
    </row>
    <row r="93" spans="8:11" s="1820" customFormat="1" ht="15">
      <c r="H93" s="1829"/>
      <c r="I93" s="1829"/>
      <c r="J93" s="1829"/>
      <c r="K93" s="1829"/>
    </row>
    <row r="94" spans="8:11" s="1820" customFormat="1" ht="15">
      <c r="H94" s="1829"/>
      <c r="I94" s="1829"/>
      <c r="J94" s="1829"/>
      <c r="K94" s="1829"/>
    </row>
    <row r="95" spans="8:11" s="1820" customFormat="1" ht="15">
      <c r="H95" s="1829"/>
      <c r="I95" s="1829"/>
      <c r="J95" s="1829"/>
      <c r="K95" s="1829"/>
    </row>
    <row r="96" spans="8:11" s="1820" customFormat="1" ht="15">
      <c r="H96" s="1829"/>
      <c r="I96" s="1829"/>
      <c r="J96" s="1829"/>
      <c r="K96" s="1829"/>
    </row>
    <row r="97" spans="8:11" s="1820" customFormat="1" ht="15">
      <c r="H97" s="1829"/>
      <c r="I97" s="1829"/>
      <c r="J97" s="1829"/>
      <c r="K97" s="182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I21" sqref="I21:S21"/>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844" t="s">
        <v>693</v>
      </c>
      <c r="B6" s="1594"/>
      <c r="C6" s="1594"/>
      <c r="D6" s="1594"/>
      <c r="E6" s="1595"/>
      <c r="F6" s="1016"/>
      <c r="G6" s="1010"/>
      <c r="H6" s="1017" t="s">
        <v>1086</v>
      </c>
      <c r="I6" s="2311" t="str">
        <f>COVER!A17</f>
        <v>Rock Falls Elem SD 13</v>
      </c>
      <c r="J6" s="2312"/>
      <c r="Q6" s="1615"/>
    </row>
    <row r="7" spans="1:17">
      <c r="A7" s="2313" t="s">
        <v>924</v>
      </c>
      <c r="B7" s="2314"/>
      <c r="C7" s="2314"/>
      <c r="D7" s="2314"/>
      <c r="E7" s="2315"/>
      <c r="F7" s="1018"/>
      <c r="G7" s="1010"/>
      <c r="H7" s="1017" t="s">
        <v>390</v>
      </c>
      <c r="I7" s="2316">
        <f>COVER!A13</f>
        <v>47098013002</v>
      </c>
      <c r="J7" s="2316"/>
    </row>
    <row r="8" spans="1:17" ht="8.25" customHeight="1">
      <c r="A8" s="1596"/>
      <c r="B8" s="1597"/>
      <c r="C8" s="1597"/>
      <c r="D8" s="1597"/>
      <c r="E8" s="1598"/>
      <c r="F8" s="1019"/>
      <c r="G8" s="1020"/>
      <c r="H8" s="1020"/>
      <c r="I8" s="1020"/>
      <c r="J8" s="1020"/>
    </row>
    <row r="9" spans="1:17" ht="13.5" customHeight="1">
      <c r="A9" s="1021"/>
      <c r="B9" s="1022"/>
      <c r="C9" s="1022"/>
      <c r="D9" s="1023"/>
      <c r="E9" s="1845" t="s">
        <v>1673</v>
      </c>
      <c r="F9" s="1024"/>
      <c r="G9" s="1024"/>
      <c r="H9" s="1846" t="s">
        <v>1674</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317" t="s">
        <v>502</v>
      </c>
      <c r="B11" s="2318"/>
      <c r="C11" s="2319"/>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760">
        <f>'Expenditures 15-22'!K50</f>
        <v>319844</v>
      </c>
      <c r="F12" s="1040"/>
      <c r="G12" s="1760">
        <f t="shared" ref="G12:G18" si="0">SUM(E12:F12)</f>
        <v>319844</v>
      </c>
      <c r="H12" s="1041">
        <v>328454</v>
      </c>
      <c r="I12" s="1040"/>
      <c r="J12" s="1760">
        <f t="shared" ref="J12:J18" si="1">SUM(H12:I12)</f>
        <v>328454</v>
      </c>
    </row>
    <row r="13" spans="1:17" ht="15" customHeight="1">
      <c r="A13" s="1036">
        <v>2</v>
      </c>
      <c r="B13" s="1037" t="s">
        <v>44</v>
      </c>
      <c r="C13" s="1038"/>
      <c r="D13" s="1039">
        <v>2330</v>
      </c>
      <c r="E13" s="1760">
        <f>'Expenditures 15-22'!K51</f>
        <v>0</v>
      </c>
      <c r="F13" s="1040"/>
      <c r="G13" s="1760">
        <f t="shared" si="0"/>
        <v>0</v>
      </c>
      <c r="H13" s="1041"/>
      <c r="I13" s="1040"/>
      <c r="J13" s="1760">
        <f t="shared" si="1"/>
        <v>0</v>
      </c>
    </row>
    <row r="14" spans="1:17" ht="15" customHeight="1">
      <c r="A14" s="1036">
        <v>3</v>
      </c>
      <c r="B14" s="1037" t="s">
        <v>45</v>
      </c>
      <c r="C14" s="1038"/>
      <c r="D14" s="1042">
        <v>2490</v>
      </c>
      <c r="E14" s="1760">
        <f>'Expenditures 15-22'!K56</f>
        <v>0</v>
      </c>
      <c r="F14" s="1040"/>
      <c r="G14" s="1760">
        <f t="shared" si="0"/>
        <v>0</v>
      </c>
      <c r="H14" s="1041"/>
      <c r="I14" s="1040"/>
      <c r="J14" s="1760">
        <f t="shared" si="1"/>
        <v>0</v>
      </c>
    </row>
    <row r="15" spans="1:17" ht="15" customHeight="1">
      <c r="A15" s="1036">
        <v>4</v>
      </c>
      <c r="B15" s="1037" t="s">
        <v>1128</v>
      </c>
      <c r="C15" s="1038"/>
      <c r="D15" s="1039">
        <v>2510</v>
      </c>
      <c r="E15" s="1760">
        <f>'Expenditures 15-22'!K59</f>
        <v>0</v>
      </c>
      <c r="F15" s="1760">
        <f>'Expenditures 15-22'!K122</f>
        <v>0</v>
      </c>
      <c r="G15" s="1760">
        <f t="shared" si="0"/>
        <v>0</v>
      </c>
      <c r="H15" s="1041"/>
      <c r="I15" s="1041"/>
      <c r="J15" s="1760">
        <f t="shared" si="1"/>
        <v>0</v>
      </c>
    </row>
    <row r="16" spans="1:17" ht="15" customHeight="1">
      <c r="A16" s="1036">
        <v>5</v>
      </c>
      <c r="B16" s="1037" t="s">
        <v>103</v>
      </c>
      <c r="C16" s="1038"/>
      <c r="D16" s="1039">
        <v>2570</v>
      </c>
      <c r="E16" s="1760">
        <f>'Expenditures 15-22'!K64</f>
        <v>0</v>
      </c>
      <c r="F16" s="1040"/>
      <c r="G16" s="1760">
        <f t="shared" si="0"/>
        <v>0</v>
      </c>
      <c r="H16" s="1041"/>
      <c r="I16" s="1040"/>
      <c r="J16" s="1760">
        <f t="shared" si="1"/>
        <v>0</v>
      </c>
    </row>
    <row r="17" spans="1:10" ht="15" customHeight="1">
      <c r="A17" s="1036">
        <v>6</v>
      </c>
      <c r="B17" s="1037" t="s">
        <v>1120</v>
      </c>
      <c r="C17" s="1038"/>
      <c r="D17" s="1039">
        <v>2610</v>
      </c>
      <c r="E17" s="1760">
        <f>'Expenditures 15-22'!K67</f>
        <v>0</v>
      </c>
      <c r="F17" s="1040"/>
      <c r="G17" s="1760">
        <f t="shared" si="0"/>
        <v>0</v>
      </c>
      <c r="H17" s="1041"/>
      <c r="I17" s="1040"/>
      <c r="J17" s="1760">
        <f t="shared" si="1"/>
        <v>0</v>
      </c>
    </row>
    <row r="18" spans="1:10" ht="22.5" customHeight="1">
      <c r="A18" s="1043">
        <v>7</v>
      </c>
      <c r="B18" s="2320" t="s">
        <v>7</v>
      </c>
      <c r="C18" s="2321"/>
      <c r="D18" s="2322"/>
      <c r="E18" s="1044"/>
      <c r="F18" s="1044"/>
      <c r="G18" s="1761">
        <f t="shared" si="0"/>
        <v>0</v>
      </c>
      <c r="H18" s="1041"/>
      <c r="I18" s="1041"/>
      <c r="J18" s="1760">
        <f t="shared" si="1"/>
        <v>0</v>
      </c>
    </row>
    <row r="19" spans="1:10" ht="12.95" customHeight="1" thickBot="1">
      <c r="A19" s="1036">
        <v>8</v>
      </c>
      <c r="B19" s="1045" t="s">
        <v>1223</v>
      </c>
      <c r="D19" s="1046"/>
      <c r="E19" s="1762">
        <f t="shared" ref="E19:J19" si="2">SUM(E12:E17)-E18</f>
        <v>319844</v>
      </c>
      <c r="F19" s="1762">
        <f t="shared" si="2"/>
        <v>0</v>
      </c>
      <c r="G19" s="1762">
        <f t="shared" si="2"/>
        <v>319844</v>
      </c>
      <c r="H19" s="1762">
        <f t="shared" si="2"/>
        <v>328454</v>
      </c>
      <c r="I19" s="1762">
        <f t="shared" si="2"/>
        <v>0</v>
      </c>
      <c r="J19" s="1762">
        <f t="shared" si="2"/>
        <v>328454</v>
      </c>
    </row>
    <row r="20" spans="1:10" ht="13.5" thickTop="1">
      <c r="A20" s="1036">
        <v>9</v>
      </c>
      <c r="B20" s="2323" t="s">
        <v>1675</v>
      </c>
      <c r="C20" s="2323"/>
      <c r="D20" s="2324"/>
      <c r="E20" s="1047"/>
      <c r="F20" s="1047"/>
      <c r="G20" s="1047"/>
      <c r="H20" s="1047"/>
      <c r="I20" s="1047"/>
      <c r="J20" s="1763">
        <f>IF(AND(G19&gt;0,J19&gt;0),(((J19-G19)/G19)),"Enter Budget Data")</f>
        <v>2.6919373194432286E-2</v>
      </c>
    </row>
    <row r="21" spans="1:10" ht="9.1999999999999993" customHeight="1">
      <c r="B21" s="1048"/>
    </row>
    <row r="22" spans="1:10">
      <c r="A22" s="1049" t="s">
        <v>135</v>
      </c>
      <c r="B22" s="1048"/>
    </row>
    <row r="23" spans="1:10">
      <c r="A23" s="1012" t="s">
        <v>1676</v>
      </c>
      <c r="B23" s="1048"/>
    </row>
    <row r="24" spans="1:10">
      <c r="A24" s="1012" t="s">
        <v>1677</v>
      </c>
      <c r="B24" s="1048"/>
    </row>
    <row r="25" spans="1:10">
      <c r="A25" s="1050"/>
      <c r="B25" s="1048"/>
    </row>
    <row r="26" spans="1:10" ht="20.25" customHeight="1">
      <c r="B26" s="1048"/>
      <c r="C26" s="2329"/>
      <c r="D26" s="2329"/>
      <c r="E26" s="1051"/>
      <c r="F26" s="2328"/>
      <c r="G26" s="2328"/>
    </row>
    <row r="27" spans="1:10">
      <c r="B27" s="1048"/>
      <c r="C27" s="1052" t="s">
        <v>1093</v>
      </c>
      <c r="D27" s="1053"/>
      <c r="E27" s="1054"/>
      <c r="F27" s="2325" t="s">
        <v>1568</v>
      </c>
      <c r="G27" s="2325"/>
    </row>
    <row r="28" spans="1:10" ht="28.5" customHeight="1">
      <c r="B28" s="1048"/>
      <c r="C28" s="2327"/>
      <c r="D28" s="2327"/>
      <c r="E28" s="1055"/>
      <c r="F28" s="2327"/>
      <c r="G28" s="2327"/>
    </row>
    <row r="29" spans="1:10">
      <c r="B29" s="1048"/>
      <c r="C29" s="1056" t="s">
        <v>1621</v>
      </c>
      <c r="E29" s="1057"/>
      <c r="F29" s="2326" t="s">
        <v>1569</v>
      </c>
      <c r="G29" s="2326"/>
    </row>
    <row r="30" spans="1:10" ht="9.1999999999999993" customHeight="1">
      <c r="B30" s="1048"/>
      <c r="C30" s="1058"/>
      <c r="E30" s="1059"/>
      <c r="F30" s="1060"/>
      <c r="G30" s="1060"/>
    </row>
    <row r="31" spans="1:10" ht="15" customHeight="1">
      <c r="A31" s="1012"/>
      <c r="B31" s="1061" t="s">
        <v>1094</v>
      </c>
    </row>
    <row r="32" spans="1:10" ht="9.1999999999999993" customHeight="1">
      <c r="A32" s="1012"/>
      <c r="B32" s="1049"/>
    </row>
    <row r="33" spans="1:10" ht="12.95" customHeight="1">
      <c r="A33" s="1012"/>
      <c r="B33" s="1062"/>
      <c r="C33" s="2308" t="s">
        <v>134</v>
      </c>
      <c r="D33" s="2309"/>
      <c r="E33" s="2309"/>
      <c r="F33" s="2309"/>
      <c r="G33" s="2309"/>
      <c r="H33" s="2309"/>
      <c r="I33" s="2309"/>
    </row>
    <row r="34" spans="1:10" ht="10.35" customHeight="1">
      <c r="C34" s="2309"/>
      <c r="D34" s="2309"/>
      <c r="E34" s="2309"/>
      <c r="F34" s="2309"/>
      <c r="G34" s="2309"/>
      <c r="H34" s="2309"/>
      <c r="I34" s="2309"/>
    </row>
    <row r="35" spans="1:10" ht="7.5" customHeight="1">
      <c r="C35" s="1063"/>
    </row>
    <row r="36" spans="1:10" ht="13.5" customHeight="1">
      <c r="B36" s="1062"/>
      <c r="C36" s="2310" t="s">
        <v>1905</v>
      </c>
      <c r="D36" s="2309"/>
      <c r="E36" s="2309"/>
      <c r="F36" s="2309"/>
      <c r="G36" s="2309"/>
      <c r="H36" s="2309"/>
      <c r="I36" s="2309"/>
      <c r="J36" s="1064"/>
    </row>
    <row r="37" spans="1:10" ht="22.5" customHeight="1">
      <c r="C37" s="2309"/>
      <c r="D37" s="2309"/>
      <c r="E37" s="2309"/>
      <c r="F37" s="2309"/>
      <c r="G37" s="2309"/>
      <c r="H37" s="2309"/>
      <c r="I37" s="2309"/>
      <c r="J37" s="1064"/>
    </row>
    <row r="38" spans="1:10" ht="7.5" customHeight="1">
      <c r="C38" s="1063"/>
      <c r="D38" s="1065"/>
      <c r="E38" s="1066"/>
      <c r="F38" s="1067"/>
      <c r="G38" s="1066"/>
    </row>
    <row r="39" spans="1:10" ht="13.5" customHeight="1">
      <c r="B39" s="1062"/>
      <c r="C39" s="2306" t="s">
        <v>937</v>
      </c>
      <c r="D39" s="2307"/>
      <c r="E39" s="2307"/>
      <c r="F39" s="2307"/>
      <c r="G39" s="2307"/>
      <c r="H39" s="2307"/>
      <c r="I39" s="2307"/>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I21" sqref="I21:S21"/>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9">
        <v>1</v>
      </c>
      <c r="B5" s="329" t="s">
        <v>2135</v>
      </c>
    </row>
    <row r="6" spans="1:2">
      <c r="A6" s="1069">
        <v>2</v>
      </c>
      <c r="B6" s="329" t="s">
        <v>2136</v>
      </c>
    </row>
    <row r="7" spans="1:2">
      <c r="A7" s="1069">
        <v>3</v>
      </c>
      <c r="B7" s="329" t="s">
        <v>2137</v>
      </c>
    </row>
    <row r="8" spans="1:2">
      <c r="A8" s="1069">
        <v>4</v>
      </c>
      <c r="B8" s="329" t="s">
        <v>2138</v>
      </c>
    </row>
    <row r="9" spans="1:2">
      <c r="A9" s="1070">
        <v>5</v>
      </c>
      <c r="B9" s="329" t="s">
        <v>2139</v>
      </c>
    </row>
    <row r="10" spans="1:2">
      <c r="A10" s="1070">
        <v>6</v>
      </c>
      <c r="B10" s="329" t="s">
        <v>2140</v>
      </c>
    </row>
    <row r="11" spans="1:2">
      <c r="A11" s="1070">
        <v>7</v>
      </c>
      <c r="B11" s="329" t="s">
        <v>2141</v>
      </c>
    </row>
    <row r="12" spans="1:2">
      <c r="A12" s="1070">
        <v>8</v>
      </c>
      <c r="B12" s="329" t="s">
        <v>2142</v>
      </c>
    </row>
    <row r="13" spans="1:2">
      <c r="A13" s="1070">
        <v>9</v>
      </c>
      <c r="B13" s="329" t="s">
        <v>2143</v>
      </c>
    </row>
    <row r="14" spans="1:2">
      <c r="A14" s="1070">
        <v>10</v>
      </c>
      <c r="B14" s="329" t="s">
        <v>2144</v>
      </c>
    </row>
    <row r="15" spans="1:2">
      <c r="A15" s="1070">
        <v>11</v>
      </c>
      <c r="B15" s="329" t="s">
        <v>2145</v>
      </c>
    </row>
    <row r="16" spans="1:2">
      <c r="A16" s="1070">
        <v>12</v>
      </c>
      <c r="B16" s="329" t="s">
        <v>2146</v>
      </c>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Rock Falls Elem SD 13</v>
      </c>
    </row>
    <row r="65" spans="2:2">
      <c r="B65" s="1071">
        <f>COVER!A13</f>
        <v>47098013002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I21" sqref="I21:S21"/>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1460</v>
      </c>
      <c r="D6" s="24"/>
    </row>
    <row r="7" spans="1:4" ht="13.5" customHeight="1">
      <c r="A7" s="23"/>
      <c r="B7" s="25"/>
      <c r="C7" s="65" t="s">
        <v>1461</v>
      </c>
      <c r="D7" s="24"/>
    </row>
    <row r="8" spans="1:4" ht="13.5" customHeight="1">
      <c r="A8" s="23"/>
      <c r="B8" s="146" t="s">
        <v>1000</v>
      </c>
      <c r="C8" s="65" t="s">
        <v>1446</v>
      </c>
      <c r="D8" s="24"/>
    </row>
    <row r="9" spans="1:4" ht="13.5" customHeight="1">
      <c r="A9" s="14"/>
      <c r="B9" s="144" t="s">
        <v>1001</v>
      </c>
      <c r="C9" s="142" t="s">
        <v>1365</v>
      </c>
    </row>
    <row r="10" spans="1:4" ht="13.5" customHeight="1">
      <c r="B10" s="18" t="s">
        <v>1002</v>
      </c>
      <c r="C10" s="15" t="s">
        <v>965</v>
      </c>
    </row>
    <row r="11" spans="1:4" ht="12.95" customHeight="1">
      <c r="B11" s="18" t="s">
        <v>1003</v>
      </c>
      <c r="C11" s="16" t="s">
        <v>914</v>
      </c>
    </row>
    <row r="12" spans="1:4" ht="21.75" customHeight="1">
      <c r="B12" s="18" t="s">
        <v>1004</v>
      </c>
      <c r="C12" s="145" t="s">
        <v>1445</v>
      </c>
    </row>
    <row r="13" spans="1:4" s="19" customFormat="1" ht="12.95" customHeight="1">
      <c r="B13" s="18" t="s">
        <v>971</v>
      </c>
      <c r="C13" s="16" t="s">
        <v>1189</v>
      </c>
    </row>
    <row r="14" spans="1:4" ht="21.75" customHeight="1">
      <c r="B14" s="18" t="s">
        <v>972</v>
      </c>
      <c r="C14" s="16" t="s">
        <v>898</v>
      </c>
    </row>
    <row r="15" spans="1:4" ht="12.95" customHeight="1">
      <c r="B15" s="143" t="s">
        <v>1371</v>
      </c>
      <c r="C15" s="142" t="s">
        <v>1372</v>
      </c>
    </row>
    <row r="16" spans="1:4" ht="12.95" customHeight="1">
      <c r="C16" s="142" t="s">
        <v>1373</v>
      </c>
    </row>
    <row r="17" spans="3:3" ht="12.95" customHeight="1">
      <c r="C17" s="66" t="s">
        <v>1374</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B9" sqref="B9"/>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1552</v>
      </c>
    </row>
    <row r="15" spans="1:6">
      <c r="A15" s="389" t="s">
        <v>912</v>
      </c>
    </row>
    <row r="16" spans="1:6" s="1072" customFormat="1" ht="45.2" customHeight="1">
      <c r="A16" s="1074"/>
      <c r="B16" s="1074" t="s">
        <v>1755</v>
      </c>
    </row>
    <row r="17" spans="1:2" ht="6" customHeight="1"/>
    <row r="18" spans="1:2" ht="24.75" customHeight="1">
      <c r="A18" s="2330" t="s">
        <v>1756</v>
      </c>
      <c r="B18" s="233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371475</xdr:colOff>
                <xdr:row>2</xdr:row>
                <xdr:rowOff>47625</xdr:rowOff>
              </from>
              <to>
                <xdr:col>1</xdr:col>
                <xdr:colOff>1285875</xdr:colOff>
                <xdr:row>6</xdr:row>
                <xdr:rowOff>85725</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4" zoomScale="110" zoomScaleNormal="110" workbookViewId="0">
      <selection activeCell="I21" sqref="I21:S21"/>
    </sheetView>
  </sheetViews>
  <sheetFormatPr defaultColWidth="9.140625" defaultRowHeight="12.75"/>
  <cols>
    <col min="1" max="1" width="33.85546875" style="316" customWidth="1"/>
    <col min="2" max="6" width="16.7109375" style="316" customWidth="1"/>
    <col min="7" max="16384" width="9.140625" style="316"/>
  </cols>
  <sheetData>
    <row r="1" spans="1:8" ht="48.95" customHeight="1">
      <c r="A1" s="2331" t="s">
        <v>1762</v>
      </c>
      <c r="B1" s="2332"/>
      <c r="C1" s="2332"/>
      <c r="D1" s="2332"/>
      <c r="E1" s="2332"/>
      <c r="F1" s="2333"/>
    </row>
    <row r="2" spans="1:8" ht="45.2" customHeight="1">
      <c r="A2" s="2341" t="s">
        <v>1763</v>
      </c>
      <c r="B2" s="2342"/>
      <c r="C2" s="2342"/>
      <c r="D2" s="2342"/>
      <c r="E2" s="2342"/>
      <c r="F2" s="2343"/>
      <c r="G2" s="1075"/>
      <c r="H2" s="1075"/>
    </row>
    <row r="3" spans="1:8" ht="57" customHeight="1">
      <c r="A3" s="2344" t="s">
        <v>1758</v>
      </c>
      <c r="B3" s="2345"/>
      <c r="C3" s="2345"/>
      <c r="D3" s="2345"/>
      <c r="E3" s="2345"/>
      <c r="F3" s="2346"/>
      <c r="G3" s="1075"/>
      <c r="H3" s="1075"/>
    </row>
    <row r="4" spans="1:8" ht="14.25" customHeight="1">
      <c r="A4" s="2350" t="s">
        <v>2015</v>
      </c>
      <c r="B4" s="2351"/>
      <c r="C4" s="2351"/>
      <c r="D4" s="2351"/>
      <c r="E4" s="2351"/>
      <c r="F4" s="2352"/>
      <c r="G4" s="1075"/>
      <c r="H4" s="1075"/>
    </row>
    <row r="5" spans="1:8" ht="14.25" customHeight="1">
      <c r="A5" s="2353" t="s">
        <v>2016</v>
      </c>
      <c r="B5" s="2354"/>
      <c r="C5" s="2354"/>
      <c r="D5" s="2354"/>
      <c r="E5" s="2354"/>
      <c r="F5" s="2355"/>
      <c r="G5" s="1075"/>
      <c r="H5" s="1075"/>
    </row>
    <row r="6" spans="1:8" s="1076" customFormat="1" ht="41.25" customHeight="1">
      <c r="A6" s="2347" t="s">
        <v>1764</v>
      </c>
      <c r="B6" s="2348"/>
      <c r="C6" s="2348"/>
      <c r="D6" s="2348"/>
      <c r="E6" s="2348"/>
      <c r="F6" s="2349"/>
    </row>
    <row r="7" spans="1:8" ht="42" customHeight="1">
      <c r="A7" s="1077" t="s">
        <v>502</v>
      </c>
      <c r="B7" s="1078" t="s">
        <v>1555</v>
      </c>
      <c r="C7" s="1078" t="s">
        <v>1556</v>
      </c>
      <c r="D7" s="1078" t="s">
        <v>1554</v>
      </c>
      <c r="E7" s="1078" t="s">
        <v>1557</v>
      </c>
      <c r="F7" s="1078" t="s">
        <v>1413</v>
      </c>
    </row>
    <row r="8" spans="1:8" s="1080" customFormat="1" ht="14.25" customHeight="1">
      <c r="A8" s="1079" t="s">
        <v>1414</v>
      </c>
      <c r="B8" s="1764">
        <f>'Acct Summary 7-8'!C8</f>
        <v>9127026</v>
      </c>
      <c r="C8" s="1764">
        <f>'Acct Summary 7-8'!D8</f>
        <v>1094512</v>
      </c>
      <c r="D8" s="1764">
        <f>'Acct Summary 7-8'!F8</f>
        <v>648580</v>
      </c>
      <c r="E8" s="1764">
        <f>'Acct Summary 7-8'!I8</f>
        <v>35005</v>
      </c>
      <c r="F8" s="1764">
        <f>SUM(B8:E8)</f>
        <v>10905123</v>
      </c>
    </row>
    <row r="9" spans="1:8" s="1080" customFormat="1" ht="14.25" customHeight="1" thickBot="1">
      <c r="A9" s="1079" t="s">
        <v>1415</v>
      </c>
      <c r="B9" s="1765">
        <f>'Acct Summary 7-8'!C17</f>
        <v>8032680</v>
      </c>
      <c r="C9" s="1765">
        <f>'Acct Summary 7-8'!D17</f>
        <v>1003512</v>
      </c>
      <c r="D9" s="1765">
        <f>'Acct Summary 7-8'!F17</f>
        <v>507074</v>
      </c>
      <c r="E9" s="1764"/>
      <c r="F9" s="1764">
        <f>SUM(B9:E9)</f>
        <v>9543266</v>
      </c>
    </row>
    <row r="10" spans="1:8" s="1080" customFormat="1" ht="14.25" thickTop="1" thickBot="1">
      <c r="A10" s="1081" t="s">
        <v>1416</v>
      </c>
      <c r="B10" s="1766">
        <f>(B8-B9)</f>
        <v>1094346</v>
      </c>
      <c r="C10" s="1766">
        <f>(C8-C9)</f>
        <v>91000</v>
      </c>
      <c r="D10" s="1766">
        <f>(D8-D9)</f>
        <v>141506</v>
      </c>
      <c r="E10" s="1765">
        <f>(E8-E9)</f>
        <v>35005</v>
      </c>
      <c r="F10" s="1767">
        <f>SUM(F8-F9)</f>
        <v>1361857</v>
      </c>
    </row>
    <row r="11" spans="1:8" s="1080" customFormat="1" ht="14.25" thickTop="1" thickBot="1">
      <c r="A11" s="1082" t="s">
        <v>1757</v>
      </c>
      <c r="B11" s="1768">
        <f>'Acct Summary 7-8'!C81</f>
        <v>3828471</v>
      </c>
      <c r="C11" s="1768">
        <f>'Acct Summary 7-8'!D81</f>
        <v>301859</v>
      </c>
      <c r="D11" s="1768">
        <f>'Acct Summary 7-8'!F81</f>
        <v>62771</v>
      </c>
      <c r="E11" s="1768">
        <f>'Acct Summary 7-8'!I81</f>
        <v>260857</v>
      </c>
      <c r="F11" s="1769">
        <f>SUM(B11:E11)</f>
        <v>4453958</v>
      </c>
    </row>
    <row r="12" spans="1:8" ht="16.7" customHeight="1" thickTop="1">
      <c r="A12" s="1083"/>
      <c r="B12" s="1084"/>
      <c r="C12" s="2335" t="str">
        <f>IF(AND(F10&lt;0,F11&gt;=0,ABS(F10*3)&gt;ABS(F11)),A16,IF(AND(F10&lt;0,F11&gt;0,ABS(F10*3)&lt;=ABS(F11)),A17,IF(AND(F10&lt;0,F11&lt;0),A16,IF(F11=0,A19,A18))))</f>
        <v>Balanced - no deficit reduction plan is required.</v>
      </c>
      <c r="D12" s="2336"/>
      <c r="E12" s="2336"/>
      <c r="F12" s="2337"/>
    </row>
    <row r="13" spans="1:8" ht="19.5" customHeight="1">
      <c r="A13" s="1085"/>
      <c r="B13" s="1086"/>
      <c r="C13" s="2335"/>
      <c r="D13" s="2336"/>
      <c r="E13" s="2336"/>
      <c r="F13" s="2337"/>
      <c r="H13" s="1075"/>
    </row>
    <row r="14" spans="1:8" ht="19.5" customHeight="1">
      <c r="A14" s="1085"/>
      <c r="B14" s="1086"/>
      <c r="C14" s="2335"/>
      <c r="D14" s="2336"/>
      <c r="E14" s="2336"/>
      <c r="F14" s="2337"/>
      <c r="H14" s="1075"/>
    </row>
    <row r="15" spans="1:8" ht="17.25" customHeight="1">
      <c r="A15" s="1085"/>
      <c r="B15" s="1086"/>
      <c r="C15" s="2338"/>
      <c r="D15" s="2339"/>
      <c r="E15" s="2339"/>
      <c r="F15" s="2340"/>
      <c r="H15" s="1075"/>
    </row>
    <row r="16" spans="1:8" s="310" customFormat="1" ht="51.75" hidden="1" customHeight="1">
      <c r="A16" s="2334" t="s">
        <v>1759</v>
      </c>
      <c r="B16" s="2334"/>
      <c r="C16" s="2334"/>
      <c r="D16" s="2334"/>
      <c r="E16" s="2334"/>
      <c r="F16" s="310" t="s">
        <v>1417</v>
      </c>
    </row>
    <row r="17" spans="1:6" hidden="1">
      <c r="A17" s="316" t="s">
        <v>1760</v>
      </c>
      <c r="F17" s="1087" t="s">
        <v>1418</v>
      </c>
    </row>
    <row r="18" spans="1:6" hidden="1">
      <c r="A18" s="316" t="s">
        <v>1761</v>
      </c>
      <c r="F18" s="316" t="s">
        <v>1456</v>
      </c>
    </row>
    <row r="19" spans="1:6" hidden="1">
      <c r="A19" s="316" t="s">
        <v>1455</v>
      </c>
      <c r="F19" s="316" t="s">
        <v>1420</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B37" colorId="8" zoomScale="110" zoomScaleNormal="110" workbookViewId="0">
      <selection activeCell="I21" sqref="I21:S21"/>
    </sheetView>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847"/>
      <c r="B2" s="1848"/>
      <c r="C2" s="1849"/>
      <c r="D2" s="1850"/>
    </row>
    <row r="3" spans="1:4" ht="36" customHeight="1">
      <c r="A3" s="2356" t="s">
        <v>686</v>
      </c>
      <c r="B3" s="2357"/>
      <c r="C3" s="2357"/>
      <c r="D3" s="2358"/>
    </row>
    <row r="4" spans="1:4">
      <c r="A4" s="1153" t="s">
        <v>1765</v>
      </c>
      <c r="B4" s="1154"/>
      <c r="C4" s="1155"/>
      <c r="D4" s="1156"/>
    </row>
    <row r="5" spans="1:4" ht="21" customHeight="1">
      <c r="A5" s="1149"/>
      <c r="B5" s="1150">
        <v>1</v>
      </c>
      <c r="C5" s="1151" t="s">
        <v>1907</v>
      </c>
      <c r="D5" s="1152"/>
    </row>
    <row r="6" spans="1:4" s="669" customFormat="1" ht="14.25" customHeight="1">
      <c r="A6" s="1139"/>
      <c r="B6" s="1094">
        <f t="shared" ref="B6:B13" si="0">B5+1</f>
        <v>2</v>
      </c>
      <c r="C6" s="1095" t="s">
        <v>919</v>
      </c>
      <c r="D6" s="1096"/>
    </row>
    <row r="7" spans="1:4" s="669" customFormat="1" ht="12.75">
      <c r="A7" s="1139"/>
      <c r="B7" s="1094">
        <f t="shared" si="0"/>
        <v>3</v>
      </c>
      <c r="C7" s="2367" t="s">
        <v>1563</v>
      </c>
      <c r="D7" s="2368"/>
    </row>
    <row r="8" spans="1:4" s="669" customFormat="1" ht="12.75">
      <c r="A8" s="1139"/>
      <c r="B8" s="1094"/>
      <c r="C8" s="1097" t="s">
        <v>1562</v>
      </c>
      <c r="D8" s="1098"/>
    </row>
    <row r="9" spans="1:4" s="669" customFormat="1" ht="14.25" customHeight="1">
      <c r="A9" s="1139"/>
      <c r="B9" s="1094">
        <f>B7+1</f>
        <v>4</v>
      </c>
      <c r="C9" s="1095" t="s">
        <v>2008</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1564</v>
      </c>
      <c r="D14" s="1138"/>
    </row>
    <row r="15" spans="1:4" s="669" customFormat="1" ht="21.75" customHeight="1">
      <c r="A15" s="2359" t="s">
        <v>1065</v>
      </c>
      <c r="B15" s="2360"/>
      <c r="C15" s="2360"/>
      <c r="D15" s="2361"/>
    </row>
    <row r="16" spans="1:4" s="669" customFormat="1" ht="24" customHeight="1">
      <c r="A16" s="2362" t="s">
        <v>684</v>
      </c>
      <c r="B16" s="2363"/>
      <c r="C16" s="2363"/>
      <c r="D16" s="2364"/>
    </row>
    <row r="17" spans="1:10" s="669" customFormat="1" ht="12.95" customHeight="1">
      <c r="A17" s="1157" t="s">
        <v>1766</v>
      </c>
      <c r="B17" s="1158"/>
      <c r="C17" s="1159"/>
      <c r="D17" s="1160"/>
    </row>
    <row r="18" spans="1:10" s="669" customFormat="1" ht="12.95" customHeight="1">
      <c r="A18" s="1161" t="s">
        <v>1767</v>
      </c>
      <c r="B18" s="1162"/>
      <c r="C18" s="1163"/>
      <c r="D18" s="1164"/>
    </row>
    <row r="19" spans="1:10" ht="6.75" customHeight="1" thickBot="1">
      <c r="A19" s="1165"/>
      <c r="B19" s="1166"/>
      <c r="C19" s="1167"/>
      <c r="D19" s="1168"/>
    </row>
    <row r="20" spans="1:10" s="1172" customFormat="1" ht="12.75" thickTop="1">
      <c r="A20" s="1169"/>
      <c r="B20" s="1170" t="s">
        <v>1768</v>
      </c>
      <c r="C20" s="1171"/>
      <c r="D20" s="1174" t="s">
        <v>734</v>
      </c>
    </row>
    <row r="21" spans="1:10">
      <c r="A21" s="1099"/>
      <c r="B21" s="1100">
        <v>1</v>
      </c>
      <c r="C21" s="2371" t="s">
        <v>332</v>
      </c>
      <c r="D21" s="2372"/>
    </row>
    <row r="22" spans="1:10" ht="12.75">
      <c r="A22" s="1140"/>
      <c r="B22" s="1141">
        <v>2</v>
      </c>
      <c r="C22" s="2369" t="s">
        <v>1584</v>
      </c>
      <c r="D22" s="2370"/>
    </row>
    <row r="23" spans="1:10" ht="12.2" customHeight="1">
      <c r="A23" s="1140"/>
      <c r="B23" s="1141"/>
      <c r="C23" s="1142" t="s">
        <v>1011</v>
      </c>
      <c r="D23" s="1143" t="str">
        <f>IF(COVER!O11="X","CASH",IF(COVER!O12="X","ACCRUAL ","PLEASE CHECK AN ACCOUNTING BASIS."))</f>
        <v>CASH</v>
      </c>
    </row>
    <row r="24" spans="1:10" ht="12.2" customHeight="1">
      <c r="A24" s="1140"/>
      <c r="B24" s="1141"/>
      <c r="C24" s="1142" t="s">
        <v>1378</v>
      </c>
      <c r="D24" s="1143" t="str">
        <f>IF(COVER!O11="X","OK",IF(AND('Aud Quest 2'!J90=0,'Aud Quest 2'!I77&lt;DATE(2017,12,31)),"ENTER ACCOUNTING INFO",IF(AND('Aud Quest 2'!J90&gt;0,'Aud Quest 2'!I77&lt;DATE(2017,12,31)),"OK")))</f>
        <v>OK</v>
      </c>
    </row>
    <row r="25" spans="1:10">
      <c r="A25" s="1101"/>
      <c r="B25" s="1102"/>
      <c r="C25" s="1103" t="s">
        <v>1586</v>
      </c>
      <c r="D25" s="1104" t="str">
        <f>IF(AND(COVER!J29="X",COVER!J30="X",COVER!L30&lt;&gt;"X"),"OK",IF(AND(COVER!J29="X",COVER!J30&lt;&gt;"X",COVER!L30="X"),"OK",IF(AND(COVER!L29="X",COVER!J30&lt;&gt;"X"),"OK","PLEASE CHECK YES or NO.")))</f>
        <v>OK</v>
      </c>
    </row>
    <row r="26" spans="1:10">
      <c r="A26" s="1101"/>
      <c r="B26" s="1144"/>
      <c r="C26" s="1105" t="s">
        <v>1585</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OK</v>
      </c>
    </row>
    <row r="28" spans="1:10" ht="24" hidden="1" customHeight="1">
      <c r="A28" s="1107"/>
      <c r="B28" s="1144"/>
      <c r="C28" s="1103" t="s">
        <v>897</v>
      </c>
      <c r="D28" s="1108" t="b">
        <f>IF('Aud Quest 2'!B53="X",IF('Aud Quest 2'!F53&gt;"00/00/00 ","Enter Effective Date","ok"))</f>
        <v>0</v>
      </c>
    </row>
    <row r="29" spans="1:10">
      <c r="A29" s="1101"/>
      <c r="B29" s="1144"/>
      <c r="C29" s="1105" t="s">
        <v>1419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9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373" t="s">
        <v>557</v>
      </c>
      <c r="D43" s="2374"/>
    </row>
    <row r="44" spans="1:12">
      <c r="A44" s="1120"/>
      <c r="B44" s="1122"/>
      <c r="C44" s="1123" t="s">
        <v>1381</v>
      </c>
      <c r="D44" s="1124" t="str">
        <f>IF(SUM('Assets-Liab 5-6'!C13)&lt;&gt;SUM('Assets-Liab 5-6'!C41),"ERROR!","OK")</f>
        <v>OK</v>
      </c>
    </row>
    <row r="45" spans="1:12">
      <c r="A45" s="1120"/>
      <c r="B45" s="1122"/>
      <c r="C45" s="1123" t="s">
        <v>1382</v>
      </c>
      <c r="D45" s="1124" t="str">
        <f>IF(SUM('Assets-Liab 5-6'!D13)&lt;&gt;SUM('Assets-Liab 5-6'!D41),"ERROR!","OK")</f>
        <v>OK</v>
      </c>
    </row>
    <row r="46" spans="1:12">
      <c r="A46" s="1120"/>
      <c r="B46" s="1122"/>
      <c r="C46" s="1123" t="s">
        <v>1383</v>
      </c>
      <c r="D46" s="1124" t="str">
        <f>IF(SUM('Assets-Liab 5-6'!E13)&lt;&gt;SUM('Assets-Liab 5-6'!E41),"ERROR!","OK")</f>
        <v>OK</v>
      </c>
    </row>
    <row r="47" spans="1:12">
      <c r="A47" s="1120"/>
      <c r="B47" s="1122"/>
      <c r="C47" s="1123" t="s">
        <v>1384</v>
      </c>
      <c r="D47" s="1124" t="str">
        <f>IF(SUM('Assets-Liab 5-6'!F13)&lt;&gt;SUM('Assets-Liab 5-6'!F41),"ERROR!","OK")</f>
        <v>OK</v>
      </c>
    </row>
    <row r="48" spans="1:12">
      <c r="A48" s="1120"/>
      <c r="B48" s="1122"/>
      <c r="C48" s="1123" t="s">
        <v>1385</v>
      </c>
      <c r="D48" s="1124" t="str">
        <f>IF(SUM('Assets-Liab 5-6'!G13)&lt;&gt;SUM('Assets-Liab 5-6'!G41),"ERROR!","OK")</f>
        <v>OK</v>
      </c>
    </row>
    <row r="49" spans="1:4">
      <c r="A49" s="1120"/>
      <c r="B49" s="1122"/>
      <c r="C49" s="1123" t="s">
        <v>1386</v>
      </c>
      <c r="D49" s="1124" t="str">
        <f>IF(SUM('Assets-Liab 5-6'!H13)&lt;&gt;SUM('Assets-Liab 5-6'!H41),"ERROR!","OK")</f>
        <v>OK</v>
      </c>
    </row>
    <row r="50" spans="1:4">
      <c r="A50" s="1120"/>
      <c r="B50" s="1122"/>
      <c r="C50" s="1123" t="s">
        <v>1387</v>
      </c>
      <c r="D50" s="1124" t="str">
        <f>IF(SUM('Assets-Liab 5-6'!I13)&lt;&gt;SUM('Assets-Liab 5-6'!I41),"ERROR!","OK")</f>
        <v>OK</v>
      </c>
    </row>
    <row r="51" spans="1:4">
      <c r="A51" s="1120"/>
      <c r="B51" s="1122"/>
      <c r="C51" s="1123" t="s">
        <v>1388</v>
      </c>
      <c r="D51" s="1124" t="str">
        <f>IF(SUM('Assets-Liab 5-6'!J13)&lt;&gt;SUM('Assets-Liab 5-6'!J41),"ERROR!","OK")</f>
        <v>OK</v>
      </c>
    </row>
    <row r="52" spans="1:4">
      <c r="A52" s="1120"/>
      <c r="B52" s="1122"/>
      <c r="C52" s="1123" t="s">
        <v>1389</v>
      </c>
      <c r="D52" s="1124" t="str">
        <f>IF(SUM('Assets-Liab 5-6'!K13)&lt;&gt;SUM('Assets-Liab 5-6'!K41),"ERROR!","OK")</f>
        <v>OK</v>
      </c>
    </row>
    <row r="53" spans="1:4">
      <c r="A53" s="1120"/>
      <c r="B53" s="1122"/>
      <c r="C53" s="1123" t="s">
        <v>1390</v>
      </c>
      <c r="D53" s="1124" t="str">
        <f>IF(SUM('Assets-Liab 5-6'!L13)&lt;&gt;('Assets-Liab 5-6'!L41),"ERROR!","OK")</f>
        <v>OK</v>
      </c>
    </row>
    <row r="54" spans="1:4">
      <c r="A54" s="1120"/>
      <c r="B54" s="1122"/>
      <c r="C54" s="1123" t="s">
        <v>1391</v>
      </c>
      <c r="D54" s="1124" t="str">
        <f>IF(SUM('Assets-Liab 5-6'!M23)&lt;&gt;('Assets-Liab 5-6'!M41),"ERROR!","OK")</f>
        <v>OK</v>
      </c>
    </row>
    <row r="55" spans="1:4">
      <c r="A55" s="1120"/>
      <c r="B55" s="1122"/>
      <c r="C55" s="1123" t="s">
        <v>1392</v>
      </c>
      <c r="D55" s="1124" t="str">
        <f>IF(SUM('Assets-Liab 5-6'!N23)&lt;&gt;('Assets-Liab 5-6'!N41),"ERROR!","OK")</f>
        <v>OK</v>
      </c>
    </row>
    <row r="56" spans="1:4">
      <c r="A56" s="1101"/>
      <c r="B56" s="1121">
        <f>B43+1</f>
        <v>6</v>
      </c>
      <c r="C56" s="2365" t="s">
        <v>817</v>
      </c>
      <c r="D56" s="2366"/>
    </row>
    <row r="57" spans="1:4" s="1117" customFormat="1">
      <c r="A57" s="1101"/>
      <c r="B57" s="1111"/>
      <c r="C57" s="1119" t="s">
        <v>1393</v>
      </c>
      <c r="D57" s="1125" t="str">
        <f>IF('Assets-Liab 5-6'!C38+'Assets-Liab 5-6'!C39='Acct Summary 7-8'!C81,"OK","ERROR!")</f>
        <v>OK</v>
      </c>
    </row>
    <row r="58" spans="1:4">
      <c r="A58" s="1101"/>
      <c r="B58" s="1111"/>
      <c r="C58" s="1119" t="s">
        <v>1394</v>
      </c>
      <c r="D58" s="1125" t="str">
        <f>IF((('Assets-Liab 5-6'!D38+'Assets-Liab 5-6'!D39) ='Acct Summary 7-8'!D81), "OK", "ERROR!" )</f>
        <v>OK</v>
      </c>
    </row>
    <row r="59" spans="1:4" s="1117" customFormat="1">
      <c r="A59" s="1101"/>
      <c r="B59" s="1111"/>
      <c r="C59" s="1119" t="s">
        <v>1395</v>
      </c>
      <c r="D59" s="1125" t="str">
        <f>IF((('Assets-Liab 5-6'!E38 + 'Assets-Liab 5-6'!E39) ='Acct Summary 7-8'!E81), "OK", "ERROR!" )</f>
        <v>OK</v>
      </c>
    </row>
    <row r="60" spans="1:4">
      <c r="A60" s="1101"/>
      <c r="B60" s="1111"/>
      <c r="C60" s="1119" t="s">
        <v>1396</v>
      </c>
      <c r="D60" s="1125" t="str">
        <f>IF((('Assets-Liab 5-6'!F38 + 'Assets-Liab 5-6'!F39) ='Acct Summary 7-8'!F81), "OK", "ERROR!" )</f>
        <v>OK</v>
      </c>
    </row>
    <row r="61" spans="1:4" ht="12.95" customHeight="1">
      <c r="A61" s="1101"/>
      <c r="B61" s="1111"/>
      <c r="C61" s="1119" t="s">
        <v>1409</v>
      </c>
      <c r="D61" s="1125" t="str">
        <f>IF((('Assets-Liab 5-6'!G38 + 'Assets-Liab 5-6'!G39) ='Acct Summary 7-8'!G81), "OK", "ERROR!" )</f>
        <v>OK</v>
      </c>
    </row>
    <row r="62" spans="1:4">
      <c r="A62" s="1101"/>
      <c r="B62" s="1111"/>
      <c r="C62" s="1119" t="s">
        <v>1397</v>
      </c>
      <c r="D62" s="1125" t="str">
        <f>IF((('Assets-Liab 5-6'!H38 + 'Assets-Liab 5-6'!H39) ='Acct Summary 7-8'!H81), "OK", "ERROR!" )</f>
        <v>OK</v>
      </c>
    </row>
    <row r="63" spans="1:4" ht="12.95" customHeight="1">
      <c r="A63" s="1101"/>
      <c r="B63" s="1111"/>
      <c r="C63" s="1119" t="s">
        <v>1398</v>
      </c>
      <c r="D63" s="1125" t="str">
        <f>IF((('Assets-Liab 5-6'!I38 + 'Assets-Liab 5-6'!I39) ='Acct Summary 7-8'!I81), "OK", "ERROR!" )</f>
        <v>OK</v>
      </c>
    </row>
    <row r="64" spans="1:4">
      <c r="A64" s="1101"/>
      <c r="B64" s="1111"/>
      <c r="C64" s="1119" t="s">
        <v>1399</v>
      </c>
      <c r="D64" s="1125" t="str">
        <f>IF((('Assets-Liab 5-6'!J38 + 'Assets-Liab 5-6'!J39) ='Acct Summary 7-8'!J81), "OK", "ERROR!" )</f>
        <v>OK</v>
      </c>
    </row>
    <row r="65" spans="1:4">
      <c r="A65" s="1118"/>
      <c r="B65" s="1111"/>
      <c r="C65" s="1119" t="s">
        <v>1410</v>
      </c>
      <c r="D65" s="1125" t="str">
        <f>IF((('Assets-Liab 5-6'!K38 + 'Assets-Liab 5-6'!K39) ='Acct Summary 7-8'!K81), "OK", "ERROR!" )</f>
        <v>OK</v>
      </c>
    </row>
    <row r="66" spans="1:4">
      <c r="A66" s="1099"/>
      <c r="B66" s="1141">
        <f>B56+1+1</f>
        <v>8</v>
      </c>
      <c r="C66" s="1147" t="s">
        <v>2009</v>
      </c>
      <c r="D66" s="1126"/>
    </row>
    <row r="67" spans="1:4">
      <c r="A67" s="1120"/>
      <c r="B67" s="1141"/>
      <c r="C67" s="1148" t="s">
        <v>1079</v>
      </c>
      <c r="D67" s="1126"/>
    </row>
    <row r="68" spans="1:4">
      <c r="A68" s="1101"/>
      <c r="B68" s="1111"/>
      <c r="C68" s="1103" t="s">
        <v>2010</v>
      </c>
      <c r="D68" s="1125" t="str">
        <f>IF('Short-Term Long-Term Debt 24'!F49=SUM(,'Acct Summary 7-8'!C33:K33),"OK","ERROR!")</f>
        <v>OK</v>
      </c>
    </row>
    <row r="69" spans="1:4">
      <c r="A69" s="1101"/>
      <c r="B69" s="1111"/>
      <c r="C69" s="1103" t="s">
        <v>2011</v>
      </c>
      <c r="D69" s="1125" t="str">
        <f>IF('Expenditures 15-22'!H170&lt;&gt;'Short-Term Long-Term Debt 24'!H49,"ERROR!","OK")</f>
        <v>OK</v>
      </c>
    </row>
    <row r="70" spans="1:4">
      <c r="A70" s="1099"/>
      <c r="B70" s="1121">
        <f>B66+1</f>
        <v>9</v>
      </c>
      <c r="C70" s="2365" t="s">
        <v>1769</v>
      </c>
      <c r="D70" s="2366"/>
    </row>
    <row r="71" spans="1:4">
      <c r="A71" s="1099"/>
      <c r="B71" s="1121"/>
      <c r="C71" s="1103" t="s">
        <v>1400</v>
      </c>
      <c r="D71" s="1127" t="str">
        <f>IF(SUM('Acct Summary 7-8'!C27:K27) =SUM( 'Acct Summary 7-8'!C49:K49),"OK", "ERROR")</f>
        <v>OK</v>
      </c>
    </row>
    <row r="72" spans="1:4">
      <c r="A72" s="1101"/>
      <c r="B72" s="1111"/>
      <c r="C72" s="1119" t="s">
        <v>1401</v>
      </c>
      <c r="D72" s="1125" t="str">
        <f>IF(SUM('Acct Summary 7-8'!C28:K28)=SUM('Acct Summary 7-8'!C50:K50),"OK","ERROR!")</f>
        <v>OK</v>
      </c>
    </row>
    <row r="73" spans="1:4" ht="24">
      <c r="A73" s="1128"/>
      <c r="B73" s="1111"/>
      <c r="C73" s="1119" t="s">
        <v>1770</v>
      </c>
      <c r="D73" s="1127" t="str">
        <f>IF(SUM('Acct Summary 7-8'!C42:K42)&gt;=SUM( 'Acct Summary 7-8'!C74:K74),"OK", "ERROR")</f>
        <v>OK</v>
      </c>
    </row>
    <row r="74" spans="1:4">
      <c r="A74" s="1099"/>
      <c r="B74" s="1121">
        <f>B70+1</f>
        <v>10</v>
      </c>
      <c r="C74" s="1115" t="s">
        <v>2012</v>
      </c>
      <c r="D74" s="1129"/>
    </row>
    <row r="75" spans="1:4">
      <c r="A75" s="1101"/>
      <c r="B75" s="1111"/>
      <c r="C75" s="1119" t="s">
        <v>1423</v>
      </c>
      <c r="D75" s="1125" t="str">
        <f>IF(SUM('Assets-Liab 5-6'!C38:H38)&gt;=SUM('Rest Tax Levies-Tort Im 25'!G25:K25),"OK","ERROR")</f>
        <v>OK</v>
      </c>
    </row>
    <row r="76" spans="1:4">
      <c r="A76" s="1101"/>
      <c r="B76" s="1111"/>
      <c r="C76" s="1119" t="s">
        <v>1469</v>
      </c>
      <c r="D76" s="1125" t="str">
        <f>IF(SUM('Assets-Liab 5-6'!C39:K39)&gt;0,"OK","ENTRY IS REQUIRED!")</f>
        <v>OK</v>
      </c>
    </row>
    <row r="77" spans="1:4">
      <c r="A77" s="1101"/>
      <c r="B77" s="1130">
        <f>B74+1</f>
        <v>11</v>
      </c>
      <c r="C77" s="1175" t="s">
        <v>1424</v>
      </c>
      <c r="D77" s="1125"/>
    </row>
    <row r="78" spans="1:4">
      <c r="A78" s="1101"/>
      <c r="B78" s="1111"/>
      <c r="C78" s="1119" t="s">
        <v>2013</v>
      </c>
      <c r="D78" s="1125" t="str">
        <f>IF(ISNUMBER('Acct Summary 7-8'!C9),"OK","ENTRY IS REQUIRED!")</f>
        <v>OK</v>
      </c>
    </row>
    <row r="79" spans="1:4">
      <c r="A79" s="1120"/>
      <c r="B79" s="1121">
        <f>B74+1+1</f>
        <v>12</v>
      </c>
      <c r="C79" s="1131" t="s">
        <v>1978</v>
      </c>
      <c r="D79" s="1132" t="str">
        <f>IF(OR(COVER!$B$6="X",'PCTC-OEPP 27-28'!F78&gt;0),"OK","PLEASE ENTER 9 MO ADA.")</f>
        <v>OK</v>
      </c>
    </row>
    <row r="80" spans="1:4">
      <c r="A80" s="1099"/>
      <c r="B80" s="1121">
        <v>13</v>
      </c>
      <c r="C80" s="1131" t="s">
        <v>2014</v>
      </c>
      <c r="D80" s="1132" t="str">
        <f>IF('Contracts Paid in CY 29'!D35&gt;0,"OK","PLEASE ENTER CONTRACTS PAID IN CURRENT YEAR.")</f>
        <v>PLEASE ENTER CONTRACTS PAID IN CURRENT YEAR.</v>
      </c>
    </row>
    <row r="81" spans="1:4">
      <c r="A81" s="1099"/>
      <c r="B81" s="1121">
        <v>14</v>
      </c>
      <c r="C81" s="1131" t="s">
        <v>1475</v>
      </c>
      <c r="D81" s="1124" t="str">
        <f>IF('Shared Outsourced Services 31'!B8="X","OK",IF('Shared Outsourced Services 31'!K34&gt;0,"OK","ENTRY REQUIRED!"))</f>
        <v>OK</v>
      </c>
    </row>
    <row r="82" spans="1:4">
      <c r="A82" s="1120"/>
      <c r="B82" s="1121">
        <v>15</v>
      </c>
      <c r="C82" s="1131" t="s">
        <v>1474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35"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47098013002</v>
      </c>
    </row>
    <row r="3" spans="1:2">
      <c r="A3" t="s">
        <v>1013</v>
      </c>
      <c r="B3" s="138" t="str">
        <f>COVER!A15</f>
        <v>Whiteside</v>
      </c>
    </row>
    <row r="4" spans="1:2">
      <c r="A4" t="s">
        <v>1064</v>
      </c>
      <c r="B4" s="138" t="str">
        <f>COVER!A17</f>
        <v>Rock Falls Elem SD 13</v>
      </c>
    </row>
    <row r="5" spans="1:2">
      <c r="A5" t="s">
        <v>728</v>
      </c>
      <c r="B5" s="138" t="str">
        <f>COVER!A38</f>
        <v>Dan Arickx</v>
      </c>
    </row>
    <row r="6" spans="1:2">
      <c r="A6" t="s">
        <v>733</v>
      </c>
      <c r="B6" s="138">
        <f>COVER!P35</f>
        <v>0</v>
      </c>
    </row>
    <row r="7" spans="1:2">
      <c r="A7" t="s">
        <v>729</v>
      </c>
      <c r="B7" s="138">
        <f>COVER!I38</f>
        <v>0</v>
      </c>
    </row>
    <row r="8" spans="1:2">
      <c r="A8" t="s">
        <v>730</v>
      </c>
      <c r="B8" s="138">
        <f>COVER!T38</f>
        <v>0</v>
      </c>
    </row>
    <row r="9" spans="1:2">
      <c r="A9" s="3" t="s">
        <v>1014</v>
      </c>
      <c r="B9" s="158" t="str">
        <f>AUDITCHECK!D23</f>
        <v>CASH</v>
      </c>
    </row>
    <row r="10" spans="1:2">
      <c r="A10" t="s">
        <v>1033</v>
      </c>
      <c r="B10" s="138">
        <f>COVER!B5</f>
        <v>0</v>
      </c>
    </row>
    <row r="11" spans="1:2">
      <c r="A11" t="s">
        <v>1034</v>
      </c>
      <c r="B11" s="138">
        <f>COVER!B6</f>
        <v>0</v>
      </c>
    </row>
    <row r="12" spans="1:2">
      <c r="A12" s="1" t="s">
        <v>1603</v>
      </c>
      <c r="B12" s="138" t="str">
        <f>IF(COVER!J29="x","Yes",IF(COVER!L29="X","No",0))</f>
        <v>Yes</v>
      </c>
    </row>
    <row r="13" spans="1:2">
      <c r="A13" s="1" t="s">
        <v>1604</v>
      </c>
      <c r="B13" s="138" t="str">
        <f>IF(COVER!J30="x","Yes",IF(COVER!L30="x","No",0))</f>
        <v>Yes</v>
      </c>
    </row>
    <row r="14" spans="1:2">
      <c r="A14" t="s">
        <v>497</v>
      </c>
      <c r="B14" s="138" t="str">
        <f>IF(COVER!J31="x","Yes",IF(COVER!L31="x","No",0))</f>
        <v>Yes</v>
      </c>
    </row>
    <row r="15" spans="1:2">
      <c r="A15" t="s">
        <v>598</v>
      </c>
      <c r="B15" s="138" t="str">
        <f>COVER!T23</f>
        <v>066-004023</v>
      </c>
    </row>
    <row r="16" spans="1:2">
      <c r="A16" t="s">
        <v>442</v>
      </c>
      <c r="B16" s="138" t="str">
        <f>COVER!T13</f>
        <v>Wipfli LLP</v>
      </c>
    </row>
    <row r="17" spans="1:2">
      <c r="A17" t="s">
        <v>939</v>
      </c>
      <c r="B17" s="138" t="str">
        <f>COVER!T15</f>
        <v>Matthew J. Schueler</v>
      </c>
    </row>
    <row r="18" spans="1:2">
      <c r="A18" t="s">
        <v>1212</v>
      </c>
      <c r="B18" s="138" t="str">
        <f>COVER!T17</f>
        <v>403 East 3rd Street</v>
      </c>
    </row>
    <row r="19" spans="1:2">
      <c r="A19" t="s">
        <v>941</v>
      </c>
      <c r="B19" s="138" t="str">
        <f>COVER!T25</f>
        <v>mschueler@wipfli.com</v>
      </c>
    </row>
    <row r="20" spans="1:2">
      <c r="A20" t="s">
        <v>942</v>
      </c>
      <c r="B20" s="138" t="str">
        <f>COVER!T19</f>
        <v xml:space="preserve">Sterling </v>
      </c>
    </row>
    <row r="21" spans="1:2">
      <c r="A21" t="s">
        <v>500</v>
      </c>
      <c r="B21" s="138" t="str">
        <f>COVER!X19</f>
        <v>IL</v>
      </c>
    </row>
    <row r="22" spans="1:2">
      <c r="A22" t="s">
        <v>943</v>
      </c>
      <c r="B22" s="138">
        <f>COVER!Z19</f>
        <v>61081</v>
      </c>
    </row>
    <row r="23" spans="1:2">
      <c r="A23" t="s">
        <v>1214</v>
      </c>
      <c r="B23" s="138" t="str">
        <f>COVER!T21</f>
        <v>815-626-1277</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1539</v>
      </c>
      <c r="B49" s="138" t="str">
        <f>IF('Aud Quest 2'!B53="x","Yes",IF('Aud Quest 2'!B53&lt;&gt;"x","0"))</f>
        <v>0</v>
      </c>
    </row>
    <row r="50" spans="1:4">
      <c r="A50" s="1" t="s">
        <v>1538</v>
      </c>
      <c r="B50" s="150">
        <f>'Aud Quest 2'!H53</f>
        <v>0</v>
      </c>
    </row>
    <row r="51" spans="1:4">
      <c r="A51" s="1" t="s">
        <v>1540</v>
      </c>
      <c r="B51" s="138" t="str">
        <f>IF('Aud Quest 2'!B54="x","Yes",IF('Aud Quest 2'!B54&lt;&gt;"x","0"))</f>
        <v>Yes</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972</v>
      </c>
      <c r="D76" s="2" t="str">
        <f t="shared" si="0"/>
        <v>Error?</v>
      </c>
    </row>
    <row r="77" spans="1:4">
      <c r="A77" s="5">
        <v>16</v>
      </c>
      <c r="B77" s="138">
        <f>'Assets-Liab 5-6'!C13</f>
        <v>3828471</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3671484</v>
      </c>
      <c r="D92" s="2" t="str">
        <f t="shared" si="0"/>
        <v>Error?</v>
      </c>
    </row>
    <row r="93" spans="1:4">
      <c r="A93" s="5">
        <v>32</v>
      </c>
      <c r="B93" s="138">
        <f>'Assets-Liab 5-6'!C41</f>
        <v>3828471</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301859</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301859</v>
      </c>
      <c r="D123" s="2" t="str">
        <f t="shared" si="0"/>
        <v>Error?</v>
      </c>
    </row>
    <row r="124" spans="1:4">
      <c r="A124" s="5">
        <v>63</v>
      </c>
      <c r="B124" s="138">
        <f>'Assets-Liab 5-6'!D41</f>
        <v>301859</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77013</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77013</v>
      </c>
      <c r="D140" s="2" t="str">
        <f t="shared" si="1"/>
        <v>Error?</v>
      </c>
    </row>
    <row r="141" spans="1:4">
      <c r="A141" s="5">
        <v>80</v>
      </c>
      <c r="B141" s="138">
        <f>'Assets-Liab 5-6'!E41</f>
        <v>77013</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62771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62771</v>
      </c>
      <c r="D170" s="2" t="str">
        <f t="shared" si="1"/>
        <v>Error?</v>
      </c>
    </row>
    <row r="171" spans="1:4">
      <c r="A171" s="5">
        <v>110</v>
      </c>
      <c r="B171" s="138">
        <f>'Assets-Liab 5-6'!F41</f>
        <v>62771</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394</v>
      </c>
      <c r="D179" s="2" t="str">
        <f t="shared" si="1"/>
        <v>Error?</v>
      </c>
    </row>
    <row r="180" spans="1:4">
      <c r="A180" s="5">
        <v>119</v>
      </c>
      <c r="B180" s="138">
        <f>'Assets-Liab 5-6'!G13</f>
        <v>247024</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247024</v>
      </c>
      <c r="D189" s="2" t="str">
        <f t="shared" si="1"/>
        <v>Error?</v>
      </c>
    </row>
    <row r="190" spans="1:4">
      <c r="A190" s="5">
        <v>129</v>
      </c>
      <c r="B190" s="138">
        <f>'Assets-Liab 5-6'!G41</f>
        <v>247024</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336351</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308784</v>
      </c>
      <c r="D212" s="2" t="str">
        <f t="shared" si="2"/>
        <v>Error?</v>
      </c>
    </row>
    <row r="213" spans="1:4">
      <c r="A213" s="12">
        <v>152</v>
      </c>
      <c r="B213" s="138">
        <f>'Assets-Liab 5-6'!H41</f>
        <v>336351</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78800</v>
      </c>
      <c r="D273" s="2" t="str">
        <f t="shared" si="3"/>
        <v>Error?</v>
      </c>
    </row>
    <row r="274" spans="1:4">
      <c r="A274" s="5">
        <v>213</v>
      </c>
      <c r="B274" s="138">
        <f>'Assets-Liab 5-6'!M17</f>
        <v>8858172</v>
      </c>
      <c r="D274" s="2" t="str">
        <f t="shared" si="3"/>
        <v>Error?</v>
      </c>
    </row>
    <row r="275" spans="1:4">
      <c r="A275" s="5">
        <v>214</v>
      </c>
      <c r="B275" s="138">
        <f>'Assets-Liab 5-6'!M18</f>
        <v>4990</v>
      </c>
      <c r="D275" s="2" t="str">
        <f t="shared" si="3"/>
        <v>Error?</v>
      </c>
    </row>
    <row r="276" spans="1:4">
      <c r="A276" s="5">
        <v>215</v>
      </c>
      <c r="B276" s="138">
        <f>'Assets-Liab 5-6'!M19</f>
        <v>553185</v>
      </c>
      <c r="D276" s="2" t="str">
        <f t="shared" si="3"/>
        <v>Error?</v>
      </c>
    </row>
    <row r="277" spans="1:4">
      <c r="A277" s="10">
        <v>216</v>
      </c>
      <c r="D277" s="2" t="str">
        <f t="shared" si="3"/>
        <v>OK</v>
      </c>
    </row>
    <row r="278" spans="1:4">
      <c r="A278" s="10">
        <v>217</v>
      </c>
      <c r="D278" s="2" t="str">
        <f t="shared" si="3"/>
        <v>OK</v>
      </c>
    </row>
    <row r="279" spans="1:4">
      <c r="A279" s="5">
        <v>218</v>
      </c>
      <c r="B279" s="138">
        <f>'Assets-Liab 5-6'!M23</f>
        <v>9495147</v>
      </c>
      <c r="C279" s="2" t="s">
        <v>594</v>
      </c>
      <c r="D279" s="2" t="str">
        <f t="shared" si="3"/>
        <v>Error?</v>
      </c>
    </row>
    <row r="280" spans="1:4">
      <c r="A280" s="5">
        <v>219</v>
      </c>
      <c r="B280" s="138">
        <f>'Assets-Liab 5-6'!M40</f>
        <v>9495147</v>
      </c>
      <c r="D280" s="2" t="str">
        <f t="shared" si="3"/>
        <v>Error?</v>
      </c>
    </row>
    <row r="281" spans="1:4">
      <c r="A281" s="5">
        <v>220</v>
      </c>
      <c r="B281" s="138">
        <f>'Assets-Liab 5-6'!M41</f>
        <v>9495147</v>
      </c>
      <c r="C281" s="2" t="s">
        <v>594</v>
      </c>
      <c r="D281" s="2" t="str">
        <f t="shared" si="3"/>
        <v>Error?</v>
      </c>
    </row>
    <row r="282" spans="1:4">
      <c r="A282" s="5">
        <v>221</v>
      </c>
      <c r="B282" s="138">
        <f>'Assets-Liab 5-6'!N21</f>
        <v>77013</v>
      </c>
      <c r="D282" s="2" t="str">
        <f t="shared" si="3"/>
        <v>Error?</v>
      </c>
    </row>
    <row r="283" spans="1:4">
      <c r="A283" s="5">
        <v>222</v>
      </c>
      <c r="B283" s="138">
        <f>'Assets-Liab 5-6'!N22</f>
        <v>3349987</v>
      </c>
      <c r="D283" s="2" t="str">
        <f t="shared" si="3"/>
        <v>Error?</v>
      </c>
    </row>
    <row r="284" spans="1:4">
      <c r="A284" s="5">
        <v>223</v>
      </c>
      <c r="B284" s="138">
        <f>'Assets-Liab 5-6'!N23</f>
        <v>3427000</v>
      </c>
      <c r="C284" s="2" t="s">
        <v>594</v>
      </c>
      <c r="D284" s="2" t="str">
        <f t="shared" si="3"/>
        <v>Error?</v>
      </c>
    </row>
    <row r="285" spans="1:4">
      <c r="A285" s="5">
        <v>224</v>
      </c>
      <c r="B285" s="138">
        <f>'Assets-Liab 5-6'!N36</f>
        <v>3427000</v>
      </c>
      <c r="D285" s="2" t="str">
        <f t="shared" si="3"/>
        <v>Error?</v>
      </c>
    </row>
    <row r="286" spans="1:4">
      <c r="A286" s="10">
        <v>225</v>
      </c>
      <c r="D286" s="2" t="str">
        <f t="shared" si="3"/>
        <v>OK</v>
      </c>
    </row>
    <row r="287" spans="1:4">
      <c r="A287" s="5">
        <v>226</v>
      </c>
      <c r="B287" s="138">
        <f>'Assets-Liab 5-6'!N37</f>
        <v>3427000</v>
      </c>
      <c r="C287" s="2" t="s">
        <v>594</v>
      </c>
      <c r="D287" s="2" t="str">
        <f t="shared" si="3"/>
        <v>Error?</v>
      </c>
    </row>
    <row r="288" spans="1:4">
      <c r="A288" s="5">
        <v>227</v>
      </c>
      <c r="B288" s="138">
        <f>'Assets-Liab 5-6'!N41</f>
        <v>3427000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2734986</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67496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96796</v>
      </c>
      <c r="D718" s="2" t="str">
        <f t="shared" si="10"/>
        <v>Error?</v>
      </c>
    </row>
    <row r="719" spans="1:4">
      <c r="A719" s="5">
        <v>658</v>
      </c>
      <c r="B719" s="138">
        <f>'Expenditures 15-22'!C15</f>
        <v>0</v>
      </c>
      <c r="D719" s="2" t="str">
        <f t="shared" si="10"/>
        <v>Error?</v>
      </c>
    </row>
    <row r="720" spans="1:4">
      <c r="A720" s="5">
        <v>659</v>
      </c>
      <c r="B720" s="138">
        <f>'Expenditures 15-22'!C33</f>
        <v>4116793</v>
      </c>
      <c r="C720" s="2" t="s">
        <v>594</v>
      </c>
      <c r="D720" s="2" t="str">
        <f t="shared" si="10"/>
        <v>Error?</v>
      </c>
    </row>
    <row r="721" spans="1:4">
      <c r="A721" s="5">
        <v>660</v>
      </c>
      <c r="B721" s="138">
        <f>'Expenditures 15-22'!C36</f>
        <v>71635</v>
      </c>
      <c r="D721" s="2" t="str">
        <f t="shared" si="10"/>
        <v>Error?</v>
      </c>
    </row>
    <row r="722" spans="1:4">
      <c r="A722" s="5">
        <v>661</v>
      </c>
      <c r="B722" s="138">
        <f>'Expenditures 15-22'!C37</f>
        <v>94474</v>
      </c>
      <c r="D722" s="2" t="str">
        <f t="shared" si="10"/>
        <v>Error?</v>
      </c>
    </row>
    <row r="723" spans="1:4">
      <c r="A723" s="5">
        <v>662</v>
      </c>
      <c r="B723" s="138">
        <f>'Expenditures 15-22'!C38</f>
        <v>91171</v>
      </c>
      <c r="D723" s="2" t="str">
        <f t="shared" si="10"/>
        <v>Error?</v>
      </c>
    </row>
    <row r="724" spans="1:4">
      <c r="A724" s="5">
        <v>663</v>
      </c>
      <c r="B724" s="138">
        <f>'Expenditures 15-22'!C39</f>
        <v>0</v>
      </c>
      <c r="D724" s="2" t="str">
        <f t="shared" si="10"/>
        <v>Error?</v>
      </c>
    </row>
    <row r="725" spans="1:4">
      <c r="A725" s="5">
        <v>664</v>
      </c>
      <c r="B725" s="138">
        <f>'Expenditures 15-22'!C40</f>
        <v>159246</v>
      </c>
      <c r="D725" s="2" t="str">
        <f t="shared" si="10"/>
        <v>Error?</v>
      </c>
    </row>
    <row r="726" spans="1:4">
      <c r="A726" s="5">
        <v>665</v>
      </c>
      <c r="B726" s="138">
        <f>'Expenditures 15-22'!C41</f>
        <v>0</v>
      </c>
      <c r="D726" s="2" t="str">
        <f t="shared" si="10"/>
        <v>Error?</v>
      </c>
    </row>
    <row r="727" spans="1:4">
      <c r="A727" s="5">
        <v>666</v>
      </c>
      <c r="B727" s="138">
        <f>'Expenditures 15-22'!C42</f>
        <v>416526</v>
      </c>
      <c r="C727" s="2" t="s">
        <v>594</v>
      </c>
      <c r="D727" s="2" t="str">
        <f t="shared" si="10"/>
        <v>Error?</v>
      </c>
    </row>
    <row r="728" spans="1:4">
      <c r="A728" s="5">
        <v>667</v>
      </c>
      <c r="B728" s="138">
        <f>'Expenditures 15-22'!C44</f>
        <v>86117</v>
      </c>
      <c r="D728" s="2" t="str">
        <f t="shared" si="10"/>
        <v>Error?</v>
      </c>
    </row>
    <row r="729" spans="1:4">
      <c r="A729" s="5">
        <v>668</v>
      </c>
      <c r="B729" s="138">
        <f>'Expenditures 15-22'!C45</f>
        <v>2454</v>
      </c>
      <c r="D729" s="2" t="str">
        <f t="shared" si="10"/>
        <v>Error?</v>
      </c>
    </row>
    <row r="730" spans="1:4">
      <c r="A730" s="5">
        <v>669</v>
      </c>
      <c r="B730" s="138">
        <f>'Expenditures 15-22'!C46</f>
        <v>0</v>
      </c>
      <c r="D730" s="2" t="str">
        <f t="shared" si="10"/>
        <v>Error?</v>
      </c>
    </row>
    <row r="731" spans="1:4">
      <c r="A731" s="5">
        <v>670</v>
      </c>
      <c r="B731" s="138">
        <f>'Expenditures 15-22'!C47</f>
        <v>88571</v>
      </c>
      <c r="C731" s="2" t="s">
        <v>594</v>
      </c>
      <c r="D731" s="2" t="str">
        <f t="shared" si="10"/>
        <v>Error?</v>
      </c>
    </row>
    <row r="732" spans="1:4">
      <c r="A732" s="5">
        <v>671</v>
      </c>
      <c r="B732" s="138">
        <f>'Expenditures 15-22'!C49</f>
        <v>1949</v>
      </c>
      <c r="D732" s="2" t="str">
        <f t="shared" si="10"/>
        <v>Error?</v>
      </c>
    </row>
    <row r="733" spans="1:4">
      <c r="A733" s="5">
        <v>672</v>
      </c>
      <c r="B733" s="138">
        <f>'Expenditures 15-22'!C50</f>
        <v>200509</v>
      </c>
      <c r="D733" s="2" t="str">
        <f t="shared" si="10"/>
        <v>Error?</v>
      </c>
    </row>
    <row r="734" spans="1:4">
      <c r="A734" s="5">
        <v>673</v>
      </c>
      <c r="B734" s="138">
        <f>'Expenditures 15-22'!C53</f>
        <v>202458</v>
      </c>
      <c r="C734" s="2" t="s">
        <v>594</v>
      </c>
      <c r="D734" s="2" t="str">
        <f t="shared" si="10"/>
        <v>Error?</v>
      </c>
    </row>
    <row r="735" spans="1:4">
      <c r="A735" s="5">
        <v>674</v>
      </c>
      <c r="B735" s="138">
        <f>'Expenditures 15-22'!C55</f>
        <v>430912</v>
      </c>
      <c r="D735" s="2" t="str">
        <f t="shared" si="10"/>
        <v>Error?</v>
      </c>
    </row>
    <row r="736" spans="1:4">
      <c r="A736" s="5">
        <v>675</v>
      </c>
      <c r="B736" s="138">
        <f>'Expenditures 15-22'!C56</f>
        <v>0</v>
      </c>
      <c r="D736" s="2" t="str">
        <f t="shared" si="10"/>
        <v>Error?</v>
      </c>
    </row>
    <row r="737" spans="1:4">
      <c r="A737" s="5">
        <v>676</v>
      </c>
      <c r="B737" s="138">
        <f>'Expenditures 15-22'!C57</f>
        <v>430912</v>
      </c>
      <c r="C737" s="2" t="s">
        <v>594</v>
      </c>
      <c r="D737" s="2" t="str">
        <f t="shared" si="10"/>
        <v>Error?</v>
      </c>
    </row>
    <row r="738" spans="1:4">
      <c r="A738" s="5">
        <v>677</v>
      </c>
      <c r="B738" s="138">
        <f>'Expenditures 15-22'!C59</f>
        <v>0</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272616</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272616</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594</v>
      </c>
      <c r="D753" s="2" t="str">
        <f t="shared" si="10"/>
        <v>Error?</v>
      </c>
    </row>
    <row r="754" spans="1:4">
      <c r="A754" s="5">
        <v>693</v>
      </c>
      <c r="B754" s="138">
        <f>'Expenditures 15-22'!C73</f>
        <v>0</v>
      </c>
      <c r="D754" s="2" t="str">
        <f t="shared" si="10"/>
        <v>Error?</v>
      </c>
    </row>
    <row r="755" spans="1:4">
      <c r="A755" s="5">
        <v>694</v>
      </c>
      <c r="B755" s="138">
        <f>'Expenditures 15-22'!C74</f>
        <v>1411083</v>
      </c>
      <c r="C755" s="2" t="s">
        <v>594</v>
      </c>
      <c r="D755" s="2" t="str">
        <f t="shared" si="10"/>
        <v>Error?</v>
      </c>
    </row>
    <row r="756" spans="1:4">
      <c r="A756" s="5">
        <v>695</v>
      </c>
      <c r="B756" s="138">
        <f>'Expenditures 15-22'!C75</f>
        <v>18119</v>
      </c>
      <c r="D756" s="2" t="str">
        <f t="shared" si="10"/>
        <v>Error?</v>
      </c>
    </row>
    <row r="757" spans="1:4">
      <c r="A757" s="5">
        <v>696</v>
      </c>
      <c r="B757" s="138">
        <f>'Expenditures 15-22'!C114</f>
        <v>5545995</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767236</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14237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29416</v>
      </c>
      <c r="D776" s="2" t="str">
        <f t="shared" si="11"/>
        <v>Error?</v>
      </c>
    </row>
    <row r="777" spans="1:4">
      <c r="A777" s="5">
        <v>716</v>
      </c>
      <c r="B777" s="138">
        <f>'Expenditures 15-22'!D15</f>
        <v>0</v>
      </c>
      <c r="D777" s="2" t="str">
        <f t="shared" si="11"/>
        <v>Error?</v>
      </c>
    </row>
    <row r="778" spans="1:4">
      <c r="A778" s="5">
        <v>717</v>
      </c>
      <c r="B778" s="138">
        <f>'Expenditures 15-22'!D33</f>
        <v>1073736</v>
      </c>
      <c r="C778" s="2" t="s">
        <v>594</v>
      </c>
      <c r="D778" s="2" t="str">
        <f t="shared" si="11"/>
        <v>Error?</v>
      </c>
    </row>
    <row r="779" spans="1:4">
      <c r="A779" s="5">
        <v>718</v>
      </c>
      <c r="B779" s="138">
        <f>'Expenditures 15-22'!D36</f>
        <v>8704</v>
      </c>
      <c r="D779" s="2" t="str">
        <f t="shared" si="11"/>
        <v>Error?</v>
      </c>
    </row>
    <row r="780" spans="1:4">
      <c r="A780" s="5">
        <v>719</v>
      </c>
      <c r="B780" s="138">
        <f>'Expenditures 15-22'!D37</f>
        <v>18492</v>
      </c>
      <c r="D780" s="2" t="str">
        <f t="shared" si="11"/>
        <v>Error?</v>
      </c>
    </row>
    <row r="781" spans="1:4">
      <c r="A781" s="5">
        <v>720</v>
      </c>
      <c r="B781" s="138">
        <f>'Expenditures 15-22'!D38</f>
        <v>7065</v>
      </c>
      <c r="D781" s="2" t="str">
        <f t="shared" si="11"/>
        <v>Error?</v>
      </c>
    </row>
    <row r="782" spans="1:4">
      <c r="A782" s="5">
        <v>721</v>
      </c>
      <c r="B782" s="138">
        <f>'Expenditures 15-22'!D39</f>
        <v>0</v>
      </c>
      <c r="D782" s="2" t="str">
        <f t="shared" si="11"/>
        <v>Error?</v>
      </c>
    </row>
    <row r="783" spans="1:4">
      <c r="A783" s="5">
        <v>722</v>
      </c>
      <c r="B783" s="138">
        <f>'Expenditures 15-22'!D40</f>
        <v>38536</v>
      </c>
      <c r="D783" s="2" t="str">
        <f t="shared" si="11"/>
        <v>Error?</v>
      </c>
    </row>
    <row r="784" spans="1:4">
      <c r="A784" s="5">
        <v>723</v>
      </c>
      <c r="B784" s="138">
        <f>'Expenditures 15-22'!D41</f>
        <v>0</v>
      </c>
      <c r="D784" s="2" t="str">
        <f t="shared" si="11"/>
        <v>Error?</v>
      </c>
    </row>
    <row r="785" spans="1:4">
      <c r="A785" s="5">
        <v>724</v>
      </c>
      <c r="B785" s="138">
        <f>'Expenditures 15-22'!D42</f>
        <v>72797</v>
      </c>
      <c r="C785" s="2" t="s">
        <v>594</v>
      </c>
      <c r="D785" s="2" t="str">
        <f t="shared" si="11"/>
        <v>Error?</v>
      </c>
    </row>
    <row r="786" spans="1:4">
      <c r="A786" s="5">
        <v>725</v>
      </c>
      <c r="B786" s="138">
        <f>'Expenditures 15-22'!D44</f>
        <v>30063</v>
      </c>
      <c r="D786" s="2" t="str">
        <f t="shared" si="11"/>
        <v>Error?</v>
      </c>
    </row>
    <row r="787" spans="1:4">
      <c r="A787" s="5">
        <v>726</v>
      </c>
      <c r="B787" s="138">
        <f>'Expenditures 15-22'!D45</f>
        <v>332</v>
      </c>
      <c r="D787" s="2" t="str">
        <f t="shared" si="11"/>
        <v>Error?</v>
      </c>
    </row>
    <row r="788" spans="1:4">
      <c r="A788" s="5">
        <v>727</v>
      </c>
      <c r="B788" s="138">
        <f>'Expenditures 15-22'!D46</f>
        <v>0</v>
      </c>
      <c r="D788" s="2" t="str">
        <f t="shared" si="11"/>
        <v>Error?</v>
      </c>
    </row>
    <row r="789" spans="1:4">
      <c r="A789" s="5">
        <v>728</v>
      </c>
      <c r="B789" s="138">
        <f>'Expenditures 15-22'!D47</f>
        <v>30395</v>
      </c>
      <c r="C789" s="2" t="s">
        <v>594</v>
      </c>
      <c r="D789" s="2" t="str">
        <f t="shared" si="11"/>
        <v>Error?</v>
      </c>
    </row>
    <row r="790" spans="1:4">
      <c r="A790" s="5">
        <v>729</v>
      </c>
      <c r="B790" s="138">
        <f>'Expenditures 15-22'!D49</f>
        <v>0</v>
      </c>
      <c r="D790" s="2" t="str">
        <f t="shared" si="11"/>
        <v>Error?</v>
      </c>
    </row>
    <row r="791" spans="1:4">
      <c r="A791" s="5">
        <v>730</v>
      </c>
      <c r="B791" s="138">
        <f>'Expenditures 15-22'!D50</f>
        <v>62126</v>
      </c>
      <c r="D791" s="2" t="str">
        <f t="shared" si="11"/>
        <v>Error?</v>
      </c>
    </row>
    <row r="792" spans="1:4">
      <c r="A792" s="5">
        <v>731</v>
      </c>
      <c r="B792" s="138">
        <f>'Expenditures 15-22'!D53</f>
        <v>62126</v>
      </c>
      <c r="C792" s="2" t="s">
        <v>594</v>
      </c>
      <c r="D792" s="2" t="str">
        <f t="shared" si="11"/>
        <v>Error?</v>
      </c>
    </row>
    <row r="793" spans="1:4">
      <c r="A793" s="5">
        <v>732</v>
      </c>
      <c r="B793" s="138">
        <f>'Expenditures 15-22'!D55</f>
        <v>170421</v>
      </c>
      <c r="D793" s="2" t="str">
        <f t="shared" si="11"/>
        <v>Error?</v>
      </c>
    </row>
    <row r="794" spans="1:4">
      <c r="A794" s="5">
        <v>733</v>
      </c>
      <c r="B794" s="138">
        <f>'Expenditures 15-22'!D56</f>
        <v>0</v>
      </c>
      <c r="D794" s="2" t="str">
        <f t="shared" si="11"/>
        <v>Error?</v>
      </c>
    </row>
    <row r="795" spans="1:4">
      <c r="A795" s="5">
        <v>734</v>
      </c>
      <c r="B795" s="138">
        <f>'Expenditures 15-22'!D57</f>
        <v>170421</v>
      </c>
      <c r="C795" s="2" t="s">
        <v>594</v>
      </c>
      <c r="D795" s="2" t="str">
        <f t="shared" si="11"/>
        <v>Error?</v>
      </c>
    </row>
    <row r="796" spans="1:4">
      <c r="A796" s="5">
        <v>735</v>
      </c>
      <c r="B796" s="138">
        <f>'Expenditures 15-22'!D59</f>
        <v>0</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22909</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22909</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358648</v>
      </c>
      <c r="C813" s="2" t="s">
        <v>594</v>
      </c>
      <c r="D813" s="2" t="str">
        <f t="shared" si="11"/>
        <v>Error?</v>
      </c>
    </row>
    <row r="814" spans="1:4">
      <c r="A814" s="5">
        <v>753</v>
      </c>
      <c r="B814" s="138">
        <f>'Expenditures 15-22'!D75</f>
        <v>19600</v>
      </c>
      <c r="D814" s="2" t="str">
        <f t="shared" si="11"/>
        <v>Error?</v>
      </c>
    </row>
    <row r="815" spans="1:4">
      <c r="A815" s="5">
        <v>754</v>
      </c>
      <c r="B815" s="138">
        <f>'Expenditures 15-22'!D114</f>
        <v>1451984</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77247</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95</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4532</v>
      </c>
      <c r="D834" s="2" t="str">
        <f t="shared" si="12"/>
        <v>Error?</v>
      </c>
    </row>
    <row r="835" spans="1:4">
      <c r="A835" s="5">
        <v>774</v>
      </c>
      <c r="B835" s="138">
        <f>'Expenditures 15-22'!E15</f>
        <v>0</v>
      </c>
      <c r="D835" s="2" t="str">
        <f t="shared" si="12"/>
        <v>Error?</v>
      </c>
    </row>
    <row r="836" spans="1:4">
      <c r="A836" s="5">
        <v>775</v>
      </c>
      <c r="B836" s="138">
        <f>'Expenditures 15-22'!E33</f>
        <v>190919</v>
      </c>
      <c r="C836" s="2" t="s">
        <v>594</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161</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161</v>
      </c>
      <c r="C843" s="2" t="s">
        <v>594</v>
      </c>
      <c r="D843" s="2" t="str">
        <f t="shared" si="12"/>
        <v>Error?</v>
      </c>
    </row>
    <row r="844" spans="1:4">
      <c r="A844" s="5">
        <v>783</v>
      </c>
      <c r="B844" s="138">
        <f>'Expenditures 15-22'!E44</f>
        <v>0</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0</v>
      </c>
      <c r="C847" s="2" t="s">
        <v>594</v>
      </c>
      <c r="D847" s="2" t="str">
        <f t="shared" si="12"/>
        <v>Error?</v>
      </c>
    </row>
    <row r="848" spans="1:4">
      <c r="A848" s="5">
        <v>787</v>
      </c>
      <c r="B848" s="138">
        <f>'Expenditures 15-22'!E49</f>
        <v>20607</v>
      </c>
      <c r="D848" s="2" t="str">
        <f t="shared" si="12"/>
        <v>Error?</v>
      </c>
    </row>
    <row r="849" spans="1:4">
      <c r="A849" s="5">
        <v>788</v>
      </c>
      <c r="B849" s="138">
        <f>'Expenditures 15-22'!E50</f>
        <v>46291</v>
      </c>
      <c r="D849" s="2" t="str">
        <f t="shared" si="12"/>
        <v>Error?</v>
      </c>
    </row>
    <row r="850" spans="1:4">
      <c r="A850" s="5">
        <v>789</v>
      </c>
      <c r="B850" s="138">
        <f>'Expenditures 15-22'!E53</f>
        <v>66898</v>
      </c>
      <c r="C850" s="2" t="s">
        <v>594</v>
      </c>
      <c r="D850" s="2" t="str">
        <f t="shared" si="12"/>
        <v>Error?</v>
      </c>
    </row>
    <row r="851" spans="1:4">
      <c r="A851" s="5">
        <v>790</v>
      </c>
      <c r="B851" s="138">
        <f>'Expenditures 15-22'!E55</f>
        <v>10632</v>
      </c>
      <c r="D851" s="2" t="str">
        <f t="shared" si="12"/>
        <v>Error?</v>
      </c>
    </row>
    <row r="852" spans="1:4">
      <c r="A852" s="5">
        <v>791</v>
      </c>
      <c r="B852" s="138">
        <f>'Expenditures 15-22'!E56</f>
        <v>0</v>
      </c>
      <c r="D852" s="2" t="str">
        <f t="shared" si="12"/>
        <v>Error?</v>
      </c>
    </row>
    <row r="853" spans="1:4">
      <c r="A853" s="5">
        <v>792</v>
      </c>
      <c r="B853" s="138">
        <f>'Expenditures 15-22'!E57</f>
        <v>10632</v>
      </c>
      <c r="C853" s="2" t="s">
        <v>594</v>
      </c>
      <c r="D853" s="2" t="str">
        <f t="shared" si="12"/>
        <v>Error?</v>
      </c>
    </row>
    <row r="854" spans="1:4">
      <c r="A854" s="5">
        <v>793</v>
      </c>
      <c r="B854" s="138">
        <f>'Expenditures 15-22'!E59</f>
        <v>0</v>
      </c>
      <c r="D854" s="2" t="str">
        <f t="shared" si="12"/>
        <v>Error?</v>
      </c>
    </row>
    <row r="855" spans="1:4">
      <c r="A855" s="5">
        <v>794</v>
      </c>
      <c r="B855" s="138">
        <f>'Expenditures 15-22'!E60</f>
        <v>0</v>
      </c>
      <c r="D855" s="2" t="str">
        <f t="shared" si="12"/>
        <v>Error?</v>
      </c>
    </row>
    <row r="856" spans="1:4">
      <c r="A856" s="5">
        <v>795</v>
      </c>
      <c r="B856" s="138">
        <f>'Expenditures 15-22'!E61</f>
        <v>13619</v>
      </c>
      <c r="D856" s="2" t="str">
        <f t="shared" si="12"/>
        <v>Error?</v>
      </c>
    </row>
    <row r="857" spans="1:4">
      <c r="A857" s="5">
        <v>796</v>
      </c>
      <c r="B857" s="138">
        <f>'Expenditures 15-22'!E62</f>
        <v>0</v>
      </c>
      <c r="D857" s="2" t="str">
        <f t="shared" si="12"/>
        <v>Error?</v>
      </c>
    </row>
    <row r="858" spans="1:4">
      <c r="A858" s="5">
        <v>797</v>
      </c>
      <c r="B858" s="138">
        <f>'Expenditures 15-22'!E63</f>
        <v>14505</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28124</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526</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526</v>
      </c>
      <c r="C869" s="2" t="s">
        <v>594</v>
      </c>
      <c r="D869" s="2" t="str">
        <f t="shared" si="12"/>
        <v>Error?</v>
      </c>
    </row>
    <row r="870" spans="1:4">
      <c r="A870" s="5">
        <v>809</v>
      </c>
      <c r="B870" s="138">
        <f>'Expenditures 15-22'!E73</f>
        <v>0</v>
      </c>
      <c r="D870" s="2" t="str">
        <f t="shared" si="12"/>
        <v>Error?</v>
      </c>
    </row>
    <row r="871" spans="1:4">
      <c r="A871" s="5">
        <v>810</v>
      </c>
      <c r="B871" s="138">
        <f>'Expenditures 15-22'!E74</f>
        <v>106341</v>
      </c>
      <c r="C871" s="2" t="s">
        <v>594</v>
      </c>
      <c r="D871" s="2" t="str">
        <f t="shared" si="12"/>
        <v>Error?</v>
      </c>
    </row>
    <row r="872" spans="1:4">
      <c r="A872" s="5">
        <v>811</v>
      </c>
      <c r="B872" s="138">
        <f>'Expenditures 15-22'!E75</f>
        <v>0</v>
      </c>
      <c r="D872" s="2" t="str">
        <f t="shared" si="12"/>
        <v>Error?</v>
      </c>
    </row>
    <row r="873" spans="1:4">
      <c r="A873" s="5">
        <v>812</v>
      </c>
      <c r="B873" s="138">
        <f>'Expenditures 15-22'!E114</f>
        <v>297260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94000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522</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14945</v>
      </c>
      <c r="D892" s="2" t="str">
        <f t="shared" si="12"/>
        <v>Error?</v>
      </c>
    </row>
    <row r="893" spans="1:4">
      <c r="A893" s="5">
        <v>832</v>
      </c>
      <c r="B893" s="138">
        <f>'Expenditures 15-22'!F15</f>
        <v>0</v>
      </c>
      <c r="D893" s="2" t="str">
        <f t="shared" si="12"/>
        <v>Error?</v>
      </c>
    </row>
    <row r="894" spans="1:4">
      <c r="A894" s="5">
        <v>833</v>
      </c>
      <c r="B894" s="138">
        <f>'Expenditures 15-22'!F33</f>
        <v>267771</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1754</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1754</v>
      </c>
      <c r="C901" s="2" t="s">
        <v>594</v>
      </c>
      <c r="D901" s="2" t="str">
        <f t="shared" si="13"/>
        <v>Error?</v>
      </c>
    </row>
    <row r="902" spans="1:4">
      <c r="A902" s="5">
        <v>841</v>
      </c>
      <c r="B902" s="138">
        <f>'Expenditures 15-22'!F44</f>
        <v>13873</v>
      </c>
      <c r="D902" s="2" t="str">
        <f t="shared" si="13"/>
        <v>Error?</v>
      </c>
    </row>
    <row r="903" spans="1:4">
      <c r="A903" s="5">
        <v>842</v>
      </c>
      <c r="B903" s="138">
        <f>'Expenditures 15-22'!F45</f>
        <v>2773</v>
      </c>
      <c r="D903" s="2" t="str">
        <f t="shared" si="13"/>
        <v>Error?</v>
      </c>
    </row>
    <row r="904" spans="1:4">
      <c r="A904" s="5">
        <v>843</v>
      </c>
      <c r="B904" s="138">
        <f>'Expenditures 15-22'!F46</f>
        <v>0</v>
      </c>
      <c r="D904" s="2" t="str">
        <f t="shared" si="13"/>
        <v>Error?</v>
      </c>
    </row>
    <row r="905" spans="1:4">
      <c r="A905" s="5">
        <v>844</v>
      </c>
      <c r="B905" s="138">
        <f>'Expenditures 15-22'!F47</f>
        <v>16646</v>
      </c>
      <c r="C905" s="2" t="s">
        <v>594</v>
      </c>
      <c r="D905" s="2" t="str">
        <f t="shared" si="13"/>
        <v>Error?</v>
      </c>
    </row>
    <row r="906" spans="1:4">
      <c r="A906" s="5">
        <v>845</v>
      </c>
      <c r="B906" s="138">
        <f>'Expenditures 15-22'!F49</f>
        <v>0</v>
      </c>
      <c r="D906" s="2" t="str">
        <f t="shared" si="13"/>
        <v>Error?</v>
      </c>
    </row>
    <row r="907" spans="1:4">
      <c r="A907" s="5">
        <v>846</v>
      </c>
      <c r="B907" s="138">
        <f>'Expenditures 15-22'!F50</f>
        <v>10918</v>
      </c>
      <c r="D907" s="2" t="str">
        <f t="shared" si="13"/>
        <v>Error?</v>
      </c>
    </row>
    <row r="908" spans="1:4">
      <c r="A908" s="5">
        <v>847</v>
      </c>
      <c r="B908" s="138">
        <f>'Expenditures 15-22'!F53</f>
        <v>10918</v>
      </c>
      <c r="C908" s="2" t="s">
        <v>594</v>
      </c>
      <c r="D908" s="2" t="str">
        <f t="shared" si="13"/>
        <v>Error?</v>
      </c>
    </row>
    <row r="909" spans="1:4">
      <c r="A909" s="5">
        <v>848</v>
      </c>
      <c r="B909" s="138">
        <f>'Expenditures 15-22'!F55</f>
        <v>4601</v>
      </c>
      <c r="D909" s="2" t="str">
        <f t="shared" si="13"/>
        <v>Error?</v>
      </c>
    </row>
    <row r="910" spans="1:4">
      <c r="A910" s="5">
        <v>849</v>
      </c>
      <c r="B910" s="138">
        <f>'Expenditures 15-22'!F56</f>
        <v>0</v>
      </c>
      <c r="D910" s="2" t="str">
        <f t="shared" si="13"/>
        <v>Error?</v>
      </c>
    </row>
    <row r="911" spans="1:4">
      <c r="A911" s="5">
        <v>850</v>
      </c>
      <c r="B911" s="138">
        <f>'Expenditures 15-22'!F57</f>
        <v>4601</v>
      </c>
      <c r="C911" s="2" t="s">
        <v>594</v>
      </c>
      <c r="D911" s="2" t="str">
        <f t="shared" si="13"/>
        <v>Error?</v>
      </c>
    </row>
    <row r="912" spans="1:4">
      <c r="A912" s="5">
        <v>851</v>
      </c>
      <c r="B912" s="138">
        <f>'Expenditures 15-22'!F59</f>
        <v>0</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239572</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239572</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594</v>
      </c>
      <c r="D927" s="2" t="str">
        <f t="shared" si="13"/>
        <v>Error?</v>
      </c>
    </row>
    <row r="928" spans="1:4">
      <c r="A928" s="5">
        <v>867</v>
      </c>
      <c r="B928" s="138">
        <f>'Expenditures 15-22'!F73</f>
        <v>0</v>
      </c>
      <c r="D928" s="2" t="str">
        <f t="shared" si="13"/>
        <v>Error?</v>
      </c>
    </row>
    <row r="929" spans="1:4">
      <c r="A929" s="5">
        <v>868</v>
      </c>
      <c r="B929" s="138">
        <f>'Expenditures 15-22'!F74</f>
        <v>273491</v>
      </c>
      <c r="C929" s="2" t="s">
        <v>594</v>
      </c>
      <c r="D929" s="2" t="str">
        <f t="shared" si="13"/>
        <v>Error?</v>
      </c>
    </row>
    <row r="930" spans="1:4">
      <c r="A930" s="5">
        <v>869</v>
      </c>
      <c r="B930" s="138">
        <f>'Expenditures 15-22'!F75</f>
        <v>0</v>
      </c>
      <c r="D930" s="2" t="str">
        <f t="shared" si="13"/>
        <v>Error?</v>
      </c>
    </row>
    <row r="931" spans="1:4">
      <c r="A931" s="5">
        <v>870</v>
      </c>
      <c r="B931" s="138">
        <f>'Expenditures 15-22'!F114</f>
        <v>541262</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18249</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38471</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6900</v>
      </c>
      <c r="D961" s="2" t="str">
        <f t="shared" si="14"/>
        <v>Error?</v>
      </c>
    </row>
    <row r="962" spans="1:4">
      <c r="A962" s="5">
        <v>901</v>
      </c>
      <c r="B962" s="138">
        <f>'Expenditures 15-22'!G46</f>
        <v>0</v>
      </c>
      <c r="D962" s="2" t="str">
        <f t="shared" si="14"/>
        <v>Error?</v>
      </c>
    </row>
    <row r="963" spans="1:4">
      <c r="A963" s="5">
        <v>902</v>
      </c>
      <c r="B963" s="138">
        <f>'Expenditures 15-22'!G47</f>
        <v>6900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4682</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4682</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11582</v>
      </c>
      <c r="C987" s="2" t="s">
        <v>594</v>
      </c>
      <c r="D987" s="2" t="str">
        <f t="shared" si="14"/>
        <v>Error?</v>
      </c>
    </row>
    <row r="988" spans="1:4">
      <c r="A988" s="5">
        <v>927</v>
      </c>
      <c r="B988" s="138">
        <f>'Expenditures 15-22'!G75</f>
        <v>0</v>
      </c>
      <c r="D988" s="2" t="str">
        <f t="shared" si="14"/>
        <v>Error?</v>
      </c>
    </row>
    <row r="989" spans="1:4">
      <c r="A989" s="5">
        <v>928</v>
      </c>
      <c r="B989" s="138">
        <f>'Expenditures 15-22'!G114</f>
        <v>50053</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0</v>
      </c>
      <c r="C1045" s="2" t="s">
        <v>594</v>
      </c>
      <c r="D1045" s="2" t="str">
        <f t="shared" si="15"/>
        <v>Error?</v>
      </c>
    </row>
    <row r="1046" spans="1:4">
      <c r="A1046" s="5">
        <v>985</v>
      </c>
      <c r="B1046" s="138">
        <f>'Expenditures 15-22'!H75</f>
        <v>0</v>
      </c>
      <c r="D1046" s="2" t="str">
        <f t="shared" si="15"/>
        <v>Error?</v>
      </c>
    </row>
    <row r="1047" spans="1:4">
      <c r="A1047" s="5">
        <v>986</v>
      </c>
      <c r="B1047" s="138">
        <f>'Expenditures 15-22'!H102</f>
        <v>146126</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146126</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3691718</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82350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145689</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5687690</v>
      </c>
      <c r="C1108" s="2" t="s">
        <v>594</v>
      </c>
      <c r="D1108" s="2" t="str">
        <f t="shared" si="16"/>
        <v>Error?</v>
      </c>
    </row>
    <row r="1109" spans="1:4">
      <c r="A1109" s="5">
        <v>1048</v>
      </c>
      <c r="B1109" s="138">
        <f>'Expenditures 15-22'!K36</f>
        <v>80339</v>
      </c>
      <c r="C1109" s="2" t="s">
        <v>594</v>
      </c>
      <c r="D1109" s="2" t="str">
        <f t="shared" si="16"/>
        <v>Error?</v>
      </c>
    </row>
    <row r="1110" spans="1:4">
      <c r="A1110" s="5">
        <v>1049</v>
      </c>
      <c r="B1110" s="138">
        <f>'Expenditures 15-22'!K37</f>
        <v>112966</v>
      </c>
      <c r="C1110" s="2" t="s">
        <v>594</v>
      </c>
      <c r="D1110" s="2" t="str">
        <f t="shared" si="16"/>
        <v>Error?</v>
      </c>
    </row>
    <row r="1111" spans="1:4">
      <c r="A1111" s="5">
        <v>1050</v>
      </c>
      <c r="B1111" s="138">
        <f>'Expenditures 15-22'!K38</f>
        <v>100151</v>
      </c>
      <c r="C1111" s="2" t="s">
        <v>594</v>
      </c>
      <c r="D1111" s="2" t="str">
        <f t="shared" si="16"/>
        <v>Error?</v>
      </c>
    </row>
    <row r="1112" spans="1:4">
      <c r="A1112" s="5">
        <v>1051</v>
      </c>
      <c r="B1112" s="138">
        <f>'Expenditures 15-22'!K39</f>
        <v>0</v>
      </c>
      <c r="C1112" s="2" t="s">
        <v>594</v>
      </c>
      <c r="D1112" s="2" t="str">
        <f t="shared" si="16"/>
        <v>Error?</v>
      </c>
    </row>
    <row r="1113" spans="1:4">
      <c r="A1113" s="5">
        <v>1052</v>
      </c>
      <c r="B1113" s="138">
        <f>'Expenditures 15-22'!K40</f>
        <v>197782</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491238</v>
      </c>
      <c r="C1115" s="2" t="s">
        <v>594</v>
      </c>
      <c r="D1115" s="2" t="str">
        <f t="shared" si="16"/>
        <v>Error?</v>
      </c>
    </row>
    <row r="1116" spans="1:4">
      <c r="A1116" s="5">
        <v>1055</v>
      </c>
      <c r="B1116" s="138">
        <f>'Expenditures 15-22'!K44</f>
        <v>130053</v>
      </c>
      <c r="C1116" s="2" t="s">
        <v>594</v>
      </c>
      <c r="D1116" s="2" t="str">
        <f t="shared" si="16"/>
        <v>Error?</v>
      </c>
    </row>
    <row r="1117" spans="1:4">
      <c r="A1117" s="5">
        <v>1056</v>
      </c>
      <c r="B1117" s="138">
        <f>'Expenditures 15-22'!K45</f>
        <v>12459</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142512</v>
      </c>
      <c r="C1119" s="2" t="s">
        <v>594</v>
      </c>
      <c r="D1119" s="2" t="str">
        <f t="shared" si="16"/>
        <v>Error?</v>
      </c>
    </row>
    <row r="1120" spans="1:4">
      <c r="A1120" s="5">
        <v>1059</v>
      </c>
      <c r="B1120" s="138">
        <f>'Expenditures 15-22'!K49</f>
        <v>22556</v>
      </c>
      <c r="C1120" s="2" t="s">
        <v>594</v>
      </c>
      <c r="D1120" s="2" t="str">
        <f t="shared" si="16"/>
        <v>Error?</v>
      </c>
    </row>
    <row r="1121" spans="1:4">
      <c r="A1121" s="5">
        <v>1060</v>
      </c>
      <c r="B1121" s="138">
        <f>'Expenditures 15-22'!K50</f>
        <v>319844</v>
      </c>
      <c r="C1121" s="2" t="s">
        <v>594</v>
      </c>
      <c r="D1121" s="2" t="str">
        <f t="shared" si="16"/>
        <v>Error?</v>
      </c>
    </row>
    <row r="1122" spans="1:4">
      <c r="A1122" s="5">
        <v>1061</v>
      </c>
      <c r="B1122" s="138">
        <f>'Expenditures 15-22'!K53</f>
        <v>342400</v>
      </c>
      <c r="C1122" s="2" t="s">
        <v>594</v>
      </c>
      <c r="D1122" s="2" t="str">
        <f t="shared" si="16"/>
        <v>Error?</v>
      </c>
    </row>
    <row r="1123" spans="1:4">
      <c r="A1123" s="5">
        <v>1062</v>
      </c>
      <c r="B1123" s="138">
        <f>'Expenditures 15-22'!K55</f>
        <v>616566</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616566</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0</v>
      </c>
      <c r="C1127" s="2" t="s">
        <v>594</v>
      </c>
      <c r="D1127" s="2" t="str">
        <f t="shared" si="16"/>
        <v>Error?</v>
      </c>
    </row>
    <row r="1128" spans="1:4">
      <c r="A1128" s="5">
        <v>1067</v>
      </c>
      <c r="B1128" s="138">
        <f>'Expenditures 15-22'!K61</f>
        <v>13619</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554284</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567903</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526</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526</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2161145</v>
      </c>
      <c r="C1143" s="2" t="s">
        <v>594</v>
      </c>
      <c r="D1143" s="2" t="str">
        <f t="shared" si="16"/>
        <v>Error?</v>
      </c>
    </row>
    <row r="1144" spans="1:4">
      <c r="A1144" s="5">
        <v>1083</v>
      </c>
      <c r="B1144" s="138">
        <f>'Expenditures 15-22'!K75</f>
        <v>37719</v>
      </c>
      <c r="C1144" s="2" t="s">
        <v>594</v>
      </c>
      <c r="D1144" s="2" t="str">
        <f t="shared" si="16"/>
        <v>Error?</v>
      </c>
    </row>
    <row r="1145" spans="1:4">
      <c r="A1145" s="5">
        <v>1084</v>
      </c>
      <c r="B1145" s="138">
        <f>'Expenditures 15-22'!K102</f>
        <v>146126</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8032680</v>
      </c>
      <c r="C1152" s="2" t="s">
        <v>594</v>
      </c>
      <c r="D1152" s="2" t="str">
        <f t="shared" si="17"/>
        <v>Error?</v>
      </c>
    </row>
    <row r="1153" spans="1:4">
      <c r="A1153" s="5">
        <v>1092</v>
      </c>
      <c r="B1153" s="138">
        <f>'Expenditures 15-22'!K115</f>
        <v>1094346</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406366</v>
      </c>
      <c r="D1221" s="2" t="str">
        <f t="shared" si="18"/>
        <v>Error?</v>
      </c>
    </row>
    <row r="1222" spans="1:4">
      <c r="A1222" s="10">
        <v>1161</v>
      </c>
      <c r="D1222" s="2" t="str">
        <f t="shared" si="18"/>
        <v>OK</v>
      </c>
    </row>
    <row r="1223" spans="1:4">
      <c r="A1223" s="5">
        <v>1162</v>
      </c>
      <c r="B1223" s="138">
        <f>'Expenditures 15-22'!C127</f>
        <v>406366</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406366</v>
      </c>
      <c r="C1225" s="2" t="s">
        <v>594</v>
      </c>
      <c r="D1225" s="2" t="str">
        <f t="shared" si="18"/>
        <v>Error?</v>
      </c>
    </row>
    <row r="1226" spans="1:4">
      <c r="A1226" s="5">
        <v>1165</v>
      </c>
      <c r="B1226" s="138">
        <f>'Expenditures 15-22'!C151</f>
        <v>406366</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127415</v>
      </c>
      <c r="D1229" s="2" t="str">
        <f t="shared" si="18"/>
        <v>Error?</v>
      </c>
    </row>
    <row r="1230" spans="1:4">
      <c r="A1230" s="10">
        <v>1169</v>
      </c>
      <c r="D1230" s="2" t="str">
        <f t="shared" si="18"/>
        <v>OK</v>
      </c>
    </row>
    <row r="1231" spans="1:4">
      <c r="A1231" s="5">
        <v>1170</v>
      </c>
      <c r="B1231" s="138">
        <f>'Expenditures 15-22'!D127</f>
        <v>127415</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127415</v>
      </c>
      <c r="C1233" s="2" t="s">
        <v>594</v>
      </c>
      <c r="D1233" s="2" t="str">
        <f t="shared" si="18"/>
        <v>Error?</v>
      </c>
    </row>
    <row r="1234" spans="1:4">
      <c r="A1234" s="5">
        <v>1173</v>
      </c>
      <c r="B1234" s="138">
        <f>'Expenditures 15-22'!D151</f>
        <v>127415</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185025</v>
      </c>
      <c r="D1237" s="2" t="str">
        <f t="shared" si="18"/>
        <v>Error?</v>
      </c>
    </row>
    <row r="1238" spans="1:4">
      <c r="A1238" s="10">
        <v>1177</v>
      </c>
      <c r="D1238" s="2" t="str">
        <f t="shared" si="18"/>
        <v>OK</v>
      </c>
    </row>
    <row r="1239" spans="1:4">
      <c r="A1239" s="5">
        <v>1178</v>
      </c>
      <c r="B1239" s="138">
        <f>'Expenditures 15-22'!E127</f>
        <v>185025</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185025</v>
      </c>
      <c r="C1241" s="2" t="s">
        <v>594</v>
      </c>
      <c r="D1241" s="2" t="str">
        <f t="shared" si="18"/>
        <v>Error?</v>
      </c>
    </row>
    <row r="1242" spans="1:4">
      <c r="A1242" s="5">
        <v>1181</v>
      </c>
      <c r="B1242" s="138">
        <f>'Expenditures 15-22'!E151</f>
        <v>185025</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272930</v>
      </c>
      <c r="D1245" s="2" t="str">
        <f t="shared" si="18"/>
        <v>Error?</v>
      </c>
    </row>
    <row r="1246" spans="1:4">
      <c r="A1246" s="10">
        <v>1185</v>
      </c>
      <c r="D1246" s="2" t="str">
        <f t="shared" si="18"/>
        <v>OK</v>
      </c>
    </row>
    <row r="1247" spans="1:4">
      <c r="A1247" s="5">
        <v>1186</v>
      </c>
      <c r="B1247" s="138">
        <f>'Expenditures 15-22'!F127</f>
        <v>272930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272930</v>
      </c>
      <c r="C1249" s="2" t="s">
        <v>594</v>
      </c>
      <c r="D1249" s="2" t="str">
        <f t="shared" si="18"/>
        <v>Error?</v>
      </c>
    </row>
    <row r="1250" spans="1:4">
      <c r="A1250" s="5">
        <v>1189</v>
      </c>
      <c r="B1250" s="138">
        <f>'Expenditures 15-22'!F151</f>
        <v>272930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11776</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11776</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11776</v>
      </c>
      <c r="C1258" s="2" t="s">
        <v>594</v>
      </c>
      <c r="D1258" s="2" t="str">
        <f t="shared" si="18"/>
        <v>Error?</v>
      </c>
    </row>
    <row r="1259" spans="1:4">
      <c r="A1259" s="5">
        <v>1198</v>
      </c>
      <c r="B1259" s="138">
        <f>'Expenditures 15-22'!G151</f>
        <v>11776</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1003512</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1003512</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1003512</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1003512</v>
      </c>
      <c r="C1288" s="2" t="s">
        <v>594</v>
      </c>
      <c r="D1288" s="2" t="str">
        <f t="shared" si="19"/>
        <v>Error?</v>
      </c>
    </row>
    <row r="1289" spans="1:4">
      <c r="A1289" s="5">
        <v>1228</v>
      </c>
      <c r="B1289" s="138">
        <f>'Expenditures 15-22'!K152</f>
        <v>91000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93522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365000</v>
      </c>
      <c r="D1315" s="2" t="str">
        <f t="shared" si="19"/>
        <v>Error?</v>
      </c>
    </row>
    <row r="1316" spans="1:4">
      <c r="A1316" s="5">
        <v>1255</v>
      </c>
      <c r="B1316" s="138">
        <f>'Expenditures 15-22'!H171</f>
        <v>0</v>
      </c>
      <c r="D1316" s="2" t="str">
        <f t="shared" si="19"/>
        <v>Error?</v>
      </c>
    </row>
    <row r="1317" spans="1:4">
      <c r="A1317" s="5">
        <v>1256</v>
      </c>
      <c r="B1317" s="138">
        <f>'Expenditures 15-22'!H172</f>
        <v>458522</v>
      </c>
      <c r="C1317" s="2" t="s">
        <v>594</v>
      </c>
      <c r="D1317" s="2" t="str">
        <f t="shared" si="19"/>
        <v>Error?</v>
      </c>
    </row>
    <row r="1318" spans="1:4">
      <c r="A1318" s="5">
        <v>1257</v>
      </c>
      <c r="B1318" s="138">
        <f>'Expenditures 15-22'!H174</f>
        <v>458522</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93522</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365000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458522</v>
      </c>
      <c r="C1331" s="2" t="s">
        <v>594</v>
      </c>
      <c r="D1331" s="2" t="str">
        <f t="shared" si="19"/>
        <v>Error?</v>
      </c>
    </row>
    <row r="1332" spans="1:4">
      <c r="A1332" s="5">
        <v>1271</v>
      </c>
      <c r="B1332" s="138">
        <f>'Expenditures 15-22'!K174</f>
        <v>458522</v>
      </c>
      <c r="C1332" s="2" t="s">
        <v>594</v>
      </c>
      <c r="D1332" s="2" t="str">
        <f t="shared" si="19"/>
        <v>Error?</v>
      </c>
    </row>
    <row r="1333" spans="1:4">
      <c r="A1333" s="5">
        <v>1272</v>
      </c>
      <c r="B1333" s="138">
        <f>'Expenditures 15-22'!K175</f>
        <v>-313425</v>
      </c>
      <c r="C1333" s="2" t="s">
        <v>594</v>
      </c>
      <c r="D1333" s="2" t="str">
        <f t="shared" si="19"/>
        <v>Error?</v>
      </c>
    </row>
    <row r="1334" spans="1:4">
      <c r="A1334" s="10">
        <v>1273</v>
      </c>
      <c r="D1334" s="2" t="str">
        <f t="shared" si="19"/>
        <v>OK</v>
      </c>
    </row>
    <row r="1335" spans="1:4">
      <c r="A1335" s="5">
        <v>1274</v>
      </c>
      <c r="B1335" s="138">
        <f>'Expenditures 15-22'!C182</f>
        <v>13749</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5104</v>
      </c>
      <c r="D1338" s="2" t="str">
        <f t="shared" si="19"/>
        <v>Error?</v>
      </c>
    </row>
    <row r="1339" spans="1:4">
      <c r="A1339" s="5">
        <v>1278</v>
      </c>
      <c r="B1339" s="138">
        <f>'Expenditures 15-22'!C184</f>
        <v>18853</v>
      </c>
      <c r="C1339" s="2" t="s">
        <v>594</v>
      </c>
      <c r="D1339" s="2" t="str">
        <f t="shared" si="19"/>
        <v>Error?</v>
      </c>
    </row>
    <row r="1340" spans="1:4">
      <c r="A1340" s="5">
        <v>1279</v>
      </c>
      <c r="B1340" s="138">
        <f>'Expenditures 15-22'!C210</f>
        <v>18853</v>
      </c>
      <c r="C1340" s="2" t="s">
        <v>594</v>
      </c>
      <c r="D1340" s="2" t="str">
        <f t="shared" si="19"/>
        <v>Error?</v>
      </c>
    </row>
    <row r="1341" spans="1:4">
      <c r="A1341" s="5">
        <v>1280</v>
      </c>
      <c r="B1341" s="138">
        <f>'Expenditures 15-22'!D182</f>
        <v>800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800</v>
      </c>
      <c r="C1345" s="2" t="s">
        <v>594</v>
      </c>
      <c r="D1345" s="2" t="str">
        <f t="shared" si="20"/>
        <v>Error?</v>
      </c>
    </row>
    <row r="1346" spans="1:4">
      <c r="A1346" s="5">
        <v>1285</v>
      </c>
      <c r="B1346" s="138">
        <f>'Expenditures 15-22'!D210</f>
        <v>800</v>
      </c>
      <c r="C1346" s="2" t="s">
        <v>594</v>
      </c>
      <c r="D1346" s="2" t="str">
        <f t="shared" si="20"/>
        <v>Error?</v>
      </c>
    </row>
    <row r="1347" spans="1:4">
      <c r="A1347" s="5">
        <v>1286</v>
      </c>
      <c r="B1347" s="138">
        <f>'Expenditures 15-22'!E182</f>
        <v>487421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487421</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487421</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501970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5104</v>
      </c>
      <c r="C1380" s="2" t="s">
        <v>594</v>
      </c>
      <c r="D1380" s="2" t="str">
        <f t="shared" si="20"/>
        <v>Error?</v>
      </c>
    </row>
    <row r="1381" spans="1:4">
      <c r="A1381" s="5">
        <v>1320</v>
      </c>
      <c r="B1381" s="138">
        <f>'Expenditures 15-22'!K184</f>
        <v>507074</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507074</v>
      </c>
      <c r="C1388" s="2" t="s">
        <v>594</v>
      </c>
      <c r="D1388" s="2" t="str">
        <f t="shared" si="20"/>
        <v>Error?</v>
      </c>
    </row>
    <row r="1389" spans="1:4">
      <c r="A1389" s="5">
        <v>1328</v>
      </c>
      <c r="B1389" s="138">
        <f>'Expenditures 15-22'!K211</f>
        <v>141506</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979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2419</v>
      </c>
      <c r="D1408" s="2" t="str">
        <f t="shared" si="21"/>
        <v>Error?</v>
      </c>
    </row>
    <row r="1409" spans="1:4">
      <c r="A1409" s="5">
        <v>1348</v>
      </c>
      <c r="B1409" s="138">
        <f>'Expenditures 15-22'!D224</f>
        <v>0</v>
      </c>
      <c r="D1409" s="2" t="str">
        <f t="shared" si="21"/>
        <v>Error?</v>
      </c>
    </row>
    <row r="1410" spans="1:4">
      <c r="A1410" s="5">
        <v>1349</v>
      </c>
      <c r="B1410" s="138">
        <f>'Expenditures 15-22'!D229</f>
        <v>138824</v>
      </c>
      <c r="C1410" s="2" t="s">
        <v>594</v>
      </c>
      <c r="D1410" s="2" t="str">
        <f t="shared" si="21"/>
        <v>Error?</v>
      </c>
    </row>
    <row r="1411" spans="1:4">
      <c r="A1411" s="5">
        <v>1350</v>
      </c>
      <c r="B1411" s="138">
        <f>'Expenditures 15-22'!D232</f>
        <v>1039</v>
      </c>
      <c r="D1411" s="2" t="str">
        <f t="shared" si="21"/>
        <v>Error?</v>
      </c>
    </row>
    <row r="1412" spans="1:4">
      <c r="A1412" s="5">
        <v>1351</v>
      </c>
      <c r="B1412" s="138">
        <f>'Expenditures 15-22'!D233</f>
        <v>1370</v>
      </c>
      <c r="D1412" s="2" t="str">
        <f t="shared" si="21"/>
        <v>Error?</v>
      </c>
    </row>
    <row r="1413" spans="1:4">
      <c r="A1413" s="5">
        <v>1352</v>
      </c>
      <c r="B1413" s="138">
        <f>'Expenditures 15-22'!D234</f>
        <v>13700</v>
      </c>
      <c r="D1413" s="2" t="str">
        <f t="shared" si="21"/>
        <v>Error?</v>
      </c>
    </row>
    <row r="1414" spans="1:4">
      <c r="A1414" s="5">
        <v>1353</v>
      </c>
      <c r="B1414" s="138">
        <f>'Expenditures 15-22'!D235</f>
        <v>0</v>
      </c>
      <c r="D1414" s="2" t="str">
        <f t="shared" si="21"/>
        <v>Error?</v>
      </c>
    </row>
    <row r="1415" spans="1:4">
      <c r="A1415" s="5">
        <v>1354</v>
      </c>
      <c r="B1415" s="138">
        <f>'Expenditures 15-22'!D236</f>
        <v>2309</v>
      </c>
      <c r="D1415" s="2" t="str">
        <f t="shared" si="21"/>
        <v>Error?</v>
      </c>
    </row>
    <row r="1416" spans="1:4">
      <c r="A1416" s="5">
        <v>1355</v>
      </c>
      <c r="B1416" s="138">
        <f>'Expenditures 15-22'!D237</f>
        <v>23</v>
      </c>
      <c r="D1416" s="2" t="str">
        <f t="shared" si="21"/>
        <v>Error?</v>
      </c>
    </row>
    <row r="1417" spans="1:4">
      <c r="A1417" s="5">
        <v>1356</v>
      </c>
      <c r="B1417" s="138">
        <f>'Expenditures 15-22'!D238</f>
        <v>18441</v>
      </c>
      <c r="C1417" s="2" t="s">
        <v>594</v>
      </c>
      <c r="D1417" s="2" t="str">
        <f t="shared" si="21"/>
        <v>Error?</v>
      </c>
    </row>
    <row r="1418" spans="1:4">
      <c r="A1418" s="5">
        <v>1357</v>
      </c>
      <c r="B1418" s="138">
        <f>'Expenditures 15-22'!D240</f>
        <v>1285</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1285</v>
      </c>
      <c r="C1421" s="2" t="s">
        <v>594</v>
      </c>
      <c r="D1421" s="2" t="str">
        <f t="shared" si="21"/>
        <v>Error?</v>
      </c>
    </row>
    <row r="1422" spans="1:4">
      <c r="A1422" s="5">
        <v>1361</v>
      </c>
      <c r="B1422" s="138">
        <f>'Expenditures 15-22'!D245</f>
        <v>149</v>
      </c>
      <c r="D1422" s="2" t="str">
        <f t="shared" si="21"/>
        <v>Error?</v>
      </c>
    </row>
    <row r="1423" spans="1:4">
      <c r="A1423" s="5">
        <v>1362</v>
      </c>
      <c r="B1423" s="138">
        <f>'Expenditures 15-22'!D246</f>
        <v>11725</v>
      </c>
      <c r="D1423" s="2" t="str">
        <f t="shared" si="21"/>
        <v>Error?</v>
      </c>
    </row>
    <row r="1424" spans="1:4">
      <c r="A1424" s="5">
        <v>1363</v>
      </c>
      <c r="B1424" s="138">
        <f>'Expenditures 15-22'!D257</f>
        <v>11874</v>
      </c>
      <c r="C1424" s="2" t="s">
        <v>594</v>
      </c>
      <c r="D1424" s="2" t="str">
        <f t="shared" si="21"/>
        <v>Error?</v>
      </c>
    </row>
    <row r="1425" spans="1:4">
      <c r="A1425" s="5">
        <v>1364</v>
      </c>
      <c r="B1425" s="138">
        <f>'Expenditures 15-22'!D259</f>
        <v>23743</v>
      </c>
      <c r="D1425" s="2" t="str">
        <f t="shared" si="21"/>
        <v>Error?</v>
      </c>
    </row>
    <row r="1426" spans="1:4">
      <c r="A1426" s="5">
        <v>1365</v>
      </c>
      <c r="B1426" s="138">
        <f>'Expenditures 15-22'!D260</f>
        <v>0</v>
      </c>
      <c r="D1426" s="2" t="str">
        <f t="shared" si="21"/>
        <v>Error?</v>
      </c>
    </row>
    <row r="1427" spans="1:4">
      <c r="A1427" s="5">
        <v>1366</v>
      </c>
      <c r="B1427" s="138">
        <f>'Expenditures 15-22'!D261</f>
        <v>23743</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57140</v>
      </c>
      <c r="D1431" s="2" t="str">
        <f t="shared" si="21"/>
        <v>Error?</v>
      </c>
    </row>
    <row r="1432" spans="1:4">
      <c r="A1432" s="5">
        <v>1371</v>
      </c>
      <c r="B1432" s="138">
        <f>'Expenditures 15-22'!D267</f>
        <v>1020</v>
      </c>
      <c r="D1432" s="2" t="str">
        <f t="shared" si="21"/>
        <v>Error?</v>
      </c>
    </row>
    <row r="1433" spans="1:4">
      <c r="A1433" s="5">
        <v>1372</v>
      </c>
      <c r="B1433" s="138">
        <f>'Expenditures 15-22'!D268</f>
        <v>35288</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93448</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148791</v>
      </c>
      <c r="C1446" s="2" t="s">
        <v>594</v>
      </c>
      <c r="D1446" s="2" t="str">
        <f t="shared" si="21"/>
        <v>Error?</v>
      </c>
    </row>
    <row r="1447" spans="1:4">
      <c r="A1447" s="5">
        <v>1386</v>
      </c>
      <c r="B1447" s="138">
        <f>'Expenditures 15-22'!D280</f>
        <v>3477</v>
      </c>
      <c r="D1447" s="2" t="str">
        <f t="shared" si="21"/>
        <v>Error?</v>
      </c>
    </row>
    <row r="1448" spans="1:4">
      <c r="A1448" s="5">
        <v>1387</v>
      </c>
      <c r="B1448" s="138">
        <f>'Expenditures 15-22'!D295</f>
        <v>294202</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979</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2419</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138824</v>
      </c>
      <c r="C1474" s="2" t="s">
        <v>594</v>
      </c>
      <c r="D1474" s="2" t="str">
        <f t="shared" si="22"/>
        <v>Error?</v>
      </c>
    </row>
    <row r="1475" spans="1:4">
      <c r="A1475" s="5">
        <v>1414</v>
      </c>
      <c r="B1475" s="138">
        <f>'Expenditures 15-22'!K232</f>
        <v>1039</v>
      </c>
      <c r="C1475" s="2" t="s">
        <v>594</v>
      </c>
      <c r="D1475" s="2" t="str">
        <f t="shared" si="22"/>
        <v>Error?</v>
      </c>
    </row>
    <row r="1476" spans="1:4">
      <c r="A1476" s="5">
        <v>1415</v>
      </c>
      <c r="B1476" s="138">
        <f>'Expenditures 15-22'!K233</f>
        <v>1370</v>
      </c>
      <c r="C1476" s="2" t="s">
        <v>594</v>
      </c>
      <c r="D1476" s="2" t="str">
        <f t="shared" si="22"/>
        <v>Error?</v>
      </c>
    </row>
    <row r="1477" spans="1:4">
      <c r="A1477" s="5">
        <v>1416</v>
      </c>
      <c r="B1477" s="138">
        <f>'Expenditures 15-22'!K234</f>
        <v>13700</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2309</v>
      </c>
      <c r="C1479" s="2" t="s">
        <v>594</v>
      </c>
      <c r="D1479" s="2" t="str">
        <f t="shared" si="22"/>
        <v>Error?</v>
      </c>
    </row>
    <row r="1480" spans="1:4">
      <c r="A1480" s="5">
        <v>1419</v>
      </c>
      <c r="B1480" s="138">
        <f>'Expenditures 15-22'!K237</f>
        <v>23</v>
      </c>
      <c r="C1480" s="2" t="s">
        <v>594</v>
      </c>
      <c r="D1480" s="2" t="str">
        <f t="shared" si="22"/>
        <v>Error?</v>
      </c>
    </row>
    <row r="1481" spans="1:4">
      <c r="A1481" s="5">
        <v>1420</v>
      </c>
      <c r="B1481" s="138">
        <f>'Expenditures 15-22'!K238</f>
        <v>18441</v>
      </c>
      <c r="C1481" s="2" t="s">
        <v>594</v>
      </c>
      <c r="D1481" s="2" t="str">
        <f t="shared" si="22"/>
        <v>Error?</v>
      </c>
    </row>
    <row r="1482" spans="1:4">
      <c r="A1482" s="5">
        <v>1421</v>
      </c>
      <c r="B1482" s="138">
        <f>'Expenditures 15-22'!K240</f>
        <v>1285</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1285</v>
      </c>
      <c r="C1485" s="2" t="s">
        <v>594</v>
      </c>
      <c r="D1485" s="2" t="str">
        <f t="shared" si="22"/>
        <v>Error?</v>
      </c>
    </row>
    <row r="1486" spans="1:4">
      <c r="A1486" s="5">
        <v>1425</v>
      </c>
      <c r="B1486" s="138">
        <f>'Expenditures 15-22'!K245</f>
        <v>149</v>
      </c>
      <c r="C1486" s="2" t="s">
        <v>594</v>
      </c>
      <c r="D1486" s="2" t="str">
        <f t="shared" si="22"/>
        <v>Error?</v>
      </c>
    </row>
    <row r="1487" spans="1:4">
      <c r="A1487" s="5">
        <v>1426</v>
      </c>
      <c r="B1487" s="138">
        <f>'Expenditures 15-22'!K246</f>
        <v>11725</v>
      </c>
      <c r="C1487" s="2" t="s">
        <v>594</v>
      </c>
      <c r="D1487" s="2" t="str">
        <f t="shared" si="22"/>
        <v>Error?</v>
      </c>
    </row>
    <row r="1488" spans="1:4">
      <c r="A1488" s="5">
        <v>1427</v>
      </c>
      <c r="B1488" s="138">
        <f>'Expenditures 15-22'!K257</f>
        <v>11874</v>
      </c>
      <c r="C1488" s="2" t="s">
        <v>594</v>
      </c>
      <c r="D1488" s="2" t="str">
        <f t="shared" si="22"/>
        <v>Error?</v>
      </c>
    </row>
    <row r="1489" spans="1:4">
      <c r="A1489" s="5">
        <v>1428</v>
      </c>
      <c r="B1489" s="138">
        <f>'Expenditures 15-22'!K259</f>
        <v>23743</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23743</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57140</v>
      </c>
      <c r="C1495" s="2" t="s">
        <v>594</v>
      </c>
      <c r="D1495" s="2" t="str">
        <f t="shared" si="22"/>
        <v>Error?</v>
      </c>
    </row>
    <row r="1496" spans="1:4">
      <c r="A1496" s="5">
        <v>1435</v>
      </c>
      <c r="B1496" s="138">
        <f>'Expenditures 15-22'!K267</f>
        <v>1020</v>
      </c>
      <c r="C1496" s="2" t="s">
        <v>594</v>
      </c>
      <c r="D1496" s="2" t="str">
        <f t="shared" si="22"/>
        <v>Error?</v>
      </c>
    </row>
    <row r="1497" spans="1:4">
      <c r="A1497" s="5">
        <v>1436</v>
      </c>
      <c r="B1497" s="138">
        <f>'Expenditures 15-22'!K268</f>
        <v>35288</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93448</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148791</v>
      </c>
      <c r="C1510" s="2" t="s">
        <v>594</v>
      </c>
      <c r="D1510" s="2" t="str">
        <f t="shared" si="22"/>
        <v>Error?</v>
      </c>
    </row>
    <row r="1511" spans="1:4">
      <c r="A1511" s="5">
        <v>1450</v>
      </c>
      <c r="B1511" s="138">
        <f>'Expenditures 15-22'!K280</f>
        <v>3477</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294202</v>
      </c>
      <c r="C1517" s="2" t="s">
        <v>594</v>
      </c>
      <c r="D1517" s="2" t="str">
        <f t="shared" si="22"/>
        <v>Error?</v>
      </c>
    </row>
    <row r="1518" spans="1:4">
      <c r="A1518" s="5">
        <v>1457</v>
      </c>
      <c r="B1518" s="138">
        <f>'Expenditures 15-22'!K296</f>
        <v>32653</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162516</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162516</v>
      </c>
      <c r="C1547" s="2" t="s">
        <v>594</v>
      </c>
      <c r="D1547" s="2" t="str">
        <f t="shared" si="23"/>
        <v>Error?</v>
      </c>
    </row>
    <row r="1548" spans="1:4">
      <c r="A1548" s="5">
        <v>1487</v>
      </c>
      <c r="B1548" s="138">
        <f>'Expenditures 15-22'!G312</f>
        <v>162516</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162516</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162516</v>
      </c>
      <c r="C1559" s="2" t="s">
        <v>594</v>
      </c>
      <c r="D1559" s="2" t="str">
        <f t="shared" si="23"/>
        <v>Error?</v>
      </c>
    </row>
    <row r="1560" spans="1:4">
      <c r="A1560" s="5">
        <v>1499</v>
      </c>
      <c r="B1560" s="138">
        <f>'Expenditures 15-22'!K312</f>
        <v>162516</v>
      </c>
      <c r="C1560" s="2" t="s">
        <v>594</v>
      </c>
      <c r="D1560" s="2" t="str">
        <f t="shared" si="23"/>
        <v>Error?</v>
      </c>
    </row>
    <row r="1561" spans="1:4">
      <c r="A1561" s="5">
        <v>1500</v>
      </c>
      <c r="B1561" s="138">
        <f>'Expenditures 15-22'!K313</f>
        <v>358010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2734125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3828471</v>
      </c>
      <c r="C1630" s="2" t="s">
        <v>594</v>
      </c>
      <c r="D1630" s="2" t="str">
        <f t="shared" si="24"/>
        <v>Error?</v>
      </c>
    </row>
    <row r="1631" spans="1:4">
      <c r="A1631" s="5">
        <v>1570</v>
      </c>
      <c r="B1631" s="138">
        <f>'Acct Summary 7-8'!D79</f>
        <v>210859</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301859</v>
      </c>
      <c r="C1644" s="2" t="s">
        <v>594</v>
      </c>
      <c r="D1644" s="2" t="str">
        <f t="shared" si="24"/>
        <v>Error?</v>
      </c>
    </row>
    <row r="1645" spans="1:4">
      <c r="A1645" s="5">
        <v>1584</v>
      </c>
      <c r="B1645" s="138">
        <f>'Acct Summary 7-8'!E79</f>
        <v>61893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77013</v>
      </c>
      <c r="C1658" s="2" t="s">
        <v>594</v>
      </c>
      <c r="D1658" s="2" t="str">
        <f t="shared" si="24"/>
        <v>Error?</v>
      </c>
    </row>
    <row r="1659" spans="1:4">
      <c r="A1659" s="5">
        <v>1598</v>
      </c>
      <c r="B1659" s="138">
        <f>'Acct Summary 7-8'!F79</f>
        <v>-78735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62771</v>
      </c>
      <c r="C1672" s="2" t="s">
        <v>594</v>
      </c>
      <c r="D1672" s="2" t="str">
        <f t="shared" si="25"/>
        <v>Error?</v>
      </c>
    </row>
    <row r="1673" spans="1:4">
      <c r="A1673" s="5">
        <v>1612</v>
      </c>
      <c r="B1673" s="138">
        <f>'Acct Summary 7-8'!G79</f>
        <v>214371</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247024</v>
      </c>
      <c r="C1686" s="2" t="s">
        <v>594</v>
      </c>
      <c r="D1686" s="2" t="str">
        <f t="shared" si="25"/>
        <v>Error?</v>
      </c>
    </row>
    <row r="1687" spans="1:4">
      <c r="A1687" s="5">
        <v>1626</v>
      </c>
      <c r="B1687" s="138">
        <f>'Acct Summary 7-8'!H79</f>
        <v>306886</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336351</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855604</v>
      </c>
      <c r="C1744" s="2" t="s">
        <v>594</v>
      </c>
      <c r="D1744" s="2" t="str">
        <f t="shared" si="26"/>
        <v>Error?</v>
      </c>
    </row>
    <row r="1745" spans="1:5">
      <c r="A1745" s="5">
        <v>1684</v>
      </c>
      <c r="B1745" s="138">
        <f>'Tax Sched 23'!B5</f>
        <v>374754</v>
      </c>
      <c r="C1745" s="2" t="s">
        <v>594</v>
      </c>
      <c r="D1745" s="2" t="str">
        <f t="shared" si="26"/>
        <v>Error?</v>
      </c>
    </row>
    <row r="1746" spans="1:5">
      <c r="A1746" s="5">
        <v>1685</v>
      </c>
      <c r="B1746" s="138">
        <f>'Tax Sched 23'!B6</f>
        <v>144690</v>
      </c>
      <c r="C1746" s="2" t="s">
        <v>594</v>
      </c>
      <c r="D1746" s="2" t="str">
        <f t="shared" si="26"/>
        <v>Error?</v>
      </c>
    </row>
    <row r="1747" spans="1:5">
      <c r="A1747" s="5">
        <v>1686</v>
      </c>
      <c r="B1747" s="138">
        <f>'Tax Sched 23'!B7</f>
        <v>82138</v>
      </c>
      <c r="C1747" s="2" t="s">
        <v>594</v>
      </c>
      <c r="D1747" s="2" t="str">
        <f t="shared" si="26"/>
        <v>Error?</v>
      </c>
    </row>
    <row r="1748" spans="1:5">
      <c r="A1748" s="5">
        <v>1687</v>
      </c>
      <c r="B1748" s="138">
        <f>'Tax Sched 23'!B8</f>
        <v>121825</v>
      </c>
      <c r="C1748" s="2" t="s">
        <v>594</v>
      </c>
      <c r="D1748" s="2" t="str">
        <f t="shared" si="26"/>
        <v>Error?</v>
      </c>
    </row>
    <row r="1749" spans="1:5">
      <c r="A1749" s="5">
        <v>1688</v>
      </c>
      <c r="B1749" s="138">
        <f>'Tax Sched 23'!B10</f>
        <v>34224</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185667</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13689</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2026245</v>
      </c>
      <c r="C1759" s="2" t="s">
        <v>594</v>
      </c>
      <c r="D1759" s="2" t="str">
        <f t="shared" si="26"/>
        <v>Error?</v>
      </c>
    </row>
    <row r="1760" spans="1:5">
      <c r="A1760" s="5">
        <v>1699</v>
      </c>
      <c r="B1760" s="138">
        <f>'Tax Sched 23'!D4</f>
        <v>430957</v>
      </c>
      <c r="C1760" s="2" t="s">
        <v>594</v>
      </c>
      <c r="D1760" s="2" t="str">
        <f t="shared" si="26"/>
        <v>Error?</v>
      </c>
    </row>
    <row r="1761" spans="1:5">
      <c r="A1761" s="5">
        <v>1700</v>
      </c>
      <c r="B1761" s="138">
        <f>'Tax Sched 23'!D5</f>
        <v>188759</v>
      </c>
      <c r="C1761" s="2" t="s">
        <v>594</v>
      </c>
      <c r="D1761" s="2" t="str">
        <f t="shared" si="26"/>
        <v>Error?</v>
      </c>
    </row>
    <row r="1762" spans="1:5" s="8" customFormat="1">
      <c r="A1762" s="5">
        <v>1701</v>
      </c>
      <c r="B1762" s="138">
        <f>'Tax Sched 23'!D6</f>
        <v>67677</v>
      </c>
      <c r="C1762" s="2" t="s">
        <v>594</v>
      </c>
      <c r="D1762" s="2" t="str">
        <f t="shared" si="26"/>
        <v>Error?</v>
      </c>
      <c r="E1762" s="9"/>
    </row>
    <row r="1763" spans="1:5">
      <c r="A1763" s="5">
        <v>1702</v>
      </c>
      <c r="B1763" s="138">
        <f>'Tax Sched 23'!D7</f>
        <v>41371</v>
      </c>
      <c r="C1763" s="2" t="s">
        <v>594</v>
      </c>
      <c r="D1763" s="2" t="str">
        <f t="shared" si="26"/>
        <v>Error?</v>
      </c>
    </row>
    <row r="1764" spans="1:5">
      <c r="A1764" s="5">
        <v>1703</v>
      </c>
      <c r="B1764" s="138">
        <f>'Tax Sched 23'!D8</f>
        <v>60506</v>
      </c>
      <c r="C1764" s="2" t="s">
        <v>594</v>
      </c>
      <c r="D1764" s="2" t="str">
        <f t="shared" si="26"/>
        <v>Error?</v>
      </c>
    </row>
    <row r="1765" spans="1:5">
      <c r="A1765" s="5">
        <v>1704</v>
      </c>
      <c r="B1765" s="138">
        <f>'Tax Sched 23'!D10</f>
        <v>17239</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93672</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6895</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1014297</v>
      </c>
      <c r="C1775" s="2" t="s">
        <v>594</v>
      </c>
      <c r="D1775" s="2" t="str">
        <f t="shared" si="26"/>
        <v>Error?</v>
      </c>
    </row>
    <row r="1776" spans="1:5">
      <c r="A1776" s="5">
        <v>1715</v>
      </c>
      <c r="B1776" s="138">
        <f>'Tax Sched 23'!C4</f>
        <v>424647</v>
      </c>
      <c r="D1776" s="2" t="str">
        <f t="shared" si="26"/>
        <v>Error?</v>
      </c>
    </row>
    <row r="1777" spans="1:4">
      <c r="A1777" s="5">
        <v>1716</v>
      </c>
      <c r="B1777" s="138">
        <f>'Tax Sched 23'!C5</f>
        <v>185995</v>
      </c>
      <c r="D1777" s="2" t="str">
        <f t="shared" si="26"/>
        <v>Error?</v>
      </c>
    </row>
    <row r="1778" spans="1:4">
      <c r="A1778" s="5">
        <v>1717</v>
      </c>
      <c r="B1778" s="138">
        <f>'Tax Sched 23'!C6</f>
        <v>77013</v>
      </c>
      <c r="D1778" s="2" t="str">
        <f t="shared" si="26"/>
        <v>Error?</v>
      </c>
    </row>
    <row r="1779" spans="1:4">
      <c r="A1779" s="5">
        <v>1718</v>
      </c>
      <c r="B1779" s="138">
        <f>'Tax Sched 23'!C7</f>
        <v>40767</v>
      </c>
      <c r="D1779" s="2" t="str">
        <f t="shared" si="26"/>
        <v>Error?</v>
      </c>
    </row>
    <row r="1780" spans="1:4">
      <c r="A1780" s="5">
        <v>1719</v>
      </c>
      <c r="B1780" s="138">
        <f>'Tax Sched 23'!C8</f>
        <v>61319</v>
      </c>
      <c r="D1780" s="2" t="str">
        <f t="shared" si="26"/>
        <v>Error?</v>
      </c>
    </row>
    <row r="1781" spans="1:4">
      <c r="A1781" s="5">
        <v>1720</v>
      </c>
      <c r="B1781" s="138">
        <f>'Tax Sched 23'!C10</f>
        <v>16985</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91995</v>
      </c>
      <c r="D1784" s="2" t="str">
        <f t="shared" si="26"/>
        <v>Error?</v>
      </c>
    </row>
    <row r="1785" spans="1:4">
      <c r="A1785" s="5">
        <v>1724</v>
      </c>
      <c r="B1785" s="138">
        <f>'Tax Sched 23'!C12</f>
        <v>0</v>
      </c>
      <c r="D1785" s="2" t="str">
        <f t="shared" si="26"/>
        <v>Error?</v>
      </c>
    </row>
    <row r="1786" spans="1:4">
      <c r="A1786" s="5">
        <v>1725</v>
      </c>
      <c r="B1786" s="138">
        <f>'Tax Sched 23'!C14</f>
        <v>6794</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1011948</v>
      </c>
      <c r="C1791" s="2" t="s">
        <v>594</v>
      </c>
      <c r="D1791" s="2" t="str">
        <f t="shared" ref="D1791:D1854" si="27">IF(ISBLANK(B1791),"OK",IF(A1791-B1791=0,"OK","Error?"))</f>
        <v>Error?</v>
      </c>
    </row>
    <row r="1792" spans="1:4">
      <c r="A1792" s="5">
        <v>1731</v>
      </c>
      <c r="B1792" s="138">
        <f>'Tax Sched 23'!F4</f>
        <v>406442</v>
      </c>
      <c r="C1792" s="2" t="s">
        <v>594</v>
      </c>
      <c r="D1792" s="2" t="str">
        <f t="shared" si="27"/>
        <v>Error?</v>
      </c>
    </row>
    <row r="1793" spans="1:4">
      <c r="A1793" s="5">
        <v>1732</v>
      </c>
      <c r="B1793" s="138">
        <f>'Tax Sched 23'!F5</f>
        <v>178022</v>
      </c>
      <c r="C1793" s="2" t="s">
        <v>594</v>
      </c>
      <c r="D1793" s="2" t="str">
        <f t="shared" si="27"/>
        <v>Error?</v>
      </c>
    </row>
    <row r="1794" spans="1:4">
      <c r="A1794" s="5">
        <v>1733</v>
      </c>
      <c r="B1794" s="138">
        <f>'Tax Sched 23'!F6</f>
        <v>73713</v>
      </c>
      <c r="C1794" s="2" t="s">
        <v>594</v>
      </c>
      <c r="D1794" s="2" t="str">
        <f t="shared" si="27"/>
        <v>Error?</v>
      </c>
    </row>
    <row r="1795" spans="1:4">
      <c r="A1795" s="5">
        <v>1734</v>
      </c>
      <c r="B1795" s="138">
        <f>'Tax Sched 23'!F7</f>
        <v>39018</v>
      </c>
      <c r="C1795" s="2" t="s">
        <v>594</v>
      </c>
      <c r="D1795" s="2" t="str">
        <f t="shared" si="27"/>
        <v>Error?</v>
      </c>
    </row>
    <row r="1796" spans="1:4">
      <c r="A1796" s="5">
        <v>1735</v>
      </c>
      <c r="B1796" s="138">
        <f>'Tax Sched 23'!F8</f>
        <v>58690</v>
      </c>
      <c r="C1796" s="2" t="s">
        <v>594</v>
      </c>
      <c r="D1796" s="2" t="str">
        <f t="shared" si="27"/>
        <v>Error?</v>
      </c>
    </row>
    <row r="1797" spans="1:4">
      <c r="A1797" s="5">
        <v>1736</v>
      </c>
      <c r="B1797" s="138">
        <f>'Tax Sched 23'!F10</f>
        <v>16259</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88052</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6503</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968569</v>
      </c>
      <c r="C1807" s="2" t="s">
        <v>594</v>
      </c>
      <c r="D1807" s="2" t="str">
        <f t="shared" si="27"/>
        <v>Error?</v>
      </c>
    </row>
    <row r="1808" spans="1:4">
      <c r="A1808" s="5">
        <v>1747</v>
      </c>
      <c r="B1808" s="138">
        <f>'Tax Sched 23'!E4</f>
        <v>831089</v>
      </c>
      <c r="D1808" s="2" t="str">
        <f t="shared" si="27"/>
        <v>Error?</v>
      </c>
    </row>
    <row r="1809" spans="1:4">
      <c r="A1809" s="5">
        <v>1748</v>
      </c>
      <c r="B1809" s="138">
        <f>'Tax Sched 23'!E5</f>
        <v>364017</v>
      </c>
      <c r="D1809" s="2" t="str">
        <f t="shared" si="27"/>
        <v>Error?</v>
      </c>
    </row>
    <row r="1810" spans="1:4">
      <c r="A1810" s="5">
        <v>1749</v>
      </c>
      <c r="B1810" s="138">
        <f>'Tax Sched 23'!E6</f>
        <v>150726</v>
      </c>
      <c r="D1810" s="2" t="str">
        <f t="shared" si="27"/>
        <v>Error?</v>
      </c>
    </row>
    <row r="1811" spans="1:4">
      <c r="A1811" s="5">
        <v>1750</v>
      </c>
      <c r="B1811" s="138">
        <f>'Tax Sched 23'!E7</f>
        <v>79785</v>
      </c>
      <c r="D1811" s="2" t="str">
        <f t="shared" si="27"/>
        <v>Error?</v>
      </c>
    </row>
    <row r="1812" spans="1:4">
      <c r="A1812" s="5">
        <v>1751</v>
      </c>
      <c r="B1812" s="138">
        <f>'Tax Sched 23'!E8</f>
        <v>120009</v>
      </c>
      <c r="D1812" s="2" t="str">
        <f t="shared" si="27"/>
        <v>Error?</v>
      </c>
    </row>
    <row r="1813" spans="1:4">
      <c r="A1813" s="5">
        <v>1752</v>
      </c>
      <c r="B1813" s="138">
        <f>'Tax Sched 23'!E10</f>
        <v>33244</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180047</v>
      </c>
      <c r="D1816" s="2" t="str">
        <f t="shared" si="27"/>
        <v>Error?</v>
      </c>
    </row>
    <row r="1817" spans="1:4">
      <c r="A1817" s="5">
        <v>1756</v>
      </c>
      <c r="B1817" s="138">
        <f>'Tax Sched 23'!E12</f>
        <v>0</v>
      </c>
      <c r="D1817" s="2" t="str">
        <f t="shared" si="27"/>
        <v>Error?</v>
      </c>
    </row>
    <row r="1818" spans="1:4">
      <c r="A1818" s="5">
        <v>1757</v>
      </c>
      <c r="B1818" s="138">
        <f>'Tax Sched 23'!E14</f>
        <v>13297</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1980517</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3792000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13689</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13689</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13689</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78800</v>
      </c>
      <c r="D2008" s="2" t="str">
        <f t="shared" si="30"/>
        <v>Error?</v>
      </c>
    </row>
    <row r="2009" spans="1:4">
      <c r="A2009" s="5">
        <v>1948</v>
      </c>
      <c r="B2009" s="138">
        <f>'Cap Outlay Deprec 26'!C8</f>
        <v>16904710</v>
      </c>
      <c r="D2009" s="2" t="str">
        <f t="shared" si="30"/>
        <v>Error?</v>
      </c>
    </row>
    <row r="2010" spans="1:4">
      <c r="A2010" s="5">
        <v>1949</v>
      </c>
      <c r="B2010" s="138">
        <f>'Cap Outlay Deprec 26'!C10</f>
        <v>345963</v>
      </c>
      <c r="D2010" s="2" t="str">
        <f t="shared" si="30"/>
        <v>Error?</v>
      </c>
    </row>
    <row r="2011" spans="1:4">
      <c r="A2011" s="5">
        <v>1950</v>
      </c>
      <c r="B2011" s="138">
        <f>'Cap Outlay Deprec 26'!C12</f>
        <v>1488517</v>
      </c>
      <c r="D2011" s="2" t="str">
        <f t="shared" si="30"/>
        <v>Error?</v>
      </c>
    </row>
    <row r="2012" spans="1:4">
      <c r="A2012" s="5">
        <v>1951</v>
      </c>
      <c r="B2012" s="138">
        <f>'Cap Outlay Deprec 26'!C13</f>
        <v>0</v>
      </c>
      <c r="D2012" s="2" t="str">
        <f t="shared" si="30"/>
        <v>Error?</v>
      </c>
    </row>
    <row r="2013" spans="1:4">
      <c r="A2013" s="5">
        <v>1952</v>
      </c>
      <c r="B2013" s="138">
        <f>'Cap Outlay Deprec 26'!C16</f>
        <v>18817990</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162516</v>
      </c>
      <c r="D2015" s="2" t="str">
        <f t="shared" si="30"/>
        <v>Error?</v>
      </c>
    </row>
    <row r="2016" spans="1:4">
      <c r="A2016" s="5">
        <v>1955</v>
      </c>
      <c r="B2016" s="138">
        <f>'Cap Outlay Deprec 26'!D10</f>
        <v>0</v>
      </c>
      <c r="D2016" s="2" t="str">
        <f t="shared" si="30"/>
        <v>Error?</v>
      </c>
    </row>
    <row r="2017" spans="1:4">
      <c r="A2017" s="5">
        <v>1956</v>
      </c>
      <c r="B2017" s="138">
        <f>'Cap Outlay Deprec 26'!D12</f>
        <v>61829</v>
      </c>
      <c r="D2017" s="2" t="str">
        <f t="shared" si="30"/>
        <v>Error?</v>
      </c>
    </row>
    <row r="2018" spans="1:4">
      <c r="A2018" s="5">
        <v>1957</v>
      </c>
      <c r="B2018" s="138">
        <f>'Cap Outlay Deprec 26'!D13</f>
        <v>0</v>
      </c>
      <c r="D2018" s="2" t="str">
        <f t="shared" si="30"/>
        <v>Error?</v>
      </c>
    </row>
    <row r="2019" spans="1:4">
      <c r="A2019" s="5">
        <v>1958</v>
      </c>
      <c r="B2019" s="138">
        <f>'Cap Outlay Deprec 26'!D16</f>
        <v>224345</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87216</v>
      </c>
      <c r="D2023" s="2" t="str">
        <f t="shared" si="30"/>
        <v>Error?</v>
      </c>
    </row>
    <row r="2024" spans="1:4">
      <c r="A2024" s="5">
        <v>1963</v>
      </c>
      <c r="B2024" s="138">
        <f>'Cap Outlay Deprec 26'!E13</f>
        <v>0</v>
      </c>
      <c r="D2024" s="2" t="str">
        <f t="shared" si="30"/>
        <v>Error?</v>
      </c>
    </row>
    <row r="2025" spans="1:4">
      <c r="A2025" s="5">
        <v>1964</v>
      </c>
      <c r="B2025" s="138">
        <f>'Cap Outlay Deprec 26'!E16</f>
        <v>87216</v>
      </c>
      <c r="C2025" s="2" t="s">
        <v>594</v>
      </c>
      <c r="D2025" s="2" t="str">
        <f t="shared" si="30"/>
        <v>Error?</v>
      </c>
    </row>
    <row r="2026" spans="1:4">
      <c r="A2026" s="5">
        <v>1965</v>
      </c>
      <c r="B2026" s="138">
        <f>'Cap Outlay Deprec 26'!F5</f>
        <v>78800</v>
      </c>
      <c r="C2026" s="2" t="s">
        <v>594</v>
      </c>
      <c r="D2026" s="2" t="str">
        <f t="shared" si="30"/>
        <v>Error?</v>
      </c>
    </row>
    <row r="2027" spans="1:4">
      <c r="A2027" s="5">
        <v>1966</v>
      </c>
      <c r="B2027" s="138">
        <f>'Cap Outlay Deprec 26'!F8</f>
        <v>17067226</v>
      </c>
      <c r="C2027" s="2" t="s">
        <v>594</v>
      </c>
      <c r="D2027" s="2" t="str">
        <f t="shared" si="30"/>
        <v>Error?</v>
      </c>
    </row>
    <row r="2028" spans="1:4">
      <c r="A2028" s="5">
        <v>1967</v>
      </c>
      <c r="B2028" s="138">
        <f>'Cap Outlay Deprec 26'!F10</f>
        <v>345963</v>
      </c>
      <c r="C2028" s="2" t="s">
        <v>594</v>
      </c>
      <c r="D2028" s="2" t="str">
        <f t="shared" si="30"/>
        <v>Error?</v>
      </c>
    </row>
    <row r="2029" spans="1:4">
      <c r="A2029" s="5">
        <v>1968</v>
      </c>
      <c r="B2029" s="138">
        <f>'Cap Outlay Deprec 26'!F12</f>
        <v>1463130</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18955119</v>
      </c>
      <c r="C2031" s="2" t="s">
        <v>594</v>
      </c>
      <c r="D2031" s="2" t="str">
        <f t="shared" si="30"/>
        <v>Error?</v>
      </c>
    </row>
    <row r="2032" spans="1:4">
      <c r="A2032" s="10">
        <v>1971</v>
      </c>
      <c r="D2032" s="2" t="str">
        <f t="shared" si="30"/>
        <v>OK</v>
      </c>
    </row>
    <row r="2033" spans="1:4">
      <c r="A2033" s="5">
        <v>1972</v>
      </c>
      <c r="B2033" s="138">
        <f>'Cap Outlay Deprec 26'!H8</f>
        <v>7988935</v>
      </c>
      <c r="D2033" s="2" t="str">
        <f t="shared" si="30"/>
        <v>Error?</v>
      </c>
    </row>
    <row r="2034" spans="1:4">
      <c r="A2034" s="5">
        <v>1973</v>
      </c>
      <c r="B2034" s="138">
        <f>'Cap Outlay Deprec 26'!H10</f>
        <v>337911</v>
      </c>
      <c r="D2034" s="2" t="str">
        <f t="shared" si="30"/>
        <v>Error?</v>
      </c>
    </row>
    <row r="2035" spans="1:4">
      <c r="A2035" s="5">
        <v>1974</v>
      </c>
      <c r="B2035" s="138">
        <f>'Cap Outlay Deprec 26'!H12</f>
        <v>850848</v>
      </c>
      <c r="D2035" s="2" t="str">
        <f t="shared" si="30"/>
        <v>Error?</v>
      </c>
    </row>
    <row r="2036" spans="1:4">
      <c r="A2036" s="5">
        <v>1975</v>
      </c>
      <c r="B2036" s="138">
        <f>'Cap Outlay Deprec 26'!H13</f>
        <v>0</v>
      </c>
      <c r="D2036" s="2" t="str">
        <f t="shared" si="30"/>
        <v>Error?</v>
      </c>
    </row>
    <row r="2037" spans="1:4">
      <c r="A2037" s="5">
        <v>1976</v>
      </c>
      <c r="B2037" s="138">
        <f>'Cap Outlay Deprec 26'!H16</f>
        <v>9177694</v>
      </c>
      <c r="C2037" s="2" t="s">
        <v>594</v>
      </c>
      <c r="D2037" s="2" t="str">
        <f t="shared" si="30"/>
        <v>Error?</v>
      </c>
    </row>
    <row r="2038" spans="1:4">
      <c r="A2038" s="10">
        <v>1977</v>
      </c>
      <c r="D2038" s="2" t="str">
        <f t="shared" si="30"/>
        <v>OK</v>
      </c>
    </row>
    <row r="2039" spans="1:4">
      <c r="A2039" s="5">
        <v>1978</v>
      </c>
      <c r="B2039" s="138">
        <f>'Cap Outlay Deprec 26'!I8</f>
        <v>220119</v>
      </c>
      <c r="D2039" s="2" t="str">
        <f t="shared" si="30"/>
        <v>Error?</v>
      </c>
    </row>
    <row r="2040" spans="1:4">
      <c r="A2040" s="5">
        <v>1979</v>
      </c>
      <c r="B2040" s="138">
        <f>'Cap Outlay Deprec 26'!I10</f>
        <v>3062</v>
      </c>
      <c r="D2040" s="2" t="str">
        <f t="shared" si="30"/>
        <v>Error?</v>
      </c>
    </row>
    <row r="2041" spans="1:4">
      <c r="A2041" s="5">
        <v>1980</v>
      </c>
      <c r="B2041" s="138">
        <f>'Cap Outlay Deprec 26'!I12</f>
        <v>146313</v>
      </c>
      <c r="D2041" s="2" t="str">
        <f t="shared" si="30"/>
        <v>Error?</v>
      </c>
    </row>
    <row r="2042" spans="1:4">
      <c r="A2042" s="5">
        <v>1981</v>
      </c>
      <c r="B2042" s="138">
        <f>'Cap Outlay Deprec 26'!I13</f>
        <v>0</v>
      </c>
      <c r="D2042" s="2" t="str">
        <f t="shared" si="30"/>
        <v>Error?</v>
      </c>
    </row>
    <row r="2043" spans="1:4">
      <c r="A2043" s="5">
        <v>1982</v>
      </c>
      <c r="B2043" s="138">
        <f>'Cap Outlay Deprec 26'!I16</f>
        <v>369494</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87216</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87216</v>
      </c>
      <c r="C2049" s="2" t="s">
        <v>594</v>
      </c>
      <c r="D2049" s="2" t="str">
        <f t="shared" si="31"/>
        <v>Error?</v>
      </c>
    </row>
    <row r="2050" spans="1:4">
      <c r="A2050" s="10">
        <v>1989</v>
      </c>
      <c r="D2050" s="2" t="str">
        <f t="shared" si="31"/>
        <v>OK</v>
      </c>
    </row>
    <row r="2051" spans="1:4">
      <c r="A2051" s="5">
        <v>1990</v>
      </c>
      <c r="B2051" s="138">
        <f>'Cap Outlay Deprec 26'!K8</f>
        <v>8209054</v>
      </c>
      <c r="C2051" s="2" t="s">
        <v>594</v>
      </c>
      <c r="D2051" s="2" t="str">
        <f t="shared" si="31"/>
        <v>Error?</v>
      </c>
    </row>
    <row r="2052" spans="1:4">
      <c r="A2052" s="5">
        <v>1991</v>
      </c>
      <c r="B2052" s="138">
        <f>'Cap Outlay Deprec 26'!K10</f>
        <v>340973</v>
      </c>
      <c r="C2052" s="2" t="s">
        <v>594</v>
      </c>
      <c r="D2052" s="2" t="str">
        <f t="shared" si="31"/>
        <v>Error?</v>
      </c>
    </row>
    <row r="2053" spans="1:4">
      <c r="A2053" s="5">
        <v>1992</v>
      </c>
      <c r="B2053" s="138">
        <f>'Cap Outlay Deprec 26'!K12</f>
        <v>909945</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9459972</v>
      </c>
      <c r="C2055" s="2" t="s">
        <v>594</v>
      </c>
      <c r="D2055" s="2" t="str">
        <f t="shared" si="31"/>
        <v>Error?</v>
      </c>
    </row>
    <row r="2056" spans="1:4">
      <c r="A2056" s="5">
        <v>1995</v>
      </c>
      <c r="B2056" s="138">
        <f>'Cap Outlay Deprec 26'!L5</f>
        <v>78800</v>
      </c>
      <c r="C2056" s="2" t="s">
        <v>594</v>
      </c>
      <c r="D2056" s="2" t="str">
        <f t="shared" si="31"/>
        <v>Error?</v>
      </c>
    </row>
    <row r="2057" spans="1:4">
      <c r="A2057" s="5">
        <v>1996</v>
      </c>
      <c r="B2057" s="138">
        <f>'Cap Outlay Deprec 26'!L8</f>
        <v>8858172</v>
      </c>
      <c r="C2057" s="2" t="s">
        <v>594</v>
      </c>
      <c r="D2057" s="2" t="str">
        <f t="shared" si="31"/>
        <v>Error?</v>
      </c>
    </row>
    <row r="2058" spans="1:4">
      <c r="A2058" s="5">
        <v>1997</v>
      </c>
      <c r="B2058" s="138">
        <f>'Cap Outlay Deprec 26'!L10</f>
        <v>4990</v>
      </c>
      <c r="C2058" s="2" t="s">
        <v>594</v>
      </c>
      <c r="D2058" s="2" t="str">
        <f t="shared" si="31"/>
        <v>Error?</v>
      </c>
    </row>
    <row r="2059" spans="1:4">
      <c r="A2059" s="5">
        <v>1998</v>
      </c>
      <c r="B2059" s="138">
        <f>'Cap Outlay Deprec 26'!L12</f>
        <v>553185</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9495147</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146126</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146126</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156987</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27567</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1344474</v>
      </c>
      <c r="C2551" s="2" t="s">
        <v>594</v>
      </c>
      <c r="D2551" s="2" t="str">
        <f t="shared" si="38"/>
        <v>Error?</v>
      </c>
    </row>
    <row r="2552" spans="1:4">
      <c r="A2552" s="10">
        <v>2491</v>
      </c>
      <c r="D2552" s="2" t="str">
        <f t="shared" si="38"/>
        <v>OK</v>
      </c>
    </row>
    <row r="2553" spans="1:4">
      <c r="A2553" s="5">
        <v>2492</v>
      </c>
      <c r="B2553" s="138">
        <f>'Acct Summary 7-8'!C6</f>
        <v>6633346</v>
      </c>
      <c r="C2553" s="2" t="s">
        <v>594</v>
      </c>
      <c r="D2553" s="2" t="str">
        <f t="shared" si="38"/>
        <v>Error?</v>
      </c>
    </row>
    <row r="2554" spans="1:4">
      <c r="A2554" s="5">
        <v>2493</v>
      </c>
      <c r="B2554" s="138">
        <f>'Acct Summary 7-8'!C7</f>
        <v>1149206</v>
      </c>
      <c r="C2554" s="2" t="s">
        <v>594</v>
      </c>
      <c r="D2554" s="2" t="str">
        <f t="shared" si="38"/>
        <v>Error?</v>
      </c>
    </row>
    <row r="2555" spans="1:4">
      <c r="A2555" s="5">
        <v>2494</v>
      </c>
      <c r="B2555" s="138">
        <f>'Acct Summary 7-8'!C8</f>
        <v>9127026</v>
      </c>
      <c r="C2555" s="2" t="s">
        <v>594</v>
      </c>
      <c r="D2555" s="2" t="str">
        <f t="shared" si="38"/>
        <v>Error?</v>
      </c>
    </row>
    <row r="2556" spans="1:4">
      <c r="A2556" s="5">
        <v>2495</v>
      </c>
      <c r="B2556" s="138">
        <f>'Acct Summary 7-8'!C12</f>
        <v>5687690</v>
      </c>
      <c r="C2556" s="2" t="s">
        <v>594</v>
      </c>
      <c r="D2556" s="2" t="str">
        <f t="shared" si="38"/>
        <v>Error?</v>
      </c>
    </row>
    <row r="2557" spans="1:4">
      <c r="A2557" s="5">
        <v>2496</v>
      </c>
      <c r="B2557" s="138">
        <f>'Acct Summary 7-8'!C13</f>
        <v>2161145</v>
      </c>
      <c r="C2557" s="2" t="s">
        <v>594</v>
      </c>
      <c r="D2557" s="2" t="str">
        <f t="shared" si="38"/>
        <v>Error?</v>
      </c>
    </row>
    <row r="2558" spans="1:4">
      <c r="A2558" s="5">
        <v>2497</v>
      </c>
      <c r="B2558" s="138">
        <f>'Acct Summary 7-8'!C14</f>
        <v>37719</v>
      </c>
      <c r="C2558" s="2" t="s">
        <v>594</v>
      </c>
      <c r="D2558" s="2" t="str">
        <f t="shared" si="38"/>
        <v>Error?</v>
      </c>
    </row>
    <row r="2559" spans="1:4">
      <c r="A2559" s="5">
        <v>2498</v>
      </c>
      <c r="B2559" s="138">
        <f>'Acct Summary 7-8'!C15</f>
        <v>146126</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8032680</v>
      </c>
      <c r="C2561" s="2" t="s">
        <v>594</v>
      </c>
      <c r="D2561" s="2" t="str">
        <f t="shared" si="39"/>
        <v>Error?</v>
      </c>
    </row>
    <row r="2562" spans="1:4">
      <c r="A2562" s="5">
        <v>2501</v>
      </c>
      <c r="B2562" s="138">
        <f>'Acct Summary 7-8'!C20</f>
        <v>1094346</v>
      </c>
      <c r="C2562" s="2" t="s">
        <v>594</v>
      </c>
      <c r="D2562" s="2" t="str">
        <f t="shared" si="39"/>
        <v>Error?</v>
      </c>
    </row>
    <row r="2563" spans="1:4">
      <c r="A2563" s="5">
        <v>2502</v>
      </c>
      <c r="B2563" s="138">
        <f>'Acct Summary 7-8'!C80</f>
        <v>0</v>
      </c>
      <c r="D2563" s="2" t="str">
        <f t="shared" si="39"/>
        <v>Error?</v>
      </c>
    </row>
    <row r="2564" spans="1:4">
      <c r="A2564" s="5">
        <v>2503</v>
      </c>
      <c r="B2564" s="138">
        <f>'Acct Summary 7-8'!D4</f>
        <v>536305</v>
      </c>
      <c r="C2564" s="2" t="s">
        <v>594</v>
      </c>
      <c r="D2564" s="2" t="str">
        <f t="shared" si="39"/>
        <v>Error?</v>
      </c>
    </row>
    <row r="2565" spans="1:4">
      <c r="A2565" s="10">
        <v>2504</v>
      </c>
      <c r="D2565" s="2" t="str">
        <f t="shared" si="39"/>
        <v>OK</v>
      </c>
    </row>
    <row r="2566" spans="1:4">
      <c r="A2566" s="5">
        <v>2505</v>
      </c>
      <c r="B2566" s="138">
        <f>'Acct Summary 7-8'!D6</f>
        <v>558207</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1094512</v>
      </c>
      <c r="C2568" s="2" t="s">
        <v>594</v>
      </c>
      <c r="D2568" s="2" t="str">
        <f t="shared" si="39"/>
        <v>Error?</v>
      </c>
    </row>
    <row r="2569" spans="1:4">
      <c r="A2569" s="5">
        <v>2508</v>
      </c>
      <c r="B2569" s="138">
        <f>'Acct Summary 7-8'!D13</f>
        <v>1003512</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1003512</v>
      </c>
      <c r="C2573" s="2" t="s">
        <v>594</v>
      </c>
      <c r="D2573" s="2" t="str">
        <f t="shared" si="39"/>
        <v>Error?</v>
      </c>
    </row>
    <row r="2574" spans="1:4">
      <c r="A2574" s="5">
        <v>2513</v>
      </c>
      <c r="B2574" s="138">
        <f>'Acct Summary 7-8'!D20</f>
        <v>91000</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130063</v>
      </c>
      <c r="C2591" s="2" t="s">
        <v>594</v>
      </c>
      <c r="D2591" s="2" t="str">
        <f t="shared" si="39"/>
        <v>Error?</v>
      </c>
    </row>
    <row r="2592" spans="1:4">
      <c r="A2592" s="10">
        <v>2531</v>
      </c>
      <c r="D2592" s="2" t="str">
        <f t="shared" si="39"/>
        <v>OK</v>
      </c>
    </row>
    <row r="2593" spans="1:4">
      <c r="A2593" s="5">
        <v>2532</v>
      </c>
      <c r="B2593" s="138">
        <f>'Acct Summary 7-8'!F6</f>
        <v>518517</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648580</v>
      </c>
      <c r="C2595" s="2" t="s">
        <v>594</v>
      </c>
      <c r="D2595" s="2" t="str">
        <f t="shared" si="39"/>
        <v>Error?</v>
      </c>
    </row>
    <row r="2596" spans="1:4">
      <c r="A2596" s="5">
        <v>2535</v>
      </c>
      <c r="B2596" s="138">
        <f>'Acct Summary 7-8'!F13</f>
        <v>507074</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507074</v>
      </c>
      <c r="C2600" s="2" t="s">
        <v>594</v>
      </c>
      <c r="D2600" s="2" t="str">
        <f t="shared" si="39"/>
        <v>Error?</v>
      </c>
    </row>
    <row r="2601" spans="1:4">
      <c r="A2601" s="5">
        <v>2540</v>
      </c>
      <c r="B2601" s="138">
        <f>'Acct Summary 7-8'!F20</f>
        <v>141506</v>
      </c>
      <c r="C2601" s="2" t="s">
        <v>594</v>
      </c>
      <c r="D2601" s="2" t="str">
        <f t="shared" si="39"/>
        <v>Error?</v>
      </c>
    </row>
    <row r="2602" spans="1:4">
      <c r="A2602" s="5">
        <v>2541</v>
      </c>
      <c r="B2602" s="138">
        <f>'Acct Summary 7-8'!F80</f>
        <v>0</v>
      </c>
      <c r="D2602" s="2" t="str">
        <f t="shared" si="39"/>
        <v>Error?</v>
      </c>
    </row>
    <row r="2603" spans="1:4">
      <c r="A2603" s="5">
        <v>2542</v>
      </c>
      <c r="B2603" s="138">
        <f>'Acct Summary 7-8'!G4</f>
        <v>326855</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326855</v>
      </c>
      <c r="C2606" s="2" t="s">
        <v>594</v>
      </c>
      <c r="D2606" s="2" t="str">
        <f t="shared" si="39"/>
        <v>Error?</v>
      </c>
    </row>
    <row r="2607" spans="1:4">
      <c r="A2607" s="5">
        <v>2546</v>
      </c>
      <c r="B2607" s="138">
        <f>'Acct Summary 7-8'!G12</f>
        <v>138824</v>
      </c>
      <c r="C2607" s="2" t="s">
        <v>594</v>
      </c>
      <c r="D2607" s="2" t="str">
        <f t="shared" si="39"/>
        <v>Error?</v>
      </c>
    </row>
    <row r="2608" spans="1:4">
      <c r="A2608" s="5">
        <v>2547</v>
      </c>
      <c r="B2608" s="138">
        <f>'Acct Summary 7-8'!G13</f>
        <v>148791</v>
      </c>
      <c r="C2608" s="2" t="s">
        <v>594</v>
      </c>
      <c r="D2608" s="2" t="str">
        <f t="shared" si="39"/>
        <v>Error?</v>
      </c>
    </row>
    <row r="2609" spans="1:4">
      <c r="A2609" s="5">
        <v>2548</v>
      </c>
      <c r="B2609" s="138">
        <f>'Acct Summary 7-8'!G14</f>
        <v>3477</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294202</v>
      </c>
      <c r="C2612" s="2" t="s">
        <v>594</v>
      </c>
      <c r="D2612" s="2" t="str">
        <f t="shared" si="39"/>
        <v>Error?</v>
      </c>
    </row>
    <row r="2613" spans="1:4">
      <c r="A2613" s="5">
        <v>2552</v>
      </c>
      <c r="B2613" s="138">
        <f>'Acct Summary 7-8'!G20</f>
        <v>32653</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145097</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145097</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458522</v>
      </c>
      <c r="C2634" s="2" t="s">
        <v>594</v>
      </c>
      <c r="D2634" s="2" t="str">
        <f t="shared" si="40"/>
        <v>Error?</v>
      </c>
    </row>
    <row r="2635" spans="1:4">
      <c r="A2635" s="5">
        <v>2574</v>
      </c>
      <c r="B2635" s="138">
        <f>'Acct Summary 7-8'!E17</f>
        <v>458522</v>
      </c>
      <c r="C2635" s="2" t="s">
        <v>594</v>
      </c>
      <c r="D2635" s="2" t="str">
        <f t="shared" si="40"/>
        <v>Error?</v>
      </c>
    </row>
    <row r="2636" spans="1:4">
      <c r="A2636" s="5">
        <v>2575</v>
      </c>
      <c r="B2636" s="138">
        <f>'Acct Summary 7-8'!E20</f>
        <v>-313425</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520526</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520526</v>
      </c>
      <c r="C2658" s="2" t="s">
        <v>594</v>
      </c>
      <c r="D2658" s="2" t="str">
        <f t="shared" si="40"/>
        <v>Error?</v>
      </c>
    </row>
    <row r="2659" spans="1:4">
      <c r="A2659" s="5">
        <v>2598</v>
      </c>
      <c r="B2659" s="138">
        <f>'Acct Summary 7-8'!H13</f>
        <v>162516</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162516</v>
      </c>
      <c r="C2661" s="2" t="s">
        <v>594</v>
      </c>
      <c r="D2661" s="2" t="str">
        <f t="shared" si="40"/>
        <v>Error?</v>
      </c>
    </row>
    <row r="2662" spans="1:4">
      <c r="A2662" s="5">
        <v>2601</v>
      </c>
      <c r="B2662" s="138">
        <f>'Acct Summary 7-8'!H20</f>
        <v>358010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260857</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20126</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260857</v>
      </c>
      <c r="D2912" s="2" t="str">
        <f t="shared" si="44"/>
        <v>Error?</v>
      </c>
    </row>
    <row r="2913" spans="1:4">
      <c r="A2913" s="5">
        <v>2852</v>
      </c>
      <c r="B2913" s="138">
        <f>'Assets-Liab 5-6'!I41</f>
        <v>260857</v>
      </c>
      <c r="C2913" s="2" t="s">
        <v>594</v>
      </c>
      <c r="D2913" s="2" t="str">
        <f t="shared" si="44"/>
        <v>Error?</v>
      </c>
    </row>
    <row r="2914" spans="1:4">
      <c r="A2914" s="5">
        <v>2853</v>
      </c>
      <c r="B2914" s="138">
        <f>'Assets-Liab 5-6'!L33</f>
        <v>20126</v>
      </c>
      <c r="D2914" s="2" t="str">
        <f t="shared" si="44"/>
        <v>Error?</v>
      </c>
    </row>
    <row r="2915" spans="1:4">
      <c r="A2915" s="10">
        <v>2854</v>
      </c>
      <c r="D2915" s="2" t="str">
        <f t="shared" si="44"/>
        <v>OK</v>
      </c>
    </row>
    <row r="2916" spans="1:4">
      <c r="A2916" s="5">
        <v>2855</v>
      </c>
      <c r="B2916" s="138">
        <f>'Assets-Liab 5-6'!L34</f>
        <v>20126</v>
      </c>
      <c r="C2916" s="2" t="s">
        <v>594</v>
      </c>
      <c r="D2916" s="2" t="str">
        <f t="shared" si="44"/>
        <v>Error?</v>
      </c>
    </row>
    <row r="2917" spans="1:4">
      <c r="A2917" s="5">
        <v>2856</v>
      </c>
      <c r="B2917" s="138">
        <f>'Assets-Liab 5-6'!L41</f>
        <v>20126</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2125</v>
      </c>
      <c r="D2955" s="2" t="str">
        <f t="shared" si="45"/>
        <v>Error?</v>
      </c>
    </row>
    <row r="2956" spans="1:4">
      <c r="A2956" s="5">
        <v>2895</v>
      </c>
      <c r="B2956" s="138">
        <f>'Expenditures 15-22'!H79</f>
        <v>144001</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2125</v>
      </c>
      <c r="C2973" s="2" t="s">
        <v>594</v>
      </c>
      <c r="D2973" s="2" t="str">
        <f t="shared" si="45"/>
        <v>Error?</v>
      </c>
    </row>
    <row r="2974" spans="1:4">
      <c r="A2974" s="5">
        <v>2913</v>
      </c>
      <c r="B2974" s="138">
        <f>'Expenditures 15-22'!K79</f>
        <v>144001</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226326</v>
      </c>
      <c r="D3055" s="2" t="str">
        <f t="shared" si="46"/>
        <v>Error?</v>
      </c>
    </row>
    <row r="3056" spans="1:4">
      <c r="A3056" s="5">
        <v>2995</v>
      </c>
      <c r="B3056" s="138">
        <f>'Expenditures 15-22'!D10</f>
        <v>53838</v>
      </c>
      <c r="D3056" s="2" t="str">
        <f t="shared" si="46"/>
        <v>Error?</v>
      </c>
    </row>
    <row r="3057" spans="1:4">
      <c r="A3057" s="5">
        <v>2996</v>
      </c>
      <c r="B3057" s="138">
        <f>'Expenditures 15-22'!E10</f>
        <v>92734</v>
      </c>
      <c r="D3057" s="2" t="str">
        <f t="shared" si="46"/>
        <v>Error?</v>
      </c>
    </row>
    <row r="3058" spans="1:4">
      <c r="A3058" s="5">
        <v>2997</v>
      </c>
      <c r="B3058" s="138">
        <f>'Expenditures 15-22'!F10</f>
        <v>103179</v>
      </c>
      <c r="D3058" s="2" t="str">
        <f t="shared" si="46"/>
        <v>Error?</v>
      </c>
    </row>
    <row r="3059" spans="1:4">
      <c r="A3059" s="5">
        <v>2998</v>
      </c>
      <c r="B3059" s="138">
        <f>'Expenditures 15-22'!G10</f>
        <v>20222</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496299</v>
      </c>
      <c r="C3062" s="2" t="s">
        <v>594</v>
      </c>
      <c r="D3062" s="2" t="str">
        <f t="shared" si="46"/>
        <v>Error?</v>
      </c>
    </row>
    <row r="3063" spans="1:4">
      <c r="A3063" s="10">
        <v>3002</v>
      </c>
      <c r="D3063" s="2" t="str">
        <f t="shared" si="46"/>
        <v>OK</v>
      </c>
    </row>
    <row r="3064" spans="1:4">
      <c r="A3064" s="5">
        <v>3003</v>
      </c>
      <c r="B3064" s="138">
        <f>'Expenditures 15-22'!D219</f>
        <v>36299</v>
      </c>
      <c r="D3064" s="2" t="str">
        <f t="shared" si="46"/>
        <v>Error?</v>
      </c>
    </row>
    <row r="3065" spans="1:4">
      <c r="A3065" s="5">
        <v>3004</v>
      </c>
      <c r="B3065" s="138">
        <f>'Expenditures 15-22'!K219</f>
        <v>36299</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35005</v>
      </c>
      <c r="C3225" s="2" t="s">
        <v>594</v>
      </c>
      <c r="D3225" s="2" t="str">
        <f t="shared" si="49"/>
        <v>Error?</v>
      </c>
    </row>
    <row r="3226" spans="1:4">
      <c r="A3226" s="5">
        <v>3165</v>
      </c>
      <c r="B3226" s="138">
        <f>'Acct Summary 7-8'!I8</f>
        <v>35005</v>
      </c>
      <c r="C3226" s="2" t="s">
        <v>594</v>
      </c>
      <c r="D3226" s="2" t="str">
        <f t="shared" si="49"/>
        <v>Error?</v>
      </c>
    </row>
    <row r="3227" spans="1:4">
      <c r="A3227" s="5">
        <v>3166</v>
      </c>
      <c r="B3227" s="138">
        <f>'Acct Summary 7-8'!I20</f>
        <v>35005</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1094346</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91000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141506</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32653</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328545</v>
      </c>
      <c r="D3273" s="2" t="str">
        <f t="shared" si="50"/>
        <v>Error?</v>
      </c>
    </row>
    <row r="3274" spans="1:4">
      <c r="A3274" s="5">
        <v>3213</v>
      </c>
      <c r="B3274" s="138">
        <f>'Acct Summary 7-8'!E44</f>
        <v>328545</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328545</v>
      </c>
      <c r="C3277" s="2" t="s">
        <v>594</v>
      </c>
      <c r="D3277" s="2" t="str">
        <f t="shared" si="50"/>
        <v>Error?</v>
      </c>
    </row>
    <row r="3278" spans="1:4">
      <c r="A3278" s="5">
        <v>3217</v>
      </c>
      <c r="B3278" s="138">
        <f>'Acct Summary 7-8'!E78</f>
        <v>15120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328545</v>
      </c>
      <c r="D3297" s="2" t="str">
        <f t="shared" si="50"/>
        <v>Error?</v>
      </c>
    </row>
    <row r="3298" spans="1:4">
      <c r="A3298" s="5">
        <v>3237</v>
      </c>
      <c r="B3298" s="138">
        <f>'Acct Summary 7-8'!H76</f>
        <v>328545</v>
      </c>
      <c r="C3298" s="2" t="s">
        <v>594</v>
      </c>
      <c r="D3298" s="2" t="str">
        <f t="shared" si="50"/>
        <v>Error?</v>
      </c>
    </row>
    <row r="3299" spans="1:4">
      <c r="A3299" s="5">
        <v>3238</v>
      </c>
      <c r="B3299" s="138">
        <f>'Acct Summary 7-8'!H77</f>
        <v>-328545</v>
      </c>
      <c r="C3299" s="2" t="s">
        <v>594</v>
      </c>
      <c r="D3299" s="2" t="str">
        <f t="shared" si="50"/>
        <v>Error?</v>
      </c>
    </row>
    <row r="3300" spans="1:4">
      <c r="A3300" s="5">
        <v>3239</v>
      </c>
      <c r="B3300" s="138">
        <f>'Acct Summary 7-8'!H78</f>
        <v>29465</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35005</v>
      </c>
      <c r="C3320" s="2" t="s">
        <v>594</v>
      </c>
      <c r="D3320" s="2" t="str">
        <f t="shared" si="50"/>
        <v>Error?</v>
      </c>
    </row>
    <row r="3321" spans="1:4">
      <c r="A3321" s="5">
        <v>3260</v>
      </c>
      <c r="B3321" s="138">
        <f>'Acct Summary 7-8'!I79</f>
        <v>225852</v>
      </c>
      <c r="D3321" s="2" t="str">
        <f t="shared" si="50"/>
        <v>Error?</v>
      </c>
    </row>
    <row r="3322" spans="1:4">
      <c r="A3322" s="5">
        <v>3261</v>
      </c>
      <c r="B3322" s="138">
        <f>'Acct Summary 7-8'!I80</f>
        <v>0</v>
      </c>
      <c r="D3322" s="2" t="str">
        <f t="shared" si="50"/>
        <v>Error?</v>
      </c>
    </row>
    <row r="3323" spans="1:4">
      <c r="A3323" s="5">
        <v>3262</v>
      </c>
      <c r="B3323" s="138">
        <f>'Acct Summary 7-8'!I81</f>
        <v>260857</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792222</v>
      </c>
      <c r="D3366" s="2" t="str">
        <f t="shared" si="51"/>
        <v>Error?</v>
      </c>
    </row>
    <row r="3367" spans="1:4">
      <c r="A3367" s="5">
        <v>3306</v>
      </c>
      <c r="B3367" s="138">
        <f>'Expenditures 15-22'!C19</f>
        <v>0</v>
      </c>
      <c r="D3367" s="2" t="str">
        <f t="shared" si="51"/>
        <v>Error?</v>
      </c>
    </row>
    <row r="3368" spans="1:4">
      <c r="A3368" s="5">
        <v>3307</v>
      </c>
      <c r="B3368" s="138">
        <f>'Expenditures 15-22'!D8</f>
        <v>168480</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0</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960702</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40199</v>
      </c>
      <c r="D3387" s="2" t="str">
        <f t="shared" si="51"/>
        <v>Error?</v>
      </c>
    </row>
    <row r="3388" spans="1:4">
      <c r="A3388" s="5">
        <v>3327</v>
      </c>
      <c r="B3388" s="138">
        <f>'Expenditures 15-22'!D217</f>
        <v>48989</v>
      </c>
      <c r="D3388" s="2" t="str">
        <f t="shared" si="51"/>
        <v>Error?</v>
      </c>
    </row>
    <row r="3389" spans="1:4">
      <c r="A3389" s="5">
        <v>3328</v>
      </c>
      <c r="B3389" s="138">
        <f>'Expenditures 15-22'!D228</f>
        <v>0</v>
      </c>
      <c r="D3389" s="2" t="str">
        <f t="shared" si="51"/>
        <v>Error?</v>
      </c>
    </row>
    <row r="3390" spans="1:4">
      <c r="A3390" s="5">
        <v>3329</v>
      </c>
      <c r="B3390" s="138">
        <f>'Expenditures 15-22'!K215</f>
        <v>40199</v>
      </c>
      <c r="C3390" s="2" t="s">
        <v>594</v>
      </c>
      <c r="D3390" s="2" t="str">
        <f t="shared" si="51"/>
        <v>Error?</v>
      </c>
    </row>
    <row r="3391" spans="1:4">
      <c r="A3391" s="5">
        <v>3330</v>
      </c>
      <c r="B3391" s="138">
        <f>'Expenditures 15-22'!K217</f>
        <v>48989</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3827499</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301859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77013</v>
      </c>
      <c r="D3417" s="2" t="str">
        <f t="shared" si="52"/>
        <v>Error?</v>
      </c>
    </row>
    <row r="3418" spans="1:4">
      <c r="A3418" s="10">
        <v>3357</v>
      </c>
      <c r="D3418" s="2" t="str">
        <f t="shared" si="52"/>
        <v>OK</v>
      </c>
    </row>
    <row r="3419" spans="1:4">
      <c r="A3419" s="5">
        <v>3358</v>
      </c>
      <c r="B3419" s="138">
        <f>'Assets-Liab 5-6'!F4</f>
        <v>62771</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246630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336351</v>
      </c>
      <c r="D3425" s="2" t="str">
        <f t="shared" si="52"/>
        <v>Error?</v>
      </c>
    </row>
    <row r="3426" spans="1:4">
      <c r="A3426" s="10">
        <v>3365</v>
      </c>
      <c r="D3426" s="2" t="str">
        <f t="shared" si="52"/>
        <v>OK</v>
      </c>
    </row>
    <row r="3427" spans="1:4">
      <c r="A3427" s="5">
        <v>3366</v>
      </c>
      <c r="B3427" s="138">
        <f>'Assets-Liab 5-6'!I4</f>
        <v>260857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20126</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179430</v>
      </c>
      <c r="C3446" s="2" t="s">
        <v>594</v>
      </c>
      <c r="D3446" s="2" t="str">
        <f t="shared" si="52"/>
        <v>Error?</v>
      </c>
    </row>
    <row r="3447" spans="1:4">
      <c r="A3447" s="5">
        <v>3386</v>
      </c>
      <c r="B3447" s="138">
        <f>'Tax Sched 23'!D16</f>
        <v>89983</v>
      </c>
      <c r="C3447" s="2" t="s">
        <v>594</v>
      </c>
      <c r="D3447" s="2" t="str">
        <f t="shared" si="52"/>
        <v>Error?</v>
      </c>
    </row>
    <row r="3448" spans="1:4">
      <c r="A3448" s="5">
        <v>3387</v>
      </c>
      <c r="B3448" s="138">
        <f>'Tax Sched 23'!C16</f>
        <v>89447</v>
      </c>
      <c r="D3448" s="2" t="str">
        <f t="shared" si="52"/>
        <v>Error?</v>
      </c>
    </row>
    <row r="3449" spans="1:4">
      <c r="A3449" s="5">
        <v>3388</v>
      </c>
      <c r="B3449" s="138">
        <f>'Tax Sched 23'!F16</f>
        <v>85613</v>
      </c>
      <c r="C3449" s="2" t="s">
        <v>594</v>
      </c>
      <c r="D3449" s="2" t="str">
        <f t="shared" si="52"/>
        <v>Error?</v>
      </c>
    </row>
    <row r="3450" spans="1:4">
      <c r="A3450" s="5">
        <v>3389</v>
      </c>
      <c r="B3450" s="138">
        <f>'Tax Sched 23'!E16</f>
        <v>175060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13</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13</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13</v>
      </c>
      <c r="D3567" s="2" t="str">
        <f t="shared" si="54"/>
        <v>Error?</v>
      </c>
    </row>
    <row r="3568" spans="1:4">
      <c r="A3568" s="5">
        <v>3507</v>
      </c>
      <c r="B3568" s="138">
        <f>'Assets-Liab 5-6'!K41</f>
        <v>13</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13</v>
      </c>
      <c r="D3589" s="2" t="str">
        <f t="shared" si="55"/>
        <v>Error?</v>
      </c>
    </row>
    <row r="3590" spans="1:4">
      <c r="A3590" s="5">
        <v>3529</v>
      </c>
      <c r="B3590" s="138">
        <f>'Acct Summary 7-8'!K80</f>
        <v>0</v>
      </c>
      <c r="D3590" s="2" t="str">
        <f t="shared" si="55"/>
        <v>Error?</v>
      </c>
    </row>
    <row r="3591" spans="1:4">
      <c r="A3591" s="5">
        <v>3530</v>
      </c>
      <c r="B3591" s="138">
        <f>'Acct Summary 7-8'!K81</f>
        <v>13</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3110</v>
      </c>
      <c r="D3721" s="2" t="str">
        <f t="shared" si="57"/>
        <v>Error?</v>
      </c>
    </row>
    <row r="3722" spans="1:4">
      <c r="A3722" s="5">
        <v>3661</v>
      </c>
      <c r="B3722" s="138">
        <f>'Expenditures 15-22'!D285</f>
        <v>3110</v>
      </c>
      <c r="C3722" s="2" t="s">
        <v>594</v>
      </c>
      <c r="D3722" s="2" t="str">
        <f t="shared" si="57"/>
        <v>Error?</v>
      </c>
    </row>
    <row r="3723" spans="1:4">
      <c r="A3723" s="5">
        <v>3662</v>
      </c>
      <c r="B3723" s="138">
        <f>'Expenditures 15-22'!K283</f>
        <v>3110</v>
      </c>
      <c r="C3723" s="2" t="s">
        <v>594</v>
      </c>
      <c r="D3723" s="2" t="str">
        <f t="shared" si="57"/>
        <v>Error?</v>
      </c>
    </row>
    <row r="3724" spans="1:4">
      <c r="A3724" s="5">
        <v>3663</v>
      </c>
      <c r="B3724" s="138">
        <f>'Expenditures 15-22'!K285</f>
        <v>3110</v>
      </c>
      <c r="C3724" s="2" t="s">
        <v>594</v>
      </c>
      <c r="D3724" s="2" t="str">
        <f t="shared" si="57"/>
        <v>Error?</v>
      </c>
    </row>
    <row r="3725" spans="1:4">
      <c r="A3725" s="5">
        <v>3664</v>
      </c>
      <c r="B3725" s="138">
        <f>'Tax Sched 23'!B13</f>
        <v>34224</v>
      </c>
      <c r="C3725" s="2" t="s">
        <v>594</v>
      </c>
      <c r="D3725" s="2" t="str">
        <f t="shared" si="57"/>
        <v>Error?</v>
      </c>
    </row>
    <row r="3726" spans="1:4">
      <c r="A3726" s="5">
        <v>3665</v>
      </c>
      <c r="B3726" s="138">
        <f>'Tax Sched 23'!D13</f>
        <v>17238</v>
      </c>
      <c r="C3726" s="2" t="s">
        <v>594</v>
      </c>
      <c r="D3726" s="2" t="str">
        <f t="shared" si="57"/>
        <v>Error?</v>
      </c>
    </row>
    <row r="3727" spans="1:4">
      <c r="A3727" s="5">
        <v>3666</v>
      </c>
      <c r="B3727" s="138">
        <f>'Tax Sched 23'!C13</f>
        <v>16986</v>
      </c>
      <c r="D3727" s="2" t="str">
        <f t="shared" si="57"/>
        <v>Error?</v>
      </c>
    </row>
    <row r="3728" spans="1:4">
      <c r="A3728" s="5">
        <v>3667</v>
      </c>
      <c r="B3728" s="138">
        <f>'Tax Sched 23'!F13</f>
        <v>16257</v>
      </c>
      <c r="C3728" s="2" t="s">
        <v>594</v>
      </c>
      <c r="D3728" s="2" t="str">
        <f t="shared" si="57"/>
        <v>Error?</v>
      </c>
    </row>
    <row r="3729" spans="1:4">
      <c r="A3729" s="5">
        <v>3668</v>
      </c>
      <c r="B3729" s="138">
        <f>'Tax Sched 23'!E13</f>
        <v>33243</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3538177</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12665203</v>
      </c>
      <c r="C4122" s="2" t="s">
        <v>594</v>
      </c>
      <c r="D4122" s="2" t="str">
        <f t="shared" si="63"/>
        <v>Error?</v>
      </c>
    </row>
    <row r="4123" spans="1:4">
      <c r="A4123" s="5">
        <v>4062</v>
      </c>
      <c r="B4123" s="138">
        <f>'Acct Summary 7-8'!D10</f>
        <v>1094512</v>
      </c>
      <c r="C4123" s="2" t="s">
        <v>594</v>
      </c>
      <c r="D4123" s="2" t="str">
        <f t="shared" si="63"/>
        <v>Error?</v>
      </c>
    </row>
    <row r="4124" spans="1:4">
      <c r="A4124" s="5">
        <v>4063</v>
      </c>
      <c r="B4124" s="138">
        <f>'Acct Summary 7-8'!E10</f>
        <v>145097</v>
      </c>
      <c r="C4124" s="2" t="s">
        <v>594</v>
      </c>
      <c r="D4124" s="2" t="str">
        <f t="shared" si="63"/>
        <v>Error?</v>
      </c>
    </row>
    <row r="4125" spans="1:4">
      <c r="A4125" s="5">
        <v>4064</v>
      </c>
      <c r="B4125" s="138">
        <f>'Acct Summary 7-8'!F10</f>
        <v>648580</v>
      </c>
      <c r="C4125" s="2" t="s">
        <v>594</v>
      </c>
      <c r="D4125" s="2" t="str">
        <f t="shared" si="63"/>
        <v>Error?</v>
      </c>
    </row>
    <row r="4126" spans="1:4">
      <c r="A4126" s="5">
        <v>4065</v>
      </c>
      <c r="B4126" s="138">
        <f>'Acct Summary 7-8'!G10</f>
        <v>326855</v>
      </c>
      <c r="C4126" s="2" t="s">
        <v>594</v>
      </c>
      <c r="D4126" s="2" t="str">
        <f t="shared" si="63"/>
        <v>Error?</v>
      </c>
    </row>
    <row r="4127" spans="1:4">
      <c r="A4127" s="5">
        <v>4066</v>
      </c>
      <c r="B4127" s="138">
        <f>'Acct Summary 7-8'!H10</f>
        <v>520526</v>
      </c>
      <c r="C4127" s="2" t="s">
        <v>594</v>
      </c>
      <c r="D4127" s="2" t="str">
        <f t="shared" si="63"/>
        <v>Error?</v>
      </c>
    </row>
    <row r="4128" spans="1:4">
      <c r="A4128" s="5">
        <v>4067</v>
      </c>
      <c r="B4128" s="138">
        <f>'Acct Summary 7-8'!I10</f>
        <v>35005</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3538177</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11570857</v>
      </c>
      <c r="C4136" s="2" t="s">
        <v>594</v>
      </c>
      <c r="D4136" s="2" t="str">
        <f t="shared" si="63"/>
        <v>Error?</v>
      </c>
    </row>
    <row r="4137" spans="1:4">
      <c r="A4137" s="5">
        <v>4076</v>
      </c>
      <c r="B4137" s="138">
        <f>'Acct Summary 7-8'!D19</f>
        <v>1003512</v>
      </c>
      <c r="C4137" s="2" t="s">
        <v>594</v>
      </c>
      <c r="D4137" s="2" t="str">
        <f t="shared" si="63"/>
        <v>Error?</v>
      </c>
    </row>
    <row r="4138" spans="1:4">
      <c r="A4138" s="5">
        <v>4077</v>
      </c>
      <c r="B4138" s="138">
        <f>'Acct Summary 7-8'!E19</f>
        <v>458522</v>
      </c>
      <c r="C4138" s="2" t="s">
        <v>594</v>
      </c>
      <c r="D4138" s="2" t="str">
        <f t="shared" si="63"/>
        <v>Error?</v>
      </c>
    </row>
    <row r="4139" spans="1:4">
      <c r="A4139" s="5">
        <v>4078</v>
      </c>
      <c r="B4139" s="138">
        <f>'Acct Summary 7-8'!F19</f>
        <v>507074</v>
      </c>
      <c r="C4139" s="2" t="s">
        <v>594</v>
      </c>
      <c r="D4139" s="2" t="str">
        <f t="shared" si="63"/>
        <v>Error?</v>
      </c>
    </row>
    <row r="4140" spans="1:4">
      <c r="A4140" s="5">
        <v>4079</v>
      </c>
      <c r="B4140" s="138">
        <f>'Acct Summary 7-8'!G19</f>
        <v>294202</v>
      </c>
      <c r="C4140" s="2" t="s">
        <v>594</v>
      </c>
      <c r="D4140" s="2" t="str">
        <f t="shared" si="63"/>
        <v>Error?</v>
      </c>
    </row>
    <row r="4141" spans="1:4">
      <c r="A4141" s="5">
        <v>4080</v>
      </c>
      <c r="B4141" s="138">
        <f>'Acct Summary 7-8'!H19</f>
        <v>162516</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3427000</v>
      </c>
      <c r="C4171" s="2" t="s">
        <v>594</v>
      </c>
      <c r="D4171" s="2" t="str">
        <f t="shared" si="64"/>
        <v>Error?</v>
      </c>
    </row>
    <row r="4172" spans="1:4">
      <c r="A4172" s="5">
        <v>4111</v>
      </c>
      <c r="B4172" s="138">
        <f>'Short-Term Long-Term Debt 24'!J49</f>
        <v>3349987</v>
      </c>
      <c r="C4172" s="2" t="s">
        <v>594</v>
      </c>
      <c r="D4172" s="2" t="str">
        <f t="shared" si="64"/>
        <v>Error?</v>
      </c>
    </row>
    <row r="4173" spans="1:4">
      <c r="A4173" s="5">
        <v>4112</v>
      </c>
      <c r="B4173" s="138">
        <f>'Short-Term Long-Term Debt 24'!H49</f>
        <v>365000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470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1250</v>
      </c>
      <c r="C4265" s="2" t="s">
        <v>594</v>
      </c>
      <c r="D4265" s="2" t="str">
        <f t="shared" si="65"/>
        <v>Error?</v>
      </c>
      <c r="E4265" s="128"/>
    </row>
    <row r="4266" spans="1:5">
      <c r="A4266" s="12">
        <v>4205</v>
      </c>
      <c r="B4266" s="138">
        <f>('FP Info 3'!F10)*100000</f>
        <v>547.5</v>
      </c>
      <c r="C4266" s="2" t="s">
        <v>594</v>
      </c>
      <c r="D4266" s="2" t="str">
        <f t="shared" si="65"/>
        <v>Error?</v>
      </c>
      <c r="E4266" s="128"/>
    </row>
    <row r="4267" spans="1:5">
      <c r="A4267" s="12">
        <v>4206</v>
      </c>
      <c r="B4267" s="138">
        <f>('FP Info 3'!H10)*100000</f>
        <v>119.99999999999999</v>
      </c>
      <c r="C4267" s="2" t="s">
        <v>594</v>
      </c>
      <c r="D4267" s="2" t="str">
        <f t="shared" si="65"/>
        <v>Error?</v>
      </c>
      <c r="E4267" s="128"/>
    </row>
    <row r="4268" spans="1:5">
      <c r="A4268" s="12">
        <v>4207</v>
      </c>
      <c r="B4268" s="138">
        <f>('FP Info 3'!J10)*100000</f>
        <v>1918</v>
      </c>
      <c r="C4268" s="2" t="s">
        <v>594</v>
      </c>
      <c r="D4268" s="2" t="str">
        <f t="shared" si="65"/>
        <v>Error?</v>
      </c>
    </row>
    <row r="4269" spans="1:5">
      <c r="A4269" s="12">
        <v>4208</v>
      </c>
      <c r="B4269" s="138">
        <f>'FP Info 3'!J16</f>
        <v>4453958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33881</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138362</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8921</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8921</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0</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61933</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66487088</v>
      </c>
      <c r="D4995" s="2" t="str">
        <f t="shared" si="77"/>
        <v>Error?</v>
      </c>
    </row>
    <row r="4996" spans="1:4">
      <c r="A4996" s="12">
        <v>4935</v>
      </c>
      <c r="B4996" s="138">
        <f>'FP Info 3'!H31</f>
        <v>4587609.0720000006</v>
      </c>
      <c r="D4996" s="2" t="str">
        <f t="shared" si="77"/>
        <v>Error?</v>
      </c>
    </row>
    <row r="4997" spans="1:4">
      <c r="A4997" s="12">
        <v>4936</v>
      </c>
      <c r="B4997" s="138">
        <f>'FP Info 3'!H37</f>
        <v>3427000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34224</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855604</v>
      </c>
      <c r="D5061" s="2" t="str">
        <f t="shared" si="78"/>
        <v>Error?</v>
      </c>
    </row>
    <row r="5062" spans="1:4">
      <c r="A5062" s="10">
        <v>5001</v>
      </c>
      <c r="D5062" s="2" t="str">
        <f t="shared" si="78"/>
        <v>OK</v>
      </c>
    </row>
    <row r="5063" spans="1:4">
      <c r="A5063" s="5">
        <v>5002</v>
      </c>
      <c r="B5063" s="138">
        <f>'Revenues 9-14'!C7</f>
        <v>13689</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903517</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125092</v>
      </c>
      <c r="D5069" s="2" t="str">
        <f t="shared" si="78"/>
        <v>Error?</v>
      </c>
    </row>
    <row r="5070" spans="1:4">
      <c r="A5070" s="5">
        <v>5009</v>
      </c>
      <c r="B5070" s="138">
        <f>'Revenues 9-14'!C17</f>
        <v>0</v>
      </c>
      <c r="D5070" s="2" t="str">
        <f t="shared" si="78"/>
        <v>Error?</v>
      </c>
    </row>
    <row r="5071" spans="1:4">
      <c r="A5071" s="5">
        <v>5010</v>
      </c>
      <c r="B5071" s="138">
        <f>'Revenues 9-14'!C18</f>
        <v>125092</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594</v>
      </c>
      <c r="D5087" s="2" t="str">
        <f t="shared" si="78"/>
        <v>Error?</v>
      </c>
    </row>
    <row r="5088" spans="1:4">
      <c r="A5088" s="5">
        <v>5027</v>
      </c>
      <c r="B5088" s="138">
        <f>'Revenues 9-14'!C65</f>
        <v>32053</v>
      </c>
      <c r="D5088" s="2" t="str">
        <f t="shared" si="78"/>
        <v>Error?</v>
      </c>
    </row>
    <row r="5089" spans="1:4">
      <c r="A5089" s="5">
        <v>5028</v>
      </c>
      <c r="B5089" s="138">
        <f>'Revenues 9-14'!C66</f>
        <v>0</v>
      </c>
      <c r="D5089" s="2" t="str">
        <f t="shared" si="78"/>
        <v>Error?</v>
      </c>
    </row>
    <row r="5090" spans="1:4">
      <c r="A5090" s="5">
        <v>5029</v>
      </c>
      <c r="B5090" s="138">
        <f>'Revenues 9-14'!C67</f>
        <v>32053</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1487</v>
      </c>
      <c r="D5094" s="2" t="str">
        <f t="shared" si="78"/>
        <v>Error?</v>
      </c>
    </row>
    <row r="5095" spans="1:4">
      <c r="A5095" s="5">
        <v>5034</v>
      </c>
      <c r="B5095" s="138">
        <f>'Revenues 9-14'!C74</f>
        <v>151887</v>
      </c>
      <c r="D5095" s="2" t="str">
        <f t="shared" si="78"/>
        <v>Error?</v>
      </c>
    </row>
    <row r="5096" spans="1:4">
      <c r="A5096" s="5">
        <v>5035</v>
      </c>
      <c r="B5096" s="138">
        <f>'Revenues 9-14'!C75</f>
        <v>154523</v>
      </c>
      <c r="C5096" s="2" t="s">
        <v>594</v>
      </c>
      <c r="D5096" s="2" t="str">
        <f t="shared" si="78"/>
        <v>Error?</v>
      </c>
    </row>
    <row r="5097" spans="1:4">
      <c r="A5097" s="5">
        <v>5036</v>
      </c>
      <c r="B5097" s="138">
        <f>'Revenues 9-14'!C77</f>
        <v>7507</v>
      </c>
      <c r="D5097" s="2" t="str">
        <f t="shared" si="78"/>
        <v>Error?</v>
      </c>
    </row>
    <row r="5098" spans="1:4">
      <c r="A5098" s="5">
        <v>5037</v>
      </c>
      <c r="B5098" s="138">
        <f>'Revenues 9-14'!C78</f>
        <v>9222</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16729</v>
      </c>
      <c r="C5102" s="2" t="s">
        <v>594</v>
      </c>
      <c r="D5102" s="2" t="str">
        <f t="shared" si="78"/>
        <v>Error?</v>
      </c>
    </row>
    <row r="5103" spans="1:4">
      <c r="A5103" s="5">
        <v>5042</v>
      </c>
      <c r="B5103" s="138">
        <f>'Revenues 9-14'!C84</f>
        <v>18361</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18361</v>
      </c>
      <c r="C5112" s="2" t="s">
        <v>594</v>
      </c>
      <c r="D5112" s="2" t="str">
        <f t="shared" si="78"/>
        <v>Error?</v>
      </c>
    </row>
    <row r="5113" spans="1:4">
      <c r="A5113" s="5">
        <v>5052</v>
      </c>
      <c r="B5113" s="138">
        <f>'Revenues 9-14'!C95</f>
        <v>0</v>
      </c>
      <c r="D5113" s="2" t="str">
        <f t="shared" si="78"/>
        <v>Error?</v>
      </c>
    </row>
    <row r="5114" spans="1:4">
      <c r="A5114" s="5">
        <v>5053</v>
      </c>
      <c r="B5114" s="138">
        <f>'Revenues 9-14'!C96</f>
        <v>22633</v>
      </c>
      <c r="D5114" s="2" t="str">
        <f t="shared" si="78"/>
        <v>Error?</v>
      </c>
    </row>
    <row r="5115" spans="1:4">
      <c r="A5115" s="5">
        <v>5054</v>
      </c>
      <c r="B5115" s="138">
        <f>'Revenues 9-14'!C98</f>
        <v>35230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27760</v>
      </c>
      <c r="D5118" s="2" t="str">
        <f t="shared" si="78"/>
        <v>Error?</v>
      </c>
    </row>
    <row r="5119" spans="1:4">
      <c r="A5119" s="5">
        <v>5058</v>
      </c>
      <c r="B5119" s="138">
        <f>'Revenues 9-14'!C107</f>
        <v>8576</v>
      </c>
      <c r="D5119" s="2" t="str">
        <f t="shared" ref="D5119:D5182" si="79">IF(ISBLANK(B5119),"OK",IF(A5119-B5119=0,"OK","Error?"))</f>
        <v>Error?</v>
      </c>
    </row>
    <row r="5120" spans="1:4">
      <c r="A5120" s="5">
        <v>5059</v>
      </c>
      <c r="B5120" s="138">
        <f>'Revenues 9-14'!C108</f>
        <v>94199</v>
      </c>
      <c r="C5120" s="2" t="s">
        <v>594</v>
      </c>
      <c r="D5120" s="2" t="str">
        <f t="shared" si="79"/>
        <v>Error?</v>
      </c>
    </row>
    <row r="5121" spans="1:4">
      <c r="A5121" s="5">
        <v>5060</v>
      </c>
      <c r="B5121" s="138">
        <f>'Revenues 9-14'!C109</f>
        <v>1344474</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5927082</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5927082</v>
      </c>
      <c r="C5132" s="2" t="s">
        <v>594</v>
      </c>
      <c r="D5132" s="2" t="str">
        <f t="shared" si="79"/>
        <v>Error?</v>
      </c>
    </row>
    <row r="5133" spans="1:4">
      <c r="A5133" s="5">
        <v>5072</v>
      </c>
      <c r="B5133" s="138">
        <f>'Revenues 9-14'!C124</f>
        <v>48439</v>
      </c>
      <c r="D5133" s="2" t="str">
        <f t="shared" si="79"/>
        <v>Error?</v>
      </c>
    </row>
    <row r="5134" spans="1:4">
      <c r="A5134" s="5">
        <v>5073</v>
      </c>
      <c r="B5134" s="138">
        <f>'Revenues 9-14'!C125</f>
        <v>77376</v>
      </c>
      <c r="D5134" s="2" t="str">
        <f t="shared" si="79"/>
        <v>Error?</v>
      </c>
    </row>
    <row r="5135" spans="1:4">
      <c r="A5135" s="5">
        <v>5074</v>
      </c>
      <c r="B5135" s="138">
        <f>'Revenues 9-14'!C126</f>
        <v>84543</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2466</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212824</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470</v>
      </c>
      <c r="C5161" s="2" t="s">
        <v>594</v>
      </c>
      <c r="D5161" s="2" t="str">
        <f t="shared" si="79"/>
        <v>Error?</v>
      </c>
    </row>
    <row r="5162" spans="1:4">
      <c r="A5162" s="10">
        <v>5101</v>
      </c>
      <c r="D5162" s="2" t="str">
        <f t="shared" si="79"/>
        <v>OK</v>
      </c>
    </row>
    <row r="5163" spans="1:4">
      <c r="A5163" s="5">
        <v>5102</v>
      </c>
      <c r="B5163" s="138">
        <f>'Revenues 9-14'!C142</f>
        <v>21629</v>
      </c>
      <c r="D5163" s="2" t="str">
        <f t="shared" si="79"/>
        <v>Error?</v>
      </c>
    </row>
    <row r="5164" spans="1:4">
      <c r="A5164" s="5">
        <v>5103</v>
      </c>
      <c r="B5164" s="138">
        <f>'Revenues 9-14'!C143</f>
        <v>0</v>
      </c>
      <c r="D5164" s="2" t="str">
        <f t="shared" si="79"/>
        <v>Error?</v>
      </c>
    </row>
    <row r="5165" spans="1:4">
      <c r="A5165" s="5">
        <v>5104</v>
      </c>
      <c r="B5165" s="138">
        <f>'Revenues 9-14'!C144</f>
        <v>21629</v>
      </c>
      <c r="C5165" s="2" t="s">
        <v>594</v>
      </c>
      <c r="D5165" s="2" t="str">
        <f t="shared" si="79"/>
        <v>Error?</v>
      </c>
    </row>
    <row r="5166" spans="1:4">
      <c r="A5166" s="10">
        <v>5105</v>
      </c>
      <c r="D5166" s="2" t="str">
        <f t="shared" si="79"/>
        <v>OK</v>
      </c>
    </row>
    <row r="5167" spans="1:4">
      <c r="A5167" s="5">
        <v>5106</v>
      </c>
      <c r="B5167" s="138">
        <f>'Revenues 9-14'!C145</f>
        <v>6123</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403285</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706264</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6633346</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359433</v>
      </c>
      <c r="D5239" s="2" t="str">
        <f t="shared" si="80"/>
        <v>Error?</v>
      </c>
    </row>
    <row r="5240" spans="1:4">
      <c r="A5240" s="5">
        <v>5179</v>
      </c>
      <c r="B5240" s="138">
        <f>'Revenues 9-14'!C195</f>
        <v>0</v>
      </c>
      <c r="D5240" s="2" t="str">
        <f t="shared" si="80"/>
        <v>Error?</v>
      </c>
    </row>
    <row r="5241" spans="1:4">
      <c r="A5241" s="5">
        <v>5180</v>
      </c>
      <c r="B5241" s="138">
        <f>'Revenues 9-14'!C196</f>
        <v>121362</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480795</v>
      </c>
      <c r="C5246" s="2" t="s">
        <v>594</v>
      </c>
      <c r="D5246" s="2" t="str">
        <f t="shared" si="80"/>
        <v>Error?</v>
      </c>
    </row>
    <row r="5247" spans="1:4">
      <c r="A5247" s="5">
        <v>5186</v>
      </c>
      <c r="B5247" s="138">
        <f>'Revenues 9-14'!C203</f>
        <v>487247</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487247</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0</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0</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1149206</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1149206</v>
      </c>
      <c r="C5326" s="2" t="s">
        <v>594</v>
      </c>
      <c r="D5326" s="2" t="str">
        <f t="shared" si="82"/>
        <v>Error?</v>
      </c>
    </row>
    <row r="5327" spans="1:4">
      <c r="A5327" s="5">
        <v>5266</v>
      </c>
      <c r="B5327" s="138">
        <f>'Revenues 9-14'!C275</f>
        <v>9127026</v>
      </c>
      <c r="C5327" s="2" t="s">
        <v>594</v>
      </c>
      <c r="D5327" s="2" t="str">
        <f t="shared" si="82"/>
        <v>Error?</v>
      </c>
    </row>
    <row r="5328" spans="1:4">
      <c r="A5328" s="5">
        <v>5267</v>
      </c>
      <c r="B5328" s="138">
        <f>'Revenues 9-14'!D5</f>
        <v>374754</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374754</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1312</v>
      </c>
      <c r="D5340" s="2" t="str">
        <f t="shared" si="82"/>
        <v>Error?</v>
      </c>
    </row>
    <row r="5341" spans="1:4">
      <c r="A5341" s="5">
        <v>5280</v>
      </c>
      <c r="B5341" s="138">
        <f>'Revenues 9-14'!D66</f>
        <v>0</v>
      </c>
      <c r="D5341" s="2" t="str">
        <f t="shared" si="82"/>
        <v>Error?</v>
      </c>
    </row>
    <row r="5342" spans="1:4">
      <c r="A5342" s="5">
        <v>5281</v>
      </c>
      <c r="B5342" s="138">
        <f>'Revenues 9-14'!D67</f>
        <v>1312</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52800</v>
      </c>
      <c r="D5349" s="2" t="str">
        <f t="shared" si="82"/>
        <v>Error?</v>
      </c>
    </row>
    <row r="5350" spans="1:4">
      <c r="A5350" s="5">
        <v>5289</v>
      </c>
      <c r="B5350" s="138">
        <f>'Revenues 9-14'!D96</f>
        <v>0</v>
      </c>
      <c r="D5350" s="2" t="str">
        <f t="shared" si="82"/>
        <v>Error?</v>
      </c>
    </row>
    <row r="5351" spans="1:4">
      <c r="A5351" s="5">
        <v>5290</v>
      </c>
      <c r="B5351" s="138">
        <f>'Revenues 9-14'!D98</f>
        <v>86111</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21328</v>
      </c>
      <c r="D5354" s="2" t="str">
        <f t="shared" si="82"/>
        <v>Error?</v>
      </c>
    </row>
    <row r="5355" spans="1:4">
      <c r="A5355" s="5">
        <v>5294</v>
      </c>
      <c r="B5355" s="138">
        <f>'Revenues 9-14'!D108</f>
        <v>160239</v>
      </c>
      <c r="C5355" s="2" t="s">
        <v>594</v>
      </c>
      <c r="D5355" s="2" t="str">
        <f t="shared" si="82"/>
        <v>Error?</v>
      </c>
    </row>
    <row r="5356" spans="1:4">
      <c r="A5356" s="5">
        <v>5295</v>
      </c>
      <c r="B5356" s="138">
        <f>'Revenues 9-14'!D109</f>
        <v>536305</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544907</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544907</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13300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13300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558207</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1094512</v>
      </c>
      <c r="C5508" s="2" t="s">
        <v>594</v>
      </c>
      <c r="D5508" s="2" t="str">
        <f t="shared" si="85"/>
        <v>Error?</v>
      </c>
    </row>
    <row r="5509" spans="1:4">
      <c r="A5509" s="5">
        <v>5448</v>
      </c>
      <c r="B5509" s="138">
        <f>'Revenues 9-14'!E5</f>
        <v>144690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144690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407</v>
      </c>
      <c r="D5519" s="2" t="str">
        <f t="shared" si="85"/>
        <v>Error?</v>
      </c>
    </row>
    <row r="5520" spans="1:4">
      <c r="A5520" s="5">
        <v>5459</v>
      </c>
      <c r="B5520" s="138">
        <f>'Revenues 9-14'!E66</f>
        <v>0</v>
      </c>
      <c r="D5520" s="2" t="str">
        <f t="shared" si="85"/>
        <v>Error?</v>
      </c>
    </row>
    <row r="5521" spans="1:4">
      <c r="A5521" s="5">
        <v>5460</v>
      </c>
      <c r="B5521" s="138">
        <f>'Revenues 9-14'!E67</f>
        <v>407</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145097</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145097</v>
      </c>
      <c r="C5552" s="2" t="s">
        <v>594</v>
      </c>
      <c r="D5552" s="2" t="str">
        <f t="shared" si="85"/>
        <v>Error?</v>
      </c>
    </row>
    <row r="5553" spans="1:4">
      <c r="A5553" s="5">
        <v>5492</v>
      </c>
      <c r="B5553" s="138">
        <f>'Revenues 9-14'!F5</f>
        <v>82138</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82138</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40000</v>
      </c>
      <c r="D5560" s="2" t="str">
        <f t="shared" si="85"/>
        <v>Error?</v>
      </c>
    </row>
    <row r="5561" spans="1:4">
      <c r="A5561" s="5">
        <v>5500</v>
      </c>
      <c r="B5561" s="138">
        <f>'Revenues 9-14'!F17</f>
        <v>0</v>
      </c>
      <c r="D5561" s="2" t="str">
        <f t="shared" si="85"/>
        <v>Error?</v>
      </c>
    </row>
    <row r="5562" spans="1:4">
      <c r="A5562" s="5">
        <v>5501</v>
      </c>
      <c r="B5562" s="138">
        <f>'Revenues 9-14'!F18</f>
        <v>40000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770</v>
      </c>
      <c r="D5580" s="2" t="str">
        <f t="shared" si="86"/>
        <v>Error?</v>
      </c>
    </row>
    <row r="5581" spans="1:4">
      <c r="A5581" s="5">
        <v>5520</v>
      </c>
      <c r="B5581" s="138">
        <f>'Revenues 9-14'!F66</f>
        <v>0</v>
      </c>
      <c r="D5581" s="2" t="str">
        <f t="shared" si="86"/>
        <v>Error?</v>
      </c>
    </row>
    <row r="5582" spans="1:4">
      <c r="A5582" s="5">
        <v>5521</v>
      </c>
      <c r="B5582" s="138">
        <f>'Revenues 9-14'!F67</f>
        <v>770</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7155</v>
      </c>
      <c r="D5586" s="2" t="str">
        <f t="shared" si="86"/>
        <v>Error?</v>
      </c>
    </row>
    <row r="5587" spans="1:4">
      <c r="A5587" s="5">
        <v>5526</v>
      </c>
      <c r="B5587" s="138">
        <f>'Revenues 9-14'!F108</f>
        <v>7155</v>
      </c>
      <c r="C5587" s="2" t="s">
        <v>594</v>
      </c>
      <c r="D5587" s="2" t="str">
        <f t="shared" si="86"/>
        <v>Error?</v>
      </c>
    </row>
    <row r="5588" spans="1:4">
      <c r="A5588" s="5">
        <v>5527</v>
      </c>
      <c r="B5588" s="138">
        <f>'Revenues 9-14'!F109</f>
        <v>130063</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165929</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165929</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49086</v>
      </c>
      <c r="D5615" s="2" t="str">
        <f t="shared" si="86"/>
        <v>Error?</v>
      </c>
    </row>
    <row r="5616" spans="1:4">
      <c r="A5616" s="10">
        <v>5555</v>
      </c>
      <c r="D5616" s="2" t="str">
        <f t="shared" si="86"/>
        <v>OK</v>
      </c>
    </row>
    <row r="5617" spans="1:4">
      <c r="A5617" s="5">
        <v>5556</v>
      </c>
      <c r="B5617" s="138">
        <f>'Revenues 9-14'!F152</f>
        <v>269086</v>
      </c>
      <c r="D5617" s="2" t="str">
        <f t="shared" si="86"/>
        <v>Error?</v>
      </c>
    </row>
    <row r="5618" spans="1:4">
      <c r="A5618" s="5">
        <v>5557</v>
      </c>
      <c r="B5618" s="138">
        <f>'Revenues 9-14'!F154</f>
        <v>318172</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34416</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352588</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518517</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648580</v>
      </c>
      <c r="C5720" s="2" t="s">
        <v>594</v>
      </c>
      <c r="D5720" s="2" t="str">
        <f t="shared" si="88"/>
        <v>Error?</v>
      </c>
    </row>
    <row r="5721" spans="1:4">
      <c r="A5721" s="5">
        <v>5660</v>
      </c>
      <c r="B5721" s="138">
        <f>'Revenues 9-14'!G5</f>
        <v>121825</v>
      </c>
      <c r="D5721" s="2" t="str">
        <f t="shared" si="88"/>
        <v>Error?</v>
      </c>
    </row>
    <row r="5722" spans="1:4">
      <c r="A5722" s="5">
        <v>5661</v>
      </c>
      <c r="B5722" s="138">
        <f>'Revenues 9-14'!G7</f>
        <v>0</v>
      </c>
      <c r="D5722" s="2" t="str">
        <f t="shared" si="88"/>
        <v>Error?</v>
      </c>
    </row>
    <row r="5723" spans="1:4">
      <c r="A5723" s="5">
        <v>5662</v>
      </c>
      <c r="B5723" s="138">
        <f>'Revenues 9-14'!G8</f>
        <v>179430</v>
      </c>
      <c r="D5723" s="2" t="str">
        <f t="shared" si="88"/>
        <v>Error?</v>
      </c>
    </row>
    <row r="5724" spans="1:4">
      <c r="A5724" s="5">
        <v>5663</v>
      </c>
      <c r="B5724" s="138">
        <f>'Revenues 9-14'!G11</f>
        <v>0</v>
      </c>
      <c r="D5724" s="2" t="str">
        <f t="shared" si="88"/>
        <v>Error?</v>
      </c>
    </row>
    <row r="5725" spans="1:4">
      <c r="A5725" s="5">
        <v>5664</v>
      </c>
      <c r="B5725" s="138">
        <f>'Revenues 9-14'!G12</f>
        <v>301255</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24024</v>
      </c>
      <c r="D5728" s="2" t="str">
        <f t="shared" si="88"/>
        <v>Error?</v>
      </c>
    </row>
    <row r="5729" spans="1:4">
      <c r="A5729" s="5">
        <v>5668</v>
      </c>
      <c r="B5729" s="138">
        <f>'Revenues 9-14'!G17</f>
        <v>0</v>
      </c>
      <c r="D5729" s="2" t="str">
        <f t="shared" si="88"/>
        <v>Error?</v>
      </c>
    </row>
    <row r="5730" spans="1:4">
      <c r="A5730" s="5">
        <v>5669</v>
      </c>
      <c r="B5730" s="138">
        <f>'Revenues 9-14'!G18</f>
        <v>24024</v>
      </c>
      <c r="C5730" s="2" t="s">
        <v>594</v>
      </c>
      <c r="D5730" s="2" t="str">
        <f t="shared" si="88"/>
        <v>Error?</v>
      </c>
    </row>
    <row r="5731" spans="1:4">
      <c r="A5731" s="5">
        <v>5670</v>
      </c>
      <c r="B5731" s="138">
        <f>'Revenues 9-14'!G65</f>
        <v>1576</v>
      </c>
      <c r="D5731" s="2" t="str">
        <f t="shared" si="88"/>
        <v>Error?</v>
      </c>
    </row>
    <row r="5732" spans="1:4">
      <c r="A5732" s="5">
        <v>5671</v>
      </c>
      <c r="B5732" s="138">
        <f>'Revenues 9-14'!G66</f>
        <v>0</v>
      </c>
      <c r="D5732" s="2" t="str">
        <f t="shared" si="88"/>
        <v>Error?</v>
      </c>
    </row>
    <row r="5733" spans="1:4">
      <c r="A5733" s="5">
        <v>5672</v>
      </c>
      <c r="B5733" s="138">
        <f>'Revenues 9-14'!G67</f>
        <v>1576</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326855</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1898</v>
      </c>
      <c r="D5879" s="2" t="str">
        <f t="shared" si="90"/>
        <v>Error?</v>
      </c>
    </row>
    <row r="5880" spans="1:4">
      <c r="A5880" s="5">
        <v>5819</v>
      </c>
      <c r="B5880" s="138">
        <f>'Revenues 9-14'!H66</f>
        <v>0</v>
      </c>
      <c r="D5880" s="2" t="str">
        <f t="shared" si="90"/>
        <v>Error?</v>
      </c>
    </row>
    <row r="5881" spans="1:4">
      <c r="A5881" s="5">
        <v>5820</v>
      </c>
      <c r="B5881" s="138">
        <f>'Revenues 9-14'!H67</f>
        <v>1898</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518628</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520526</v>
      </c>
      <c r="C5915" s="2" t="s">
        <v>594</v>
      </c>
      <c r="D5915" s="2" t="str">
        <f t="shared" si="91"/>
        <v>Error?</v>
      </c>
    </row>
    <row r="5916" spans="1:4">
      <c r="A5916" s="5">
        <v>5855</v>
      </c>
      <c r="B5916" s="138">
        <f>'Revenues 9-14'!I5</f>
        <v>34224</v>
      </c>
      <c r="D5916" s="2" t="str">
        <f t="shared" si="91"/>
        <v>Error?</v>
      </c>
    </row>
    <row r="5917" spans="1:4">
      <c r="A5917" s="5">
        <v>5856</v>
      </c>
      <c r="B5917" s="138">
        <f>'Revenues 9-14'!I11</f>
        <v>0</v>
      </c>
      <c r="D5917" s="2" t="str">
        <f t="shared" si="91"/>
        <v>Error?</v>
      </c>
    </row>
    <row r="5918" spans="1:4">
      <c r="A5918" s="5">
        <v>5857</v>
      </c>
      <c r="B5918" s="138">
        <f>'Revenues 9-14'!I12</f>
        <v>34224</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781</v>
      </c>
      <c r="D5924" s="2" t="str">
        <f t="shared" si="91"/>
        <v>Error?</v>
      </c>
    </row>
    <row r="5925" spans="1:4">
      <c r="A5925" s="5">
        <v>5864</v>
      </c>
      <c r="B5925" s="138">
        <f>'Revenues 9-14'!I66</f>
        <v>0</v>
      </c>
      <c r="D5925" s="2" t="str">
        <f t="shared" si="91"/>
        <v>Error?</v>
      </c>
    </row>
    <row r="5926" spans="1:4">
      <c r="A5926" s="5">
        <v>5865</v>
      </c>
      <c r="B5926" s="138">
        <f>'Revenues 9-14'!I67</f>
        <v>781</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35005</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326855</v>
      </c>
      <c r="C6024" s="2" t="s">
        <v>594</v>
      </c>
      <c r="D6024" s="2" t="str">
        <f t="shared" si="93"/>
        <v>Error?</v>
      </c>
    </row>
    <row r="6025" spans="1:5">
      <c r="A6025" s="5">
        <v>5964</v>
      </c>
      <c r="B6025" s="138">
        <f>'Revenues 9-14'!H109</f>
        <v>520526</v>
      </c>
      <c r="C6025" s="2" t="s">
        <v>594</v>
      </c>
      <c r="D6025" s="2" t="str">
        <f t="shared" si="93"/>
        <v>Error?</v>
      </c>
    </row>
    <row r="6026" spans="1:5">
      <c r="A6026" s="5">
        <v>5965</v>
      </c>
      <c r="B6026" s="138">
        <f>'Revenues 9-14'!I109</f>
        <v>35005</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1149</v>
      </c>
      <c r="D6031" s="2" t="str">
        <f t="shared" si="93"/>
        <v>Error?</v>
      </c>
    </row>
    <row r="6032" spans="1:5">
      <c r="A6032" s="5">
        <v>5971</v>
      </c>
      <c r="B6032" s="138">
        <f>'Acct Summary 7-8'!G15</f>
        <v>3110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43225</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997.08</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258056</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258056</v>
      </c>
      <c r="D6215" s="2" t="str">
        <f t="shared" si="96"/>
        <v>Error?</v>
      </c>
      <c r="E6215" s="2" t="s">
        <v>199</v>
      </c>
    </row>
    <row r="6216" spans="1:5">
      <c r="A6216">
        <v>6155</v>
      </c>
      <c r="B6216" s="138">
        <f>'Assets-Liab 5-6'!J41</f>
        <v>258056</v>
      </c>
      <c r="D6216" s="2" t="str">
        <f t="shared" si="96"/>
        <v>Error?</v>
      </c>
      <c r="E6216" s="2" t="s">
        <v>199</v>
      </c>
    </row>
    <row r="6217" spans="1:5">
      <c r="A6217">
        <v>6156</v>
      </c>
      <c r="B6217" s="138">
        <f>'Assets-Liab 5-6'!J4</f>
        <v>258056</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191660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191660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191660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117675</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117675</v>
      </c>
      <c r="D6229" s="2" t="str">
        <f t="shared" si="96"/>
        <v>Error?</v>
      </c>
      <c r="E6229" s="2" t="s">
        <v>199</v>
      </c>
    </row>
    <row r="6230" spans="1:5">
      <c r="A6230">
        <v>6169</v>
      </c>
      <c r="B6230" s="138">
        <f>'Acct Summary 7-8'!J20</f>
        <v>73985</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73985</v>
      </c>
      <c r="D6263" s="2" t="str">
        <f t="shared" si="96"/>
        <v>Error?</v>
      </c>
      <c r="E6263" s="2" t="s">
        <v>199</v>
      </c>
    </row>
    <row r="6264" spans="1:5">
      <c r="A6264">
        <v>6203</v>
      </c>
      <c r="B6264" s="138">
        <f>'Acct Summary 7-8'!J79</f>
        <v>184071</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258056</v>
      </c>
      <c r="D6266" s="2" t="str">
        <f t="shared" si="96"/>
        <v>Error?</v>
      </c>
      <c r="E6266" s="2" t="s">
        <v>199</v>
      </c>
    </row>
    <row r="6267" spans="1:5">
      <c r="A6267">
        <v>6206</v>
      </c>
      <c r="B6267" s="138">
        <f>'Acct Summary 7-8'!C82</f>
        <v>1094346</v>
      </c>
      <c r="D6267" s="2" t="str">
        <f t="shared" si="96"/>
        <v>Error?</v>
      </c>
      <c r="E6267" s="2" t="s">
        <v>199</v>
      </c>
    </row>
    <row r="6268" spans="1:5">
      <c r="A6268">
        <v>6207</v>
      </c>
      <c r="B6268" s="138">
        <f>'Acct Summary 7-8'!D82</f>
        <v>91000</v>
      </c>
      <c r="D6268" s="2" t="str">
        <f t="shared" si="96"/>
        <v>Error?</v>
      </c>
      <c r="E6268" s="2" t="s">
        <v>199</v>
      </c>
    </row>
    <row r="6269" spans="1:5">
      <c r="A6269">
        <v>6208</v>
      </c>
      <c r="B6269" s="138">
        <f>'Acct Summary 7-8'!E82</f>
        <v>15120</v>
      </c>
      <c r="D6269" s="2" t="str">
        <f t="shared" si="96"/>
        <v>Error?</v>
      </c>
      <c r="E6269" s="2" t="s">
        <v>199</v>
      </c>
    </row>
    <row r="6270" spans="1:5">
      <c r="A6270">
        <v>6209</v>
      </c>
      <c r="B6270" s="138">
        <f>'Acct Summary 7-8'!F82</f>
        <v>141506</v>
      </c>
      <c r="D6270" s="2" t="str">
        <f t="shared" si="96"/>
        <v>Error?</v>
      </c>
      <c r="E6270" s="2" t="s">
        <v>199</v>
      </c>
    </row>
    <row r="6271" spans="1:5">
      <c r="A6271">
        <v>6210</v>
      </c>
      <c r="B6271" s="138">
        <f>'Acct Summary 7-8'!G82</f>
        <v>32653</v>
      </c>
      <c r="D6271" s="2" t="str">
        <f t="shared" ref="D6271:D6334" si="97">IF(ISBLANK(B6271),"OK",IF(A6271-B6271=0,"OK","Error?"))</f>
        <v>Error?</v>
      </c>
      <c r="E6271" s="2" t="s">
        <v>199</v>
      </c>
    </row>
    <row r="6272" spans="1:5">
      <c r="A6272">
        <v>6211</v>
      </c>
      <c r="B6272" s="138">
        <f>'Acct Summary 7-8'!H82</f>
        <v>29465</v>
      </c>
      <c r="D6272" s="2" t="str">
        <f t="shared" si="97"/>
        <v>Error?</v>
      </c>
      <c r="E6272" s="2" t="s">
        <v>199</v>
      </c>
    </row>
    <row r="6273" spans="1:5">
      <c r="A6273">
        <v>6212</v>
      </c>
      <c r="B6273" s="138">
        <f>'Acct Summary 7-8'!I82</f>
        <v>35005</v>
      </c>
      <c r="D6273" s="2" t="str">
        <f t="shared" si="97"/>
        <v>Error?</v>
      </c>
      <c r="E6273" s="2" t="s">
        <v>199</v>
      </c>
    </row>
    <row r="6274" spans="1:5">
      <c r="A6274">
        <v>6213</v>
      </c>
      <c r="B6274" s="138">
        <f>'Acct Summary 7-8'!J82</f>
        <v>73985</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0.28584413986680324</v>
      </c>
      <c r="D6276" s="2" t="str">
        <f t="shared" si="97"/>
        <v>Error?</v>
      </c>
      <c r="E6276" s="2" t="s">
        <v>199</v>
      </c>
    </row>
    <row r="6277" spans="1:5">
      <c r="A6277">
        <v>6216</v>
      </c>
      <c r="B6277" s="138">
        <f>'Acct Summary 7-8'!D83</f>
        <v>0.30146525364491367</v>
      </c>
      <c r="D6277" s="2" t="str">
        <f t="shared" si="97"/>
        <v>Error?</v>
      </c>
      <c r="E6277" s="2" t="s">
        <v>199</v>
      </c>
    </row>
    <row r="6278" spans="1:5">
      <c r="A6278">
        <v>6217</v>
      </c>
      <c r="B6278" s="138">
        <f>'Acct Summary 7-8'!E83</f>
        <v>0.19633048965759028</v>
      </c>
      <c r="D6278" s="2" t="str">
        <f t="shared" si="97"/>
        <v>Error?</v>
      </c>
      <c r="E6278" s="2" t="s">
        <v>199</v>
      </c>
    </row>
    <row r="6279" spans="1:5">
      <c r="A6279">
        <v>6218</v>
      </c>
      <c r="B6279" s="138">
        <f>'Acct Summary 7-8'!F83</f>
        <v>2.2543212630036162</v>
      </c>
      <c r="D6279" s="2" t="str">
        <f t="shared" si="97"/>
        <v>Error?</v>
      </c>
      <c r="E6279" s="2" t="s">
        <v>199</v>
      </c>
    </row>
    <row r="6280" spans="1:5">
      <c r="A6280">
        <v>6219</v>
      </c>
      <c r="B6280" s="138">
        <f>'Acct Summary 7-8'!G83</f>
        <v>0.13218553662801996</v>
      </c>
      <c r="D6280" s="2" t="str">
        <f t="shared" si="97"/>
        <v>Error?</v>
      </c>
      <c r="E6280" s="2" t="s">
        <v>199</v>
      </c>
    </row>
    <row r="6281" spans="1:5">
      <c r="A6281">
        <v>6220</v>
      </c>
      <c r="B6281" s="138">
        <f>'Acct Summary 7-8'!H83</f>
        <v>8.7601939640435139E-2</v>
      </c>
      <c r="D6281" s="2" t="str">
        <f t="shared" si="97"/>
        <v>Error?</v>
      </c>
      <c r="E6281" s="2" t="s">
        <v>199</v>
      </c>
    </row>
    <row r="6282" spans="1:5">
      <c r="A6282">
        <v>6221</v>
      </c>
      <c r="B6282" s="138">
        <f>'Acct Summary 7-8'!I83</f>
        <v>0.13419229692896875</v>
      </c>
      <c r="D6282" s="2" t="str">
        <f t="shared" si="97"/>
        <v>Error?</v>
      </c>
      <c r="E6282" s="2" t="s">
        <v>199</v>
      </c>
    </row>
    <row r="6283" spans="1:5">
      <c r="A6283">
        <v>6222</v>
      </c>
      <c r="B6283" s="138">
        <f>'Acct Summary 7-8'!J83</f>
        <v>0.28670133614409277</v>
      </c>
      <c r="D6283" s="2" t="str">
        <f t="shared" si="97"/>
        <v>Error?</v>
      </c>
      <c r="E6283" s="2" t="s">
        <v>199</v>
      </c>
    </row>
    <row r="6284" spans="1:5">
      <c r="A6284">
        <v>6223</v>
      </c>
      <c r="B6284" s="138">
        <f>'Acct Summary 7-8'!K83</f>
        <v>0</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185667</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185667</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1421</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1421</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4572</v>
      </c>
      <c r="D6350" s="2" t="str">
        <f t="shared" si="98"/>
        <v>Error?</v>
      </c>
      <c r="E6350" s="2" t="s">
        <v>199</v>
      </c>
    </row>
    <row r="6351" spans="1:5">
      <c r="A6351">
        <v>6290</v>
      </c>
      <c r="B6351" s="138">
        <f>'Revenues 9-14'!J108</f>
        <v>4572</v>
      </c>
      <c r="D6351" s="2" t="str">
        <f t="shared" si="98"/>
        <v>Error?</v>
      </c>
      <c r="E6351" s="2" t="s">
        <v>199</v>
      </c>
    </row>
    <row r="6352" spans="1:5">
      <c r="A6352">
        <v>6291</v>
      </c>
      <c r="B6352" s="138">
        <f>'Revenues 9-14'!J109</f>
        <v>191660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198967</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310932</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117675</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191660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9939</v>
      </c>
      <c r="D7073" s="2" t="str">
        <f t="shared" si="109"/>
        <v>Error?</v>
      </c>
    </row>
    <row r="7074" spans="1:4">
      <c r="A7074">
        <v>7013</v>
      </c>
      <c r="B7074" s="138">
        <f>'Expenditures 15-22'!K216</f>
        <v>9939</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12171</v>
      </c>
      <c r="D7127" s="2" t="str">
        <f t="shared" si="110"/>
        <v>Error?</v>
      </c>
    </row>
    <row r="7128" spans="1:4">
      <c r="A7128">
        <v>7067</v>
      </c>
      <c r="B7128" s="138">
        <f>'Expenditures 15-22'!D320</f>
        <v>0</v>
      </c>
      <c r="D7128" s="2" t="str">
        <f t="shared" si="110"/>
        <v>Error?</v>
      </c>
    </row>
    <row r="7129" spans="1:4">
      <c r="A7129">
        <v>7068</v>
      </c>
      <c r="B7129" s="138">
        <f>'Expenditures 15-22'!E320</f>
        <v>35626</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47797</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1130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1130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66733</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66733</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2015</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2015</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12171</v>
      </c>
      <c r="D7199" s="2" t="str">
        <f t="shared" si="111"/>
        <v>Error?</v>
      </c>
    </row>
    <row r="7200" spans="1:4">
      <c r="A7200">
        <v>7139</v>
      </c>
      <c r="B7200" s="138">
        <f>'Expenditures 15-22'!D330</f>
        <v>0</v>
      </c>
      <c r="D7200" s="2" t="str">
        <f t="shared" si="111"/>
        <v>Error?</v>
      </c>
    </row>
    <row r="7201" spans="1:4">
      <c r="A7201">
        <v>7140</v>
      </c>
      <c r="B7201" s="138">
        <f>'Expenditures 15-22'!E330</f>
        <v>105504</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117675</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12171</v>
      </c>
      <c r="D7216" s="2" t="str">
        <f t="shared" si="111"/>
        <v>Error?</v>
      </c>
    </row>
    <row r="7217" spans="1:4">
      <c r="A7217">
        <v>7156</v>
      </c>
      <c r="B7217" s="138">
        <f>'Expenditures 15-22'!D342</f>
        <v>0</v>
      </c>
      <c r="D7217" s="2" t="str">
        <f t="shared" si="111"/>
        <v>Error?</v>
      </c>
    </row>
    <row r="7218" spans="1:4">
      <c r="A7218">
        <v>7157</v>
      </c>
      <c r="B7218" s="138">
        <f>'Expenditures 15-22'!E342</f>
        <v>105504</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117675</v>
      </c>
      <c r="D7224" s="2" t="str">
        <f t="shared" si="111"/>
        <v>Error?</v>
      </c>
    </row>
    <row r="7225" spans="1:4">
      <c r="A7225">
        <v>7164</v>
      </c>
      <c r="B7225" s="138">
        <f>'Expenditures 15-22'!K343</f>
        <v>73985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40529</v>
      </c>
      <c r="D7246" s="2" t="str">
        <f t="shared" si="112"/>
        <v>Error?</v>
      </c>
    </row>
    <row r="7247" spans="1:4">
      <c r="A7247">
        <f t="shared" si="113"/>
        <v>7186</v>
      </c>
      <c r="B7247" s="138">
        <f>'Expenditures 15-22'!E7</f>
        <v>16311</v>
      </c>
      <c r="D7247" s="2" t="str">
        <f t="shared" si="112"/>
        <v>Error?</v>
      </c>
    </row>
    <row r="7248" spans="1:4">
      <c r="A7248">
        <f t="shared" si="113"/>
        <v>7187</v>
      </c>
      <c r="B7248" s="138">
        <f>'Expenditures 15-22'!F7</f>
        <v>55125</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1380</v>
      </c>
    </row>
    <row r="7627" spans="1:5">
      <c r="A7627">
        <f t="shared" si="123"/>
        <v>7566</v>
      </c>
      <c r="D7627" s="2" t="str">
        <f t="shared" si="124"/>
        <v>OK</v>
      </c>
      <c r="E7627" s="4" t="s">
        <v>1380</v>
      </c>
    </row>
    <row r="7628" spans="1:5">
      <c r="A7628">
        <f t="shared" si="123"/>
        <v>7567</v>
      </c>
      <c r="D7628" s="2" t="str">
        <f t="shared" si="124"/>
        <v>OK</v>
      </c>
      <c r="E7628" s="2" t="s">
        <v>19</v>
      </c>
    </row>
    <row r="7629" spans="1:5">
      <c r="A7629">
        <f t="shared" si="123"/>
        <v>7568</v>
      </c>
      <c r="D7629" s="2" t="str">
        <f t="shared" si="124"/>
        <v>OK</v>
      </c>
      <c r="E7629" s="4" t="s">
        <v>1380</v>
      </c>
    </row>
    <row r="7630" spans="1:5">
      <c r="A7630">
        <f t="shared" ref="A7630:A7650" si="125">A7629+1</f>
        <v>7569</v>
      </c>
      <c r="D7630" s="2" t="str">
        <f t="shared" si="124"/>
        <v>OK</v>
      </c>
      <c r="E7630" s="4" t="s">
        <v>1380</v>
      </c>
    </row>
    <row r="7631" spans="1:5">
      <c r="A7631">
        <f t="shared" si="125"/>
        <v>7570</v>
      </c>
      <c r="B7631" s="138">
        <f>'Cap Outlay Deprec 26'!I18</f>
        <v>369494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1380</v>
      </c>
    </row>
    <row r="7634" spans="1:6">
      <c r="A7634">
        <f t="shared" si="125"/>
        <v>7573</v>
      </c>
      <c r="D7634" s="2" t="str">
        <f t="shared" si="124"/>
        <v>OK</v>
      </c>
      <c r="E7634" s="4" t="s">
        <v>1380</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518628</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518628</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13689</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162516</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328545</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328545</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491061</v>
      </c>
      <c r="D7730" s="2" t="str">
        <f t="shared" si="126"/>
        <v>Error?</v>
      </c>
      <c r="E7730" s="2" t="s">
        <v>881</v>
      </c>
    </row>
    <row r="7731" spans="1:6">
      <c r="A7731">
        <v>7670</v>
      </c>
      <c r="B7731" s="138">
        <f>'Revenues 9-14'!H103</f>
        <v>518628</v>
      </c>
      <c r="D7731" s="2" t="str">
        <f t="shared" si="126"/>
        <v>Error?</v>
      </c>
      <c r="E7731" s="2" t="s">
        <v>881</v>
      </c>
    </row>
    <row r="7732" spans="1:6">
      <c r="A7732">
        <v>7671</v>
      </c>
      <c r="B7732" s="138">
        <f>'Rest Tax Levies-Tort Im 25'!J24</f>
        <v>27567</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27567</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1380</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1379</v>
      </c>
    </row>
    <row r="7749" spans="1:6">
      <c r="A7749">
        <v>7688</v>
      </c>
      <c r="B7749" s="138">
        <f>'Acct Summary 7-8'!D25</f>
        <v>0</v>
      </c>
      <c r="D7749" s="2" t="str">
        <f t="shared" si="127"/>
        <v>Error?</v>
      </c>
      <c r="E7749" s="4" t="s">
        <v>1379</v>
      </c>
    </row>
    <row r="7750" spans="1:6">
      <c r="A7750">
        <v>7689</v>
      </c>
      <c r="B7750" s="138">
        <f>'Acct Summary 7-8'!E25</f>
        <v>0</v>
      </c>
      <c r="D7750" s="2" t="str">
        <f t="shared" si="127"/>
        <v>Error?</v>
      </c>
      <c r="E7750" s="4" t="s">
        <v>1379</v>
      </c>
    </row>
    <row r="7751" spans="1:6">
      <c r="A7751">
        <v>7690</v>
      </c>
      <c r="B7751" s="138">
        <f>'Acct Summary 7-8'!F25</f>
        <v>0</v>
      </c>
      <c r="D7751" s="2" t="str">
        <f t="shared" si="127"/>
        <v>Error?</v>
      </c>
      <c r="E7751" s="4" t="s">
        <v>1379</v>
      </c>
    </row>
    <row r="7752" spans="1:6">
      <c r="A7752">
        <v>7691</v>
      </c>
      <c r="B7752" s="138">
        <f>'Acct Summary 7-8'!G25</f>
        <v>0</v>
      </c>
      <c r="D7752" s="2" t="str">
        <f t="shared" si="127"/>
        <v>Error?</v>
      </c>
      <c r="E7752" s="4" t="s">
        <v>1379</v>
      </c>
    </row>
    <row r="7753" spans="1:6">
      <c r="A7753">
        <v>7692</v>
      </c>
      <c r="B7753" s="138">
        <f>'Acct Summary 7-8'!H25</f>
        <v>0</v>
      </c>
      <c r="D7753" s="2" t="str">
        <f t="shared" si="127"/>
        <v>Error?</v>
      </c>
      <c r="E7753" s="4" t="s">
        <v>1379</v>
      </c>
    </row>
    <row r="7754" spans="1:6">
      <c r="A7754">
        <v>7693</v>
      </c>
      <c r="B7754" s="138">
        <f>'Acct Summary 7-8'!J25</f>
        <v>0</v>
      </c>
      <c r="D7754" s="2" t="str">
        <f t="shared" si="127"/>
        <v>Error?</v>
      </c>
      <c r="E7754" s="4" t="s">
        <v>1379</v>
      </c>
    </row>
    <row r="7755" spans="1:6">
      <c r="A7755">
        <v>7694</v>
      </c>
      <c r="B7755" s="138">
        <f>'Acct Summary 7-8'!K25</f>
        <v>0</v>
      </c>
      <c r="D7755" s="2" t="str">
        <f t="shared" si="127"/>
        <v>Error?</v>
      </c>
      <c r="E7755" s="4" t="s">
        <v>1379</v>
      </c>
    </row>
    <row r="7756" spans="1:6">
      <c r="A7756">
        <v>7695</v>
      </c>
      <c r="B7756" s="138">
        <f>'Aud Quest 2'!E85</f>
        <v>0</v>
      </c>
      <c r="D7756" s="2" t="str">
        <f t="shared" si="127"/>
        <v>Error?</v>
      </c>
      <c r="E7756" s="4" t="s">
        <v>1379</v>
      </c>
      <c r="F7756" t="s">
        <v>1499</v>
      </c>
    </row>
    <row r="7757" spans="1:6">
      <c r="A7757">
        <v>7696</v>
      </c>
      <c r="B7757" s="138">
        <f>'Aud Quest 2'!E87</f>
        <v>0</v>
      </c>
      <c r="D7757" s="2" t="str">
        <f t="shared" si="127"/>
        <v>Error?</v>
      </c>
      <c r="E7757" s="4" t="s">
        <v>1379</v>
      </c>
      <c r="F7757" t="s">
        <v>1499</v>
      </c>
    </row>
    <row r="7758" spans="1:6">
      <c r="A7758">
        <v>7697</v>
      </c>
      <c r="B7758" s="138">
        <f>'Aud Quest 2'!J85</f>
        <v>0</v>
      </c>
      <c r="D7758" s="2" t="str">
        <f t="shared" si="127"/>
        <v>Error?</v>
      </c>
      <c r="E7758" s="4" t="s">
        <v>1379</v>
      </c>
    </row>
    <row r="7759" spans="1:6">
      <c r="A7759">
        <v>7698</v>
      </c>
      <c r="B7759" s="138">
        <f>'Aud Quest 2'!J88</f>
        <v>0</v>
      </c>
      <c r="D7759" s="2" t="str">
        <f t="shared" si="127"/>
        <v>Error?</v>
      </c>
      <c r="E7759" s="4" t="s">
        <v>1379</v>
      </c>
    </row>
    <row r="7760" spans="1:6">
      <c r="A7760">
        <v>7699</v>
      </c>
      <c r="B7760" s="138">
        <f>'Aud Quest 2'!J90</f>
        <v>0</v>
      </c>
      <c r="D7760" s="2" t="str">
        <f t="shared" si="127"/>
        <v>Error?</v>
      </c>
      <c r="E7760" s="4" t="s">
        <v>1379</v>
      </c>
    </row>
    <row r="7761" spans="1:5">
      <c r="A7761">
        <v>7700</v>
      </c>
      <c r="B7761" s="138">
        <f>'Revenues 9-14'!C260</f>
        <v>0</v>
      </c>
      <c r="D7761" s="2" t="str">
        <f t="shared" si="127"/>
        <v>Error?</v>
      </c>
      <c r="E7761" s="4" t="s">
        <v>1473</v>
      </c>
    </row>
    <row r="7762" spans="1:5">
      <c r="A7762">
        <v>7701</v>
      </c>
      <c r="B7762" s="138">
        <f>'Expenditures 15-22'!E6</f>
        <v>0</v>
      </c>
      <c r="D7762" s="2" t="str">
        <f t="shared" si="127"/>
        <v>Error?</v>
      </c>
      <c r="E7762" s="4" t="s">
        <v>1486</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1514</v>
      </c>
    </row>
    <row r="7765" spans="1:5">
      <c r="A7765">
        <v>7704</v>
      </c>
      <c r="B7765" s="138">
        <f>'Revenues 9-14'!C261</f>
        <v>0</v>
      </c>
      <c r="D7765" s="2" t="str">
        <f t="shared" si="127"/>
        <v>Error?</v>
      </c>
      <c r="E7765" s="4" t="s">
        <v>1518</v>
      </c>
    </row>
    <row r="7766" spans="1:5">
      <c r="A7766">
        <v>7705</v>
      </c>
      <c r="B7766" s="138">
        <f>'Revenues 9-14'!D261</f>
        <v>0</v>
      </c>
      <c r="D7766" s="2" t="str">
        <f t="shared" si="127"/>
        <v>Error?</v>
      </c>
      <c r="E7766" s="4" t="s">
        <v>1518</v>
      </c>
    </row>
    <row r="7767" spans="1:5">
      <c r="A7767" s="129">
        <v>7706</v>
      </c>
      <c r="E7767" s="4"/>
    </row>
    <row r="7768" spans="1:5">
      <c r="A7768">
        <v>7707</v>
      </c>
      <c r="B7768" s="138">
        <f>'Revenues 9-14'!F261</f>
        <v>0</v>
      </c>
      <c r="D7768" s="2" t="str">
        <f t="shared" si="127"/>
        <v>Error?</v>
      </c>
      <c r="E7768" s="4" t="s">
        <v>1518</v>
      </c>
    </row>
    <row r="7769" spans="1:5">
      <c r="A7769">
        <v>7708</v>
      </c>
      <c r="B7769" s="138">
        <f>'Revenues 9-14'!G261</f>
        <v>0</v>
      </c>
      <c r="D7769" s="2" t="str">
        <f t="shared" si="127"/>
        <v>Error?</v>
      </c>
      <c r="E7769" s="4" t="s">
        <v>1518</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1519</v>
      </c>
    </row>
    <row r="7773" spans="1:5">
      <c r="A7773">
        <v>7712</v>
      </c>
      <c r="B7773" s="138">
        <f>'Rest Tax Levies-Tort Im 25'!J22</f>
        <v>0</v>
      </c>
      <c r="D7773" s="2" t="str">
        <f t="shared" si="127"/>
        <v>Error?</v>
      </c>
      <c r="E7773" s="4" t="s">
        <v>1613</v>
      </c>
    </row>
    <row r="7774" spans="1:5">
      <c r="A7774">
        <v>7713</v>
      </c>
      <c r="B7774" s="138">
        <f>'Expenditures 15-22'!E133</f>
        <v>0</v>
      </c>
      <c r="D7774" s="2" t="str">
        <f t="shared" si="127"/>
        <v>Error?</v>
      </c>
      <c r="E7774" s="4" t="s">
        <v>1926</v>
      </c>
    </row>
    <row r="7775" spans="1:5">
      <c r="A7775">
        <v>7714</v>
      </c>
      <c r="B7775" s="138">
        <f>'Expenditures 15-22'!H133</f>
        <v>0</v>
      </c>
      <c r="D7775" s="2" t="str">
        <f t="shared" si="127"/>
        <v>Error?</v>
      </c>
      <c r="E7775" s="4" t="s">
        <v>1926</v>
      </c>
    </row>
    <row r="7776" spans="1:5">
      <c r="A7776">
        <v>7715</v>
      </c>
      <c r="B7776" s="138">
        <f>'Expenditures 15-22'!K133</f>
        <v>0</v>
      </c>
      <c r="D7776" s="2" t="str">
        <f t="shared" si="127"/>
        <v>Error?</v>
      </c>
      <c r="E7776" s="4" t="s">
        <v>1926</v>
      </c>
    </row>
    <row r="7777" spans="1:5">
      <c r="A7777">
        <v>7716</v>
      </c>
      <c r="B7777" s="138">
        <f>'Expenditures 15-22'!H157</f>
        <v>0</v>
      </c>
      <c r="D7777" s="2" t="str">
        <f t="shared" si="127"/>
        <v>Error?</v>
      </c>
      <c r="E7777" s="4" t="s">
        <v>1926</v>
      </c>
    </row>
    <row r="7778" spans="1:5">
      <c r="A7778">
        <v>7717</v>
      </c>
      <c r="B7778" s="138">
        <f>'Expenditures 15-22'!K157</f>
        <v>0</v>
      </c>
      <c r="D7778" s="2" t="str">
        <f t="shared" si="127"/>
        <v>Error?</v>
      </c>
      <c r="E7778" s="4" t="s">
        <v>1926</v>
      </c>
    </row>
    <row r="7779" spans="1:5">
      <c r="A7779">
        <v>7718</v>
      </c>
      <c r="B7779" s="138">
        <f>'Expenditures 15-22'!H158</f>
        <v>0</v>
      </c>
      <c r="D7779" s="2" t="str">
        <f t="shared" si="127"/>
        <v>Error?</v>
      </c>
      <c r="E7779" s="4" t="s">
        <v>1926</v>
      </c>
    </row>
    <row r="7780" spans="1:5">
      <c r="A7780">
        <v>7719</v>
      </c>
      <c r="B7780" s="138">
        <f>'Expenditures 15-22'!K158</f>
        <v>0</v>
      </c>
      <c r="D7780" s="2" t="str">
        <f t="shared" si="127"/>
        <v>Error?</v>
      </c>
      <c r="E7780" s="4" t="s">
        <v>1926</v>
      </c>
    </row>
    <row r="7781" spans="1:5">
      <c r="A7781">
        <v>7720</v>
      </c>
      <c r="B7781" s="138">
        <f>'Expenditures 15-22'!H159</f>
        <v>0</v>
      </c>
      <c r="D7781" s="2" t="str">
        <f t="shared" si="127"/>
        <v>Error?</v>
      </c>
      <c r="E7781" s="4" t="s">
        <v>1926</v>
      </c>
    </row>
    <row r="7782" spans="1:5">
      <c r="A7782">
        <v>7721</v>
      </c>
      <c r="B7782" s="138">
        <f>'Expenditures 15-22'!K159</f>
        <v>0</v>
      </c>
      <c r="D7782" s="2" t="str">
        <f t="shared" si="127"/>
        <v>Error?</v>
      </c>
      <c r="E7782" s="4" t="s">
        <v>1926</v>
      </c>
    </row>
    <row r="7783" spans="1:5">
      <c r="A7783">
        <v>7722</v>
      </c>
      <c r="B7783" s="138">
        <f>'Expenditures 15-22'!D282</f>
        <v>0</v>
      </c>
      <c r="D7783" s="2" t="str">
        <f t="shared" si="127"/>
        <v>Error?</v>
      </c>
      <c r="E7783" s="4" t="s">
        <v>1926</v>
      </c>
    </row>
    <row r="7784" spans="1:5">
      <c r="A7784">
        <v>7723</v>
      </c>
      <c r="B7784" s="138">
        <f>'Expenditures 15-22'!K282</f>
        <v>0</v>
      </c>
      <c r="D7784" s="2" t="str">
        <f t="shared" si="127"/>
        <v>Error?</v>
      </c>
      <c r="E7784" s="4" t="s">
        <v>1926</v>
      </c>
    </row>
    <row r="7785" spans="1:5">
      <c r="A7785">
        <v>7724</v>
      </c>
      <c r="B7785" s="138">
        <f>'Expenditures 15-22'!H332</f>
        <v>0</v>
      </c>
      <c r="D7785" s="2" t="str">
        <f t="shared" si="127"/>
        <v>Error?</v>
      </c>
      <c r="E7785" s="4" t="s">
        <v>1926</v>
      </c>
    </row>
    <row r="7786" spans="1:5">
      <c r="A7786">
        <v>7725</v>
      </c>
      <c r="B7786" s="138">
        <f>'Expenditures 15-22'!K332</f>
        <v>0</v>
      </c>
      <c r="D7786" s="2" t="str">
        <f t="shared" si="127"/>
        <v>Error?</v>
      </c>
      <c r="E7786" s="4" t="s">
        <v>1926</v>
      </c>
    </row>
    <row r="7787" spans="1:5">
      <c r="A7787">
        <v>7726</v>
      </c>
      <c r="B7787" s="138">
        <f>'Expenditures 15-22'!H333</f>
        <v>0</v>
      </c>
      <c r="D7787" s="2" t="str">
        <f t="shared" si="127"/>
        <v>Error?</v>
      </c>
      <c r="E7787" s="4" t="s">
        <v>1926</v>
      </c>
    </row>
    <row r="7788" spans="1:5">
      <c r="A7788">
        <v>7727</v>
      </c>
      <c r="B7788" s="138">
        <f>'Expenditures 15-22'!K333</f>
        <v>0</v>
      </c>
      <c r="D7788" s="2" t="str">
        <f t="shared" si="127"/>
        <v>Error?</v>
      </c>
      <c r="E7788" s="4" t="s">
        <v>1926</v>
      </c>
    </row>
    <row r="7789" spans="1:5">
      <c r="A7789">
        <v>7728</v>
      </c>
      <c r="B7789" s="138">
        <f>'Expenditures 15-22'!H334</f>
        <v>0</v>
      </c>
      <c r="D7789" s="2" t="str">
        <f t="shared" si="127"/>
        <v>Error?</v>
      </c>
      <c r="E7789" s="4" t="s">
        <v>1926</v>
      </c>
    </row>
    <row r="7790" spans="1:5">
      <c r="A7790">
        <v>7729</v>
      </c>
      <c r="B7790" s="138">
        <f>'Expenditures 15-22'!K334</f>
        <v>0</v>
      </c>
      <c r="D7790" s="2" t="str">
        <f t="shared" si="127"/>
        <v>Error?</v>
      </c>
      <c r="E7790" s="4" t="s">
        <v>1926</v>
      </c>
    </row>
    <row r="7791" spans="1:5">
      <c r="A7791">
        <v>7730</v>
      </c>
      <c r="B7791" s="138">
        <f>'Expenditures 15-22'!H354</f>
        <v>0</v>
      </c>
      <c r="D7791" s="2" t="str">
        <f t="shared" si="127"/>
        <v>Error?</v>
      </c>
      <c r="E7791" s="4" t="s">
        <v>1926</v>
      </c>
    </row>
    <row r="7792" spans="1:5">
      <c r="A7792">
        <v>7731</v>
      </c>
      <c r="B7792" s="138">
        <f>'Expenditures 15-22'!K354</f>
        <v>0</v>
      </c>
      <c r="D7792" s="2" t="str">
        <f t="shared" si="127"/>
        <v>Error?</v>
      </c>
      <c r="E7792" s="4" t="s">
        <v>1926</v>
      </c>
    </row>
    <row r="7793" spans="1:5">
      <c r="A7793">
        <v>7732</v>
      </c>
      <c r="B7793" s="138">
        <f>'Expenditures 15-22'!H355</f>
        <v>0</v>
      </c>
      <c r="D7793" s="2" t="str">
        <f t="shared" si="127"/>
        <v>Error?</v>
      </c>
      <c r="E7793" s="4" t="s">
        <v>1926</v>
      </c>
    </row>
    <row r="7794" spans="1:5">
      <c r="A7794">
        <v>7733</v>
      </c>
      <c r="B7794" s="138">
        <f>'Expenditures 15-22'!K355</f>
        <v>0</v>
      </c>
      <c r="D7794" s="2" t="str">
        <f t="shared" si="127"/>
        <v>Error?</v>
      </c>
      <c r="E7794" s="4" t="s">
        <v>1926</v>
      </c>
    </row>
    <row r="7795" spans="1:5">
      <c r="A7795">
        <v>7734</v>
      </c>
      <c r="B7795" s="138">
        <f>'Expenditures 15-22'!E138</f>
        <v>0</v>
      </c>
      <c r="D7795" s="2" t="str">
        <f t="shared" si="127"/>
        <v>Error?</v>
      </c>
      <c r="E7795" s="4" t="s">
        <v>1926</v>
      </c>
    </row>
    <row r="7796" spans="1:5">
      <c r="A7796">
        <v>7735</v>
      </c>
      <c r="B7796" s="138">
        <f>'Acct Summary 7-8'!J15</f>
        <v>0</v>
      </c>
      <c r="D7796" s="2" t="str">
        <f t="shared" si="127"/>
        <v>Error?</v>
      </c>
      <c r="E7796" s="4" t="s">
        <v>1926</v>
      </c>
    </row>
    <row r="7797" spans="1:5">
      <c r="A7797">
        <v>7736</v>
      </c>
      <c r="B7797" s="138">
        <f>'Contracts Paid in CY 29'!D35</f>
        <v>0</v>
      </c>
      <c r="D7797" s="2" t="str">
        <f t="shared" si="127"/>
        <v>Error?</v>
      </c>
      <c r="E7797" s="4" t="s">
        <v>1979</v>
      </c>
    </row>
    <row r="7798" spans="1:5">
      <c r="A7798">
        <v>7737</v>
      </c>
      <c r="B7798" s="138">
        <f>'Contracts Paid in CY 29'!F35</f>
        <v>0</v>
      </c>
      <c r="D7798" s="2" t="str">
        <f t="shared" si="127"/>
        <v>Error?</v>
      </c>
      <c r="E7798" s="4" t="s">
        <v>1979</v>
      </c>
    </row>
    <row r="7799" spans="1:5">
      <c r="A7799">
        <v>7738</v>
      </c>
      <c r="B7799" s="138">
        <f>'Contracts Paid in CY 29'!G35</f>
        <v>0</v>
      </c>
      <c r="D7799" s="2" t="str">
        <f t="shared" si="127"/>
        <v>Error?</v>
      </c>
      <c r="E7799" s="4" t="s">
        <v>1979</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60"/>
  <sheetViews>
    <sheetView showGridLines="0" showZeros="0" topLeftCell="A19" zoomScale="110" zoomScaleNormal="110" workbookViewId="0">
      <selection activeCell="I21" sqref="I21:S21"/>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398" t="s">
        <v>1253</v>
      </c>
      <c r="B2" s="2398"/>
      <c r="C2" s="2398"/>
      <c r="D2" s="2398"/>
      <c r="E2" s="2398"/>
      <c r="F2" s="2398"/>
      <c r="G2" s="2398"/>
      <c r="H2" s="2398"/>
      <c r="I2" s="2398"/>
      <c r="J2" s="2398"/>
      <c r="K2" s="2398"/>
      <c r="L2" s="2398"/>
    </row>
    <row r="3" spans="1:29" ht="13.5" customHeight="1">
      <c r="A3" s="2384" t="s">
        <v>1252</v>
      </c>
      <c r="B3" s="2384"/>
      <c r="C3" s="2384"/>
      <c r="D3" s="2384"/>
      <c r="E3" s="2384"/>
      <c r="F3" s="2384"/>
      <c r="G3" s="2384"/>
      <c r="H3" s="2384"/>
      <c r="I3" s="2384"/>
      <c r="J3" s="2384"/>
      <c r="K3" s="2384"/>
      <c r="L3" s="2384"/>
    </row>
    <row r="4" spans="1:29" ht="13.5" customHeight="1">
      <c r="A4" s="2398" t="s">
        <v>1771</v>
      </c>
      <c r="B4" s="2415"/>
      <c r="C4" s="2415"/>
      <c r="D4" s="2415"/>
      <c r="E4" s="2415"/>
      <c r="F4" s="2415"/>
      <c r="G4" s="2415"/>
      <c r="H4" s="2415"/>
      <c r="I4" s="2415"/>
      <c r="J4" s="2415"/>
      <c r="K4" s="2415"/>
      <c r="L4" s="2415"/>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7" customHeight="1">
      <c r="A7" s="2378" t="str">
        <f>COVER!A17</f>
        <v>Rock Falls Elem SD 13</v>
      </c>
      <c r="B7" s="2379"/>
      <c r="C7" s="2379"/>
      <c r="D7" s="2416"/>
      <c r="E7" s="2417">
        <f>COVER!A13</f>
        <v>47098013002</v>
      </c>
      <c r="F7" s="2418"/>
      <c r="G7" s="2385" t="str">
        <f>COVER!T23</f>
        <v>066-004023</v>
      </c>
      <c r="H7" s="2386"/>
      <c r="I7" s="2386"/>
      <c r="J7" s="2386"/>
      <c r="K7" s="2386"/>
      <c r="L7" s="2387"/>
    </row>
    <row r="8" spans="1:29" ht="13.5" customHeight="1">
      <c r="A8" s="1185" t="s">
        <v>1576</v>
      </c>
      <c r="B8" s="1186"/>
      <c r="C8" s="1187"/>
      <c r="D8" s="1187"/>
      <c r="E8" s="1192"/>
      <c r="F8" s="1191"/>
      <c r="G8" s="1193" t="s">
        <v>1248</v>
      </c>
      <c r="H8" s="1194"/>
      <c r="I8" s="1194"/>
      <c r="J8" s="1194"/>
      <c r="K8" s="1194"/>
      <c r="L8" s="1195"/>
    </row>
    <row r="9" spans="1:29" ht="13.5" customHeight="1">
      <c r="A9" s="2388"/>
      <c r="B9" s="2389"/>
      <c r="C9" s="2389"/>
      <c r="D9" s="2389"/>
      <c r="E9" s="2389"/>
      <c r="F9" s="2390"/>
      <c r="G9" s="2391" t="str">
        <f>COVER!T13</f>
        <v>Wipfli LLP</v>
      </c>
      <c r="H9" s="2392"/>
      <c r="I9" s="2392"/>
      <c r="J9" s="2392"/>
      <c r="K9" s="2392"/>
      <c r="L9" s="2393"/>
    </row>
    <row r="10" spans="1:29" ht="13.5" customHeight="1">
      <c r="A10" s="2375" t="str">
        <f>COVER!A38</f>
        <v>Dan Arickx</v>
      </c>
      <c r="B10" s="2376"/>
      <c r="C10" s="2376"/>
      <c r="D10" s="2376"/>
      <c r="E10" s="2376"/>
      <c r="F10" s="2377"/>
      <c r="G10" s="2391" t="str">
        <f>COVER!T17</f>
        <v>403 East 3rd Street</v>
      </c>
      <c r="H10" s="2404"/>
      <c r="I10" s="2404"/>
      <c r="J10" s="2404"/>
      <c r="K10" s="2404"/>
      <c r="L10" s="2405"/>
    </row>
    <row r="11" spans="1:29" ht="13.5" customHeight="1">
      <c r="A11" s="1185" t="s">
        <v>1578</v>
      </c>
      <c r="B11" s="1186"/>
      <c r="C11" s="1187"/>
      <c r="D11" s="1192"/>
      <c r="E11" s="1187"/>
      <c r="F11" s="1191"/>
      <c r="G11" s="2391" t="str">
        <f>COVER!T19</f>
        <v xml:space="preserve">Sterling </v>
      </c>
      <c r="H11" s="2404"/>
      <c r="I11" s="2404"/>
      <c r="J11" s="2404"/>
      <c r="K11" s="2404"/>
      <c r="L11" s="2405"/>
    </row>
    <row r="12" spans="1:29" ht="13.5" customHeight="1">
      <c r="A12" s="2409" t="s">
        <v>1577</v>
      </c>
      <c r="B12" s="2410"/>
      <c r="C12" s="2410"/>
      <c r="D12" s="2410"/>
      <c r="E12" s="2410"/>
      <c r="F12" s="2411"/>
      <c r="G12" s="2406"/>
      <c r="H12" s="2407"/>
      <c r="I12" s="2407"/>
      <c r="J12" s="2407"/>
      <c r="K12" s="2407"/>
      <c r="L12" s="2408"/>
    </row>
    <row r="13" spans="1:29" ht="13.5" customHeight="1">
      <c r="A13" s="2391"/>
      <c r="B13" s="2404"/>
      <c r="C13" s="2404"/>
      <c r="D13" s="2404"/>
      <c r="E13" s="2404"/>
      <c r="F13" s="2405"/>
      <c r="G13" s="2399" t="s">
        <v>1579</v>
      </c>
      <c r="H13" s="2400"/>
      <c r="I13" s="2412" t="str">
        <f>COVER!T25</f>
        <v>mschueler@wipfli.com</v>
      </c>
      <c r="J13" s="2413"/>
      <c r="K13" s="2413"/>
      <c r="L13" s="2414"/>
    </row>
    <row r="14" spans="1:29" ht="13.5" customHeight="1">
      <c r="A14" s="2391" t="str">
        <f>COVER!A19</f>
        <v>602 4th Avenue</v>
      </c>
      <c r="B14" s="2404"/>
      <c r="C14" s="2404"/>
      <c r="D14" s="2404"/>
      <c r="E14" s="2404"/>
      <c r="F14" s="2405"/>
      <c r="G14" s="1196" t="s">
        <v>1247</v>
      </c>
      <c r="H14" s="1194"/>
      <c r="I14" s="1194"/>
      <c r="J14" s="1194"/>
      <c r="K14" s="1194"/>
      <c r="L14" s="1195"/>
    </row>
    <row r="15" spans="1:29" ht="13.5" customHeight="1">
      <c r="A15" s="2391" t="str">
        <f>COVER!A21</f>
        <v xml:space="preserve">Rock Falls </v>
      </c>
      <c r="B15" s="2404"/>
      <c r="C15" s="2404"/>
      <c r="D15" s="2404"/>
      <c r="E15" s="2404"/>
      <c r="F15" s="2405"/>
      <c r="G15" s="2401" t="str">
        <f>COVER!T15</f>
        <v>Matthew J. Schueler</v>
      </c>
      <c r="H15" s="2402"/>
      <c r="I15" s="2402"/>
      <c r="J15" s="2402"/>
      <c r="K15" s="2402"/>
      <c r="L15" s="2403"/>
    </row>
    <row r="16" spans="1:29" ht="12.2" customHeight="1">
      <c r="A16" s="2381">
        <f>COVER!A25</f>
        <v>61071</v>
      </c>
      <c r="B16" s="2382"/>
      <c r="C16" s="2382"/>
      <c r="D16" s="2382"/>
      <c r="E16" s="2382"/>
      <c r="F16" s="2383"/>
      <c r="G16" s="2394"/>
      <c r="H16" s="2395"/>
      <c r="I16" s="2395"/>
      <c r="J16" s="2395"/>
      <c r="K16" s="2395"/>
      <c r="L16" s="2396"/>
    </row>
    <row r="17" spans="1:13" ht="12.2" customHeight="1">
      <c r="A17" s="2397"/>
      <c r="B17" s="2382"/>
      <c r="C17" s="2382"/>
      <c r="D17" s="2382"/>
      <c r="E17" s="2382"/>
      <c r="F17" s="2383"/>
      <c r="G17" s="1196" t="s">
        <v>1246</v>
      </c>
      <c r="H17" s="1194"/>
      <c r="I17" s="1194"/>
      <c r="J17" s="1194"/>
      <c r="K17" s="1198" t="s">
        <v>1245</v>
      </c>
      <c r="L17" s="1191"/>
      <c r="M17" s="1184"/>
    </row>
    <row r="18" spans="1:13" ht="12.2" customHeight="1">
      <c r="A18" s="2375"/>
      <c r="B18" s="2376"/>
      <c r="C18" s="2376"/>
      <c r="D18" s="2376"/>
      <c r="E18" s="2376"/>
      <c r="F18" s="2377"/>
      <c r="G18" s="2378" t="str">
        <f>COVER!T21</f>
        <v>815-626-1277</v>
      </c>
      <c r="H18" s="2379"/>
      <c r="I18" s="2379"/>
      <c r="J18" s="2379"/>
      <c r="K18" s="2378" t="str">
        <f>COVER!X21</f>
        <v>815-625-9118</v>
      </c>
      <c r="L18" s="2380"/>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1772</v>
      </c>
    </row>
    <row r="22" spans="1:13" ht="12.2" customHeight="1">
      <c r="A22" s="1201"/>
    </row>
    <row r="23" spans="1:13" ht="12.2" customHeight="1">
      <c r="A23" s="1201"/>
      <c r="B23" s="1202" t="s">
        <v>2036</v>
      </c>
      <c r="C23" s="1203" t="s">
        <v>1244</v>
      </c>
    </row>
    <row r="24" spans="1:13" ht="10.15" customHeight="1">
      <c r="A24" s="1201"/>
      <c r="C24" s="1203" t="s">
        <v>1243</v>
      </c>
    </row>
    <row r="25" spans="1:13" ht="9.1999999999999993" customHeight="1">
      <c r="B25" s="1204" t="s">
        <v>1231</v>
      </c>
      <c r="C25" s="1205"/>
    </row>
    <row r="26" spans="1:13" s="1199" customFormat="1" ht="12.2" customHeight="1">
      <c r="B26" s="1202" t="s">
        <v>2036</v>
      </c>
      <c r="C26" s="1203" t="s">
        <v>1773</v>
      </c>
    </row>
    <row r="27" spans="1:13" s="1199" customFormat="1" ht="9.1999999999999993" customHeight="1">
      <c r="B27" s="1204"/>
      <c r="C27" s="1203"/>
    </row>
    <row r="28" spans="1:13" s="1199" customFormat="1" ht="12.2" customHeight="1">
      <c r="A28" s="1206"/>
      <c r="B28" s="1202" t="s">
        <v>2036</v>
      </c>
      <c r="C28" s="1203" t="s">
        <v>1774</v>
      </c>
    </row>
    <row r="29" spans="1:13" s="1199" customFormat="1" ht="9.1999999999999993" customHeight="1">
      <c r="A29" s="1206"/>
      <c r="B29" s="1204"/>
      <c r="C29" s="1203"/>
    </row>
    <row r="30" spans="1:13" s="1199" customFormat="1" ht="12.2" customHeight="1">
      <c r="B30" s="1202" t="s">
        <v>2036</v>
      </c>
      <c r="C30" s="1203" t="s">
        <v>1622</v>
      </c>
      <c r="D30" s="1197"/>
      <c r="E30" s="1197"/>
    </row>
    <row r="31" spans="1:13" s="1199" customFormat="1" ht="9.1999999999999993" customHeight="1">
      <c r="B31" s="1204"/>
      <c r="C31" s="1203"/>
      <c r="D31" s="1197"/>
      <c r="E31" s="1197"/>
    </row>
    <row r="32" spans="1:13" s="1199" customFormat="1" ht="12.2" customHeight="1">
      <c r="B32" s="1202" t="s">
        <v>2036</v>
      </c>
      <c r="C32" s="1203" t="s">
        <v>1623</v>
      </c>
      <c r="D32" s="1197"/>
      <c r="E32" s="1197"/>
    </row>
    <row r="33" spans="1:8" s="1199" customFormat="1" ht="10.9" customHeight="1">
      <c r="B33" s="1204"/>
      <c r="C33" s="1207" t="s">
        <v>1775</v>
      </c>
      <c r="D33" s="1197"/>
      <c r="E33" s="1197"/>
    </row>
    <row r="34" spans="1:8" ht="9.1999999999999993" customHeight="1">
      <c r="B34" s="1204"/>
      <c r="C34" s="1207"/>
    </row>
    <row r="35" spans="1:8" s="1199" customFormat="1" ht="13.5" customHeight="1">
      <c r="B35" s="1202" t="s">
        <v>2036</v>
      </c>
      <c r="C35" s="1203" t="s">
        <v>1624</v>
      </c>
    </row>
    <row r="36" spans="1:8" s="1199" customFormat="1" ht="10.9" customHeight="1">
      <c r="B36" s="1204"/>
      <c r="C36" s="1207" t="s">
        <v>1625</v>
      </c>
    </row>
    <row r="37" spans="1:8" ht="9.1999999999999993" customHeight="1">
      <c r="B37" s="1204"/>
      <c r="C37" s="1207"/>
    </row>
    <row r="38" spans="1:8" s="1199" customFormat="1" ht="12.2" customHeight="1">
      <c r="B38" s="1202" t="s">
        <v>2036</v>
      </c>
      <c r="C38" s="1203" t="s">
        <v>1626</v>
      </c>
    </row>
    <row r="39" spans="1:8" ht="9.1999999999999993" customHeight="1">
      <c r="B39" s="1204"/>
      <c r="C39" s="1207"/>
    </row>
    <row r="40" spans="1:8" s="1199" customFormat="1" ht="13.5" customHeight="1">
      <c r="B40" s="1202" t="s">
        <v>2036</v>
      </c>
      <c r="C40" s="1203" t="s">
        <v>1627</v>
      </c>
    </row>
    <row r="41" spans="1:8" ht="9.1999999999999993" customHeight="1">
      <c r="A41" s="1208"/>
      <c r="B41" s="1204"/>
      <c r="C41" s="1207"/>
    </row>
    <row r="42" spans="1:8" s="1199" customFormat="1" ht="13.5" customHeight="1">
      <c r="B42" s="1202" t="s">
        <v>2036</v>
      </c>
      <c r="C42" s="1203" t="s">
        <v>1908</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t="s">
        <v>2036</v>
      </c>
      <c r="C46" s="1210" t="s">
        <v>1628</v>
      </c>
      <c r="D46" s="1197"/>
      <c r="E46" s="1197"/>
      <c r="F46" s="1197"/>
      <c r="G46" s="1197"/>
      <c r="H46" s="1197"/>
    </row>
    <row r="47" spans="1:8" ht="9.1999999999999993" customHeight="1"/>
    <row r="48" spans="1:8" ht="12.2" customHeight="1">
      <c r="B48" s="1211"/>
      <c r="C48" s="1212" t="s">
        <v>1629</v>
      </c>
    </row>
    <row r="49" spans="1:12" ht="9.1999999999999993" customHeight="1"/>
    <row r="50" spans="1:12" ht="6" customHeight="1">
      <c r="C50" s="1212"/>
    </row>
    <row r="51" spans="1:12" ht="12.2" customHeight="1">
      <c r="A51" s="1214" t="s">
        <v>1776</v>
      </c>
    </row>
    <row r="52" spans="1:12" ht="12.2" customHeight="1">
      <c r="A52" s="1209"/>
    </row>
    <row r="53" spans="1:12" ht="12.2" customHeight="1"/>
    <row r="54" spans="1:12" ht="12.2" customHeight="1"/>
    <row r="55" spans="1:12" ht="12.2" customHeight="1"/>
    <row r="56" spans="1:12" ht="12.2" customHeight="1">
      <c r="A56" s="1213"/>
    </row>
    <row r="59" spans="1:12" ht="12.95" customHeight="1"/>
    <row r="60" spans="1:12" ht="36" customHeight="1">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79" zoomScale="125" zoomScaleNormal="125" workbookViewId="0">
      <selection activeCell="I21" sqref="I21:S21"/>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419" t="str">
        <f>'Single Audit Cover'!A7</f>
        <v>Rock Falls Elem SD 13</v>
      </c>
      <c r="B1" s="2415"/>
      <c r="C1" s="2415"/>
      <c r="D1" s="2415"/>
    </row>
    <row r="2" spans="1:11" s="1215" customFormat="1" ht="12.75">
      <c r="A2" s="2420">
        <f>'Single Audit Cover'!E7</f>
        <v>47098013002</v>
      </c>
      <c r="B2" s="2421"/>
      <c r="C2" s="2421"/>
      <c r="D2" s="2421"/>
    </row>
    <row r="3" spans="1:11" s="1215" customFormat="1" ht="12.75">
      <c r="A3" s="2419" t="s">
        <v>1572</v>
      </c>
      <c r="B3" s="2415"/>
      <c r="C3" s="2415"/>
      <c r="D3" s="2415"/>
    </row>
    <row r="4" spans="1:11" s="1215" customFormat="1" ht="4.5" customHeight="1">
      <c r="A4" s="1216"/>
      <c r="B4" s="1217"/>
      <c r="C4" s="1217"/>
      <c r="D4" s="1217"/>
    </row>
    <row r="5" spans="1:11">
      <c r="B5" s="1219" t="s">
        <v>1573</v>
      </c>
      <c r="C5" s="1220"/>
      <c r="D5" s="1221"/>
    </row>
    <row r="6" spans="1:11">
      <c r="B6" s="1219" t="s">
        <v>1287</v>
      </c>
      <c r="C6" s="1220"/>
      <c r="D6" s="1221"/>
    </row>
    <row r="7" spans="1:11">
      <c r="B7" s="1219" t="s">
        <v>1574</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t="s">
        <v>2036</v>
      </c>
      <c r="C11" s="1226">
        <v>1</v>
      </c>
      <c r="D11" s="1227" t="s">
        <v>1777</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t="s">
        <v>2036</v>
      </c>
      <c r="C13" s="1226">
        <f>C11+1</f>
        <v>2</v>
      </c>
      <c r="D13" s="1230" t="s">
        <v>1778</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t="s">
        <v>2036</v>
      </c>
      <c r="C15" s="1226">
        <f>C13+1</f>
        <v>3</v>
      </c>
      <c r="D15" s="1227" t="s">
        <v>1779</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t="s">
        <v>2036</v>
      </c>
      <c r="C18" s="1226">
        <f>C15+1</f>
        <v>4</v>
      </c>
      <c r="D18" s="1233" t="s">
        <v>1780</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t="s">
        <v>2036</v>
      </c>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t="s">
        <v>2036</v>
      </c>
      <c r="C24" s="1226">
        <f>C21+1</f>
        <v>6</v>
      </c>
      <c r="D24" s="1234" t="s">
        <v>1801</v>
      </c>
      <c r="E24" s="1228"/>
      <c r="F24" s="1228"/>
      <c r="G24" s="1228"/>
      <c r="H24" s="1228"/>
      <c r="I24" s="1228"/>
      <c r="J24" s="1228"/>
      <c r="K24" s="1228"/>
    </row>
    <row r="25" spans="1:11">
      <c r="A25" s="1222"/>
      <c r="B25" s="1231"/>
      <c r="D25" s="1230" t="s">
        <v>1781</v>
      </c>
      <c r="E25" s="1228"/>
      <c r="F25" s="1228"/>
      <c r="G25" s="1228"/>
      <c r="H25" s="1228"/>
      <c r="I25" s="1228"/>
      <c r="J25" s="1228"/>
      <c r="K25" s="1228"/>
    </row>
    <row r="26" spans="1:11">
      <c r="A26" s="1222"/>
      <c r="B26" s="1231"/>
      <c r="D26" s="1235" t="s">
        <v>1782</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t="s">
        <v>2036</v>
      </c>
      <c r="C28" s="1232">
        <f>C24+1</f>
        <v>7</v>
      </c>
      <c r="D28" s="1235" t="s">
        <v>1630</v>
      </c>
      <c r="E28" s="1228"/>
      <c r="F28" s="1228"/>
      <c r="G28" s="1228"/>
      <c r="H28" s="1228"/>
      <c r="I28" s="1228"/>
      <c r="J28" s="1228"/>
      <c r="K28" s="1228"/>
    </row>
    <row r="29" spans="1:11" ht="10.5" customHeight="1">
      <c r="A29" s="1222"/>
      <c r="D29" s="1236" t="s">
        <v>1631</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t="s">
        <v>2036</v>
      </c>
      <c r="C33" s="1226">
        <v>8</v>
      </c>
      <c r="D33" s="1237" t="s">
        <v>1280</v>
      </c>
    </row>
    <row r="34" spans="1:5" ht="10.5" customHeight="1">
      <c r="A34" s="1222"/>
      <c r="B34" s="1238"/>
      <c r="C34" s="1226"/>
      <c r="D34" s="1237" t="s">
        <v>1632</v>
      </c>
    </row>
    <row r="35" spans="1:5" ht="3" customHeight="1">
      <c r="A35" s="1222"/>
      <c r="B35" s="1231"/>
      <c r="D35" s="1221"/>
    </row>
    <row r="36" spans="1:5">
      <c r="A36" s="1222"/>
      <c r="B36" s="1225" t="s">
        <v>2036</v>
      </c>
      <c r="C36" s="1226">
        <f>C33+1</f>
        <v>9</v>
      </c>
      <c r="D36" s="1237" t="s">
        <v>1279</v>
      </c>
    </row>
    <row r="37" spans="1:5" ht="10.5" customHeight="1">
      <c r="A37" s="1222"/>
      <c r="B37" s="1231"/>
      <c r="D37" s="1237" t="s">
        <v>1632</v>
      </c>
    </row>
    <row r="38" spans="1:5" ht="3" customHeight="1">
      <c r="A38" s="1222"/>
      <c r="B38" s="1239"/>
      <c r="C38" s="1240"/>
      <c r="D38" s="1221"/>
    </row>
    <row r="39" spans="1:5">
      <c r="A39" s="1222"/>
      <c r="B39" s="1241" t="s">
        <v>2036</v>
      </c>
      <c r="C39" s="1232">
        <f>C36+1</f>
        <v>10</v>
      </c>
      <c r="D39" s="1221" t="s">
        <v>1278</v>
      </c>
    </row>
    <row r="40" spans="1:5" ht="10.5" customHeight="1">
      <c r="A40" s="1222"/>
      <c r="B40" s="1242"/>
      <c r="C40" s="1240"/>
      <c r="D40" s="1221" t="s">
        <v>1633</v>
      </c>
    </row>
    <row r="41" spans="1:5" ht="3" customHeight="1">
      <c r="A41" s="1222"/>
      <c r="B41" s="1239"/>
      <c r="C41" s="1240"/>
      <c r="D41" s="1221"/>
    </row>
    <row r="42" spans="1:5" ht="10.5" customHeight="1">
      <c r="A42" s="1222"/>
      <c r="B42" s="1241" t="s">
        <v>2036</v>
      </c>
      <c r="C42" s="1232">
        <v>11</v>
      </c>
      <c r="D42" s="1243" t="s">
        <v>1634</v>
      </c>
      <c r="E42" s="312"/>
    </row>
    <row r="43" spans="1:5" ht="3" customHeight="1">
      <c r="A43" s="1222"/>
      <c r="B43" s="1239"/>
      <c r="C43" s="1240"/>
      <c r="D43" s="1221"/>
    </row>
    <row r="44" spans="1:5">
      <c r="A44" s="1222"/>
      <c r="B44" s="1225" t="s">
        <v>2036</v>
      </c>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t="s">
        <v>2036</v>
      </c>
      <c r="C48" s="1226">
        <f>C44+1</f>
        <v>13</v>
      </c>
      <c r="D48" s="1237" t="s">
        <v>1635</v>
      </c>
    </row>
    <row r="49" spans="1:4" ht="3" customHeight="1">
      <c r="A49" s="1222"/>
      <c r="B49" s="1229"/>
      <c r="C49" s="1226"/>
      <c r="D49" s="1237"/>
    </row>
    <row r="50" spans="1:4">
      <c r="A50" s="1222"/>
      <c r="B50" s="1225" t="s">
        <v>2036</v>
      </c>
      <c r="C50" s="1226">
        <f>C48+1</f>
        <v>14</v>
      </c>
      <c r="D50" s="1237" t="s">
        <v>1274</v>
      </c>
    </row>
    <row r="51" spans="1:4" ht="3" customHeight="1">
      <c r="A51" s="1222"/>
      <c r="B51" s="1229"/>
      <c r="C51" s="1226"/>
      <c r="D51" s="1237"/>
    </row>
    <row r="52" spans="1:4">
      <c r="A52" s="1222"/>
      <c r="B52" s="1225" t="s">
        <v>2036</v>
      </c>
      <c r="C52" s="1226">
        <f>C50+1</f>
        <v>15</v>
      </c>
      <c r="D52" s="1237" t="s">
        <v>1273</v>
      </c>
    </row>
    <row r="53" spans="1:4" ht="3" customHeight="1">
      <c r="A53" s="1222"/>
      <c r="B53" s="1229"/>
      <c r="C53" s="1226"/>
      <c r="D53" s="1237"/>
    </row>
    <row r="54" spans="1:4">
      <c r="A54" s="1222"/>
      <c r="B54" s="1225" t="s">
        <v>2036</v>
      </c>
      <c r="C54" s="1226">
        <f>C52+1</f>
        <v>16</v>
      </c>
      <c r="D54" s="1237" t="s">
        <v>1272</v>
      </c>
    </row>
    <row r="55" spans="1:4" ht="3" customHeight="1">
      <c r="A55" s="1222"/>
      <c r="B55" s="1229"/>
      <c r="C55" s="1226"/>
      <c r="D55" s="1237"/>
    </row>
    <row r="56" spans="1:4">
      <c r="A56" s="1222"/>
      <c r="B56" s="1225" t="s">
        <v>2036</v>
      </c>
      <c r="C56" s="1226">
        <f>C54+1</f>
        <v>17</v>
      </c>
      <c r="D56" s="1221" t="s">
        <v>1783</v>
      </c>
    </row>
    <row r="57" spans="1:4" ht="10.5" customHeight="1">
      <c r="A57" s="1222"/>
      <c r="D57" s="1237" t="s">
        <v>1784</v>
      </c>
    </row>
    <row r="58" spans="1:4">
      <c r="A58" s="1222"/>
      <c r="C58" s="1244" t="s">
        <v>2036</v>
      </c>
      <c r="D58" s="1237" t="s">
        <v>1785</v>
      </c>
    </row>
    <row r="59" spans="1:4" ht="10.5" customHeight="1">
      <c r="A59" s="1222"/>
      <c r="D59" s="1221" t="s">
        <v>1271</v>
      </c>
    </row>
    <row r="60" spans="1:4" ht="10.5" customHeight="1">
      <c r="A60" s="1222"/>
      <c r="D60" s="1245" t="s">
        <v>1653</v>
      </c>
    </row>
    <row r="61" spans="1:4" ht="10.5" customHeight="1">
      <c r="A61" s="1222"/>
      <c r="C61" s="1244" t="s">
        <v>2036</v>
      </c>
      <c r="D61" s="1237" t="s">
        <v>1786</v>
      </c>
    </row>
    <row r="62" spans="1:4" ht="10.5" customHeight="1">
      <c r="A62" s="1222"/>
      <c r="D62" s="1246" t="s">
        <v>1270</v>
      </c>
    </row>
    <row r="63" spans="1:4" ht="10.5" customHeight="1">
      <c r="A63" s="1222"/>
      <c r="D63" s="1221" t="s">
        <v>1636</v>
      </c>
    </row>
    <row r="64" spans="1:4" ht="10.5" customHeight="1">
      <c r="A64" s="1222"/>
      <c r="D64" s="1245" t="s">
        <v>1652</v>
      </c>
    </row>
    <row r="65" spans="1:4">
      <c r="A65" s="1222"/>
      <c r="C65" s="1244" t="s">
        <v>2036</v>
      </c>
      <c r="D65" s="1237" t="s">
        <v>1787</v>
      </c>
    </row>
    <row r="66" spans="1:4" ht="10.5" customHeight="1">
      <c r="A66" s="1222"/>
      <c r="D66" s="1247" t="s">
        <v>1269</v>
      </c>
    </row>
    <row r="67" spans="1:4" ht="10.5" customHeight="1">
      <c r="A67" s="1222"/>
      <c r="D67" s="1221" t="s">
        <v>1637</v>
      </c>
    </row>
    <row r="68" spans="1:4" ht="10.5" customHeight="1">
      <c r="A68" s="1222"/>
      <c r="D68" s="1245" t="s">
        <v>1652</v>
      </c>
    </row>
    <row r="69" spans="1:4" ht="10.5" customHeight="1">
      <c r="A69" s="1222"/>
      <c r="C69" s="1244" t="s">
        <v>2036</v>
      </c>
      <c r="D69" s="1237" t="s">
        <v>1788</v>
      </c>
    </row>
    <row r="70" spans="1:4">
      <c r="A70" s="1222"/>
      <c r="D70" s="1246" t="s">
        <v>1268</v>
      </c>
    </row>
    <row r="71" spans="1:4" ht="3" customHeight="1">
      <c r="A71" s="1222"/>
      <c r="D71" s="1221"/>
    </row>
    <row r="72" spans="1:4">
      <c r="A72" s="1222"/>
      <c r="B72" s="1225" t="s">
        <v>2036</v>
      </c>
      <c r="C72" s="1226">
        <f>C56+1</f>
        <v>18</v>
      </c>
      <c r="D72" s="1247" t="s">
        <v>1789</v>
      </c>
    </row>
    <row r="73" spans="1:4" ht="3" customHeight="1">
      <c r="A73" s="1222"/>
      <c r="B73" s="1229"/>
      <c r="C73" s="1226"/>
      <c r="D73" s="1247"/>
    </row>
    <row r="74" spans="1:4">
      <c r="A74" s="1222"/>
      <c r="B74" s="1225" t="s">
        <v>2036</v>
      </c>
      <c r="C74" s="1226">
        <f>C72+1</f>
        <v>19</v>
      </c>
      <c r="D74" s="1237" t="s">
        <v>1267</v>
      </c>
    </row>
    <row r="75" spans="1:4" ht="3" customHeight="1">
      <c r="A75" s="1222"/>
      <c r="B75" s="1229"/>
      <c r="C75" s="1226"/>
      <c r="D75" s="1237"/>
    </row>
    <row r="76" spans="1:4">
      <c r="A76" s="1222"/>
      <c r="B76" s="1225" t="s">
        <v>2036</v>
      </c>
      <c r="C76" s="1226">
        <f>C74+1</f>
        <v>20</v>
      </c>
      <c r="D76" s="1248" t="s">
        <v>1790</v>
      </c>
    </row>
    <row r="77" spans="1:4" ht="3" customHeight="1">
      <c r="A77" s="1222"/>
      <c r="B77" s="1229"/>
      <c r="C77" s="1226"/>
      <c r="D77" s="1248"/>
    </row>
    <row r="78" spans="1:4">
      <c r="A78" s="1222"/>
      <c r="B78" s="1225" t="s">
        <v>2036</v>
      </c>
      <c r="C78" s="1226">
        <f>C76+1</f>
        <v>21</v>
      </c>
      <c r="D78" s="1221" t="s">
        <v>1791</v>
      </c>
    </row>
    <row r="79" spans="1:4" ht="3" customHeight="1">
      <c r="A79" s="1222"/>
      <c r="B79" s="1229"/>
      <c r="C79" s="1226"/>
      <c r="D79" s="1221"/>
    </row>
    <row r="80" spans="1:4">
      <c r="A80" s="1222"/>
      <c r="B80" s="1225" t="s">
        <v>2036</v>
      </c>
      <c r="C80" s="1226">
        <f>C78+1</f>
        <v>22</v>
      </c>
      <c r="D80" s="1249" t="s">
        <v>1792</v>
      </c>
    </row>
    <row r="81" spans="1:4" ht="3" customHeight="1">
      <c r="A81" s="1222"/>
      <c r="B81" s="1229"/>
      <c r="C81" s="1226"/>
      <c r="D81" s="1249"/>
    </row>
    <row r="82" spans="1:4">
      <c r="A82" s="1222"/>
      <c r="B82" s="1225" t="s">
        <v>2036</v>
      </c>
      <c r="C82" s="1226">
        <f>C80+1</f>
        <v>23</v>
      </c>
      <c r="D82" s="1248" t="s">
        <v>1793</v>
      </c>
    </row>
    <row r="83" spans="1:4" ht="10.5" customHeight="1">
      <c r="A83" s="1222"/>
      <c r="B83" s="1231"/>
      <c r="D83" s="1237" t="s">
        <v>1266</v>
      </c>
    </row>
    <row r="84" spans="1:4" ht="3" customHeight="1">
      <c r="A84" s="1222"/>
      <c r="B84" s="1231"/>
      <c r="D84" s="1237"/>
    </row>
    <row r="85" spans="1:4">
      <c r="A85" s="1222"/>
      <c r="B85" s="1225" t="s">
        <v>2036</v>
      </c>
      <c r="C85" s="1226">
        <f>C82+1</f>
        <v>24</v>
      </c>
      <c r="D85" s="1237" t="s">
        <v>1265</v>
      </c>
    </row>
    <row r="86" spans="1:4" ht="3" customHeight="1">
      <c r="A86" s="1222"/>
      <c r="B86" s="1229"/>
      <c r="C86" s="1226"/>
      <c r="D86" s="1237"/>
    </row>
    <row r="87" spans="1:4">
      <c r="A87" s="1222"/>
      <c r="B87" s="1225" t="s">
        <v>2036</v>
      </c>
      <c r="C87" s="1226">
        <f>C85+1</f>
        <v>25</v>
      </c>
      <c r="D87" s="1237" t="s">
        <v>1264</v>
      </c>
    </row>
    <row r="88" spans="1:4" ht="3" customHeight="1">
      <c r="A88" s="1222"/>
      <c r="B88" s="1229"/>
      <c r="C88" s="1226"/>
      <c r="D88" s="1237"/>
    </row>
    <row r="89" spans="1:4">
      <c r="A89" s="1222"/>
      <c r="B89" s="1225" t="s">
        <v>2036</v>
      </c>
      <c r="C89" s="1226">
        <f>C87+1</f>
        <v>26</v>
      </c>
      <c r="D89" s="1237" t="s">
        <v>1263</v>
      </c>
    </row>
    <row r="90" spans="1:4" ht="3" customHeight="1">
      <c r="A90" s="1222"/>
      <c r="B90" s="1229"/>
      <c r="C90" s="1226"/>
      <c r="D90" s="1237"/>
    </row>
    <row r="91" spans="1:4">
      <c r="A91" s="1222"/>
      <c r="B91" s="1225" t="s">
        <v>2036</v>
      </c>
      <c r="C91" s="1226">
        <f>C89+1</f>
        <v>27</v>
      </c>
      <c r="D91" s="1237" t="s">
        <v>1794</v>
      </c>
    </row>
    <row r="92" spans="1:4">
      <c r="A92" s="1222"/>
      <c r="B92" s="1250"/>
      <c r="C92" s="1244" t="s">
        <v>2036</v>
      </c>
      <c r="D92" s="1237" t="s">
        <v>1262</v>
      </c>
    </row>
    <row r="93" spans="1:4" ht="4.5" customHeight="1">
      <c r="A93" s="1222"/>
      <c r="D93" s="1221"/>
    </row>
    <row r="94" spans="1:4">
      <c r="A94" s="1222"/>
      <c r="B94" s="1223" t="s">
        <v>1638</v>
      </c>
      <c r="C94" s="1224"/>
      <c r="D94" s="1221"/>
    </row>
    <row r="95" spans="1:4" ht="4.5" customHeight="1">
      <c r="A95" s="1222"/>
      <c r="B95" s="1223"/>
      <c r="C95" s="1224"/>
      <c r="D95" s="1221"/>
    </row>
    <row r="96" spans="1:4">
      <c r="A96" s="1222"/>
      <c r="B96" s="1225" t="s">
        <v>2036</v>
      </c>
      <c r="C96" s="1226">
        <f>C91+1</f>
        <v>28</v>
      </c>
      <c r="D96" s="1237" t="s">
        <v>1795</v>
      </c>
    </row>
    <row r="97" spans="1:4" ht="3" customHeight="1">
      <c r="A97" s="1222"/>
      <c r="B97" s="1229"/>
      <c r="C97" s="1226"/>
      <c r="D97" s="1237"/>
    </row>
    <row r="98" spans="1:4">
      <c r="A98" s="1222"/>
      <c r="B98" s="1225" t="s">
        <v>2036</v>
      </c>
      <c r="C98" s="1226">
        <f>C96+1</f>
        <v>29</v>
      </c>
      <c r="D98" s="1251" t="s">
        <v>1796</v>
      </c>
    </row>
    <row r="99" spans="1:4" ht="3" customHeight="1">
      <c r="A99" s="1222"/>
      <c r="B99" s="1229"/>
      <c r="C99" s="1226"/>
      <c r="D99" s="1251"/>
    </row>
    <row r="100" spans="1:4">
      <c r="A100" s="1222"/>
      <c r="B100" s="1225" t="s">
        <v>2036</v>
      </c>
      <c r="C100" s="1226">
        <f>C98+1</f>
        <v>30</v>
      </c>
      <c r="D100" s="1237" t="s">
        <v>1797</v>
      </c>
    </row>
    <row r="101" spans="1:4" ht="3" customHeight="1">
      <c r="A101" s="1222"/>
      <c r="B101" s="1229"/>
      <c r="C101" s="1226"/>
      <c r="D101" s="1252"/>
    </row>
    <row r="102" spans="1:4">
      <c r="A102" s="1222"/>
      <c r="B102" s="1225" t="s">
        <v>2036</v>
      </c>
      <c r="C102" s="1226">
        <f>C100+1</f>
        <v>31</v>
      </c>
      <c r="D102" s="1237" t="s">
        <v>1639</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t="s">
        <v>2036</v>
      </c>
      <c r="C106" s="1226">
        <f>C102+1</f>
        <v>32</v>
      </c>
      <c r="D106" s="1221" t="s">
        <v>1640</v>
      </c>
    </row>
    <row r="107" spans="1:4" ht="3" customHeight="1">
      <c r="A107" s="1222"/>
      <c r="B107" s="1229"/>
      <c r="C107" s="1226"/>
      <c r="D107" s="1221"/>
    </row>
    <row r="108" spans="1:4">
      <c r="A108" s="1222"/>
      <c r="B108" s="1225" t="s">
        <v>2036</v>
      </c>
      <c r="C108" s="1226">
        <v>33</v>
      </c>
      <c r="D108" s="1221" t="s">
        <v>1798</v>
      </c>
    </row>
    <row r="109" spans="1:4" ht="3" customHeight="1">
      <c r="A109" s="1222"/>
      <c r="B109" s="1229" t="s">
        <v>2036</v>
      </c>
      <c r="C109" s="1226"/>
      <c r="D109" s="1221"/>
    </row>
    <row r="110" spans="1:4">
      <c r="A110" s="1222"/>
      <c r="B110" s="1225" t="s">
        <v>2056</v>
      </c>
      <c r="C110" s="1226">
        <f>C108+1</f>
        <v>34</v>
      </c>
      <c r="D110" s="1221" t="s">
        <v>1260</v>
      </c>
    </row>
    <row r="111" spans="1:4" ht="3" customHeight="1">
      <c r="A111" s="1222"/>
      <c r="B111" s="1229"/>
      <c r="C111" s="1226"/>
      <c r="D111" s="1221"/>
    </row>
    <row r="112" spans="1:4">
      <c r="A112" s="1222"/>
      <c r="B112" s="1225" t="s">
        <v>2056</v>
      </c>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t="s">
        <v>2056</v>
      </c>
      <c r="C115" s="1226">
        <f>C112+1</f>
        <v>36</v>
      </c>
      <c r="D115" s="1237" t="s">
        <v>1257</v>
      </c>
    </row>
    <row r="116" spans="1:4" ht="3" customHeight="1">
      <c r="A116" s="1222"/>
      <c r="B116" s="1229"/>
      <c r="C116" s="1226"/>
      <c r="D116" s="1237"/>
    </row>
    <row r="117" spans="1:4">
      <c r="A117" s="1222"/>
      <c r="B117" s="1225" t="s">
        <v>2056</v>
      </c>
      <c r="C117" s="1226">
        <f>C115+1</f>
        <v>37</v>
      </c>
      <c r="D117" s="1237" t="s">
        <v>1799</v>
      </c>
    </row>
    <row r="118" spans="1:4" ht="3" customHeight="1">
      <c r="A118" s="1222"/>
      <c r="B118" s="1229"/>
      <c r="C118" s="1226"/>
      <c r="D118" s="1237"/>
    </row>
    <row r="119" spans="1:4">
      <c r="A119" s="1222"/>
      <c r="B119" s="1225" t="s">
        <v>2056</v>
      </c>
      <c r="C119" s="1226">
        <f>C117+1</f>
        <v>38</v>
      </c>
      <c r="D119" s="1237" t="s">
        <v>1800</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t="s">
        <v>2036</v>
      </c>
      <c r="C123" s="1226">
        <f>C119+1</f>
        <v>39</v>
      </c>
      <c r="D123" s="1247" t="s">
        <v>1909</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D32" sqref="D32"/>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423" t="str">
        <f>'Single Audit Cover'!A7</f>
        <v>Rock Falls Elem SD 13</v>
      </c>
      <c r="B1" s="2423"/>
      <c r="C1" s="2423"/>
      <c r="D1" s="2423"/>
      <c r="E1" s="2423"/>
    </row>
    <row r="2" spans="1:5">
      <c r="A2" s="2424">
        <f>'Single Audit Cover'!E7</f>
        <v>47098013002</v>
      </c>
      <c r="B2" s="2424"/>
      <c r="C2" s="2424"/>
      <c r="D2" s="2424"/>
      <c r="E2" s="2424"/>
    </row>
    <row r="3" spans="1:5" ht="4.5" customHeight="1"/>
    <row r="4" spans="1:5">
      <c r="A4" s="2423" t="s">
        <v>1307</v>
      </c>
      <c r="B4" s="2423"/>
      <c r="C4" s="2423"/>
      <c r="D4" s="2423"/>
      <c r="E4" s="2423"/>
    </row>
    <row r="5" spans="1:5">
      <c r="A5" s="2426" t="str">
        <f>'Single Audit Cover'!A4</f>
        <v>Year Ending June 30, 2018</v>
      </c>
      <c r="B5" s="2426"/>
      <c r="C5" s="2426"/>
      <c r="D5" s="2426"/>
      <c r="E5" s="2426"/>
    </row>
    <row r="6" spans="1:5">
      <c r="A6" s="2423" t="s">
        <v>1306</v>
      </c>
      <c r="B6" s="2423"/>
      <c r="C6" s="2423"/>
      <c r="D6" s="2423"/>
      <c r="E6" s="2423"/>
    </row>
    <row r="8" spans="1:5">
      <c r="A8" s="1260" t="s">
        <v>1305</v>
      </c>
    </row>
    <row r="10" spans="1:5">
      <c r="A10" s="1261" t="s">
        <v>1304</v>
      </c>
      <c r="B10" s="1262" t="s">
        <v>1303</v>
      </c>
      <c r="C10" s="1262"/>
      <c r="D10" s="1263">
        <f>SUM('Acct Summary 7-8'!C7:K7)</f>
        <v>1149206</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1802</v>
      </c>
      <c r="B14" s="1262"/>
      <c r="C14" s="1262"/>
      <c r="D14" s="1264">
        <f>'ICR Computation 30'!E11</f>
        <v>43225</v>
      </c>
    </row>
    <row r="15" spans="1:5">
      <c r="A15" s="1261"/>
      <c r="B15" s="1262"/>
      <c r="C15" s="1262"/>
    </row>
    <row r="16" spans="1:5">
      <c r="A16" s="1261" t="s">
        <v>1915</v>
      </c>
      <c r="B16" s="1262"/>
      <c r="C16" s="1262"/>
    </row>
    <row r="17" spans="1:4">
      <c r="A17" s="1261" t="s">
        <v>1580</v>
      </c>
      <c r="B17" s="1262" t="s">
        <v>1298</v>
      </c>
      <c r="C17" s="1262"/>
      <c r="D17" s="1264">
        <f>-SUM('Revenues 9-14'!C271:D271,'Revenues 9-14'!F271:G271)</f>
        <v>-138362</v>
      </c>
    </row>
    <row r="19" spans="1:4" ht="13.5" thickBot="1">
      <c r="A19" s="1265" t="s">
        <v>1297</v>
      </c>
      <c r="D19" s="1266">
        <f>SUM(D10:D17)</f>
        <v>1054069</v>
      </c>
    </row>
    <row r="20" spans="1:4" ht="21.75" customHeight="1" thickTop="1"/>
    <row r="21" spans="1:4">
      <c r="A21" s="1260" t="s">
        <v>1296</v>
      </c>
    </row>
    <row r="22" spans="1:4" ht="8.25" customHeight="1"/>
    <row r="23" spans="1:4">
      <c r="A23" s="1267" t="s">
        <v>1290</v>
      </c>
    </row>
    <row r="24" spans="1:4">
      <c r="A24" s="2425"/>
      <c r="B24" s="2425"/>
      <c r="D24" s="1268"/>
    </row>
    <row r="25" spans="1:4">
      <c r="A25" s="2422"/>
      <c r="B25" s="2422"/>
      <c r="D25" s="1268"/>
    </row>
    <row r="26" spans="1:4">
      <c r="A26" s="2422"/>
      <c r="B26" s="2422"/>
      <c r="D26" s="1268"/>
    </row>
    <row r="27" spans="1:4">
      <c r="A27" s="2422"/>
      <c r="B27" s="2422"/>
      <c r="D27" s="1268"/>
    </row>
    <row r="28" spans="1:4">
      <c r="A28" s="2422"/>
      <c r="B28" s="2422"/>
      <c r="D28" s="1268"/>
    </row>
    <row r="29" spans="1:4">
      <c r="A29" s="2422"/>
      <c r="B29" s="2422"/>
      <c r="D29" s="1268"/>
    </row>
    <row r="30" spans="1:4">
      <c r="A30" s="2422"/>
      <c r="B30" s="2422"/>
      <c r="D30" s="1268"/>
    </row>
    <row r="32" spans="1:4">
      <c r="A32" s="1260" t="s">
        <v>1295</v>
      </c>
      <c r="D32" s="1263">
        <f>SUM(D19:D30)</f>
        <v>1054069</v>
      </c>
    </row>
    <row r="33" spans="1:4">
      <c r="D33" s="1269"/>
    </row>
    <row r="34" spans="1:4">
      <c r="A34" s="317" t="s">
        <v>1294</v>
      </c>
    </row>
    <row r="35" spans="1:4">
      <c r="A35" s="317" t="s">
        <v>1293</v>
      </c>
      <c r="B35" s="1258" t="s">
        <v>1292</v>
      </c>
      <c r="D35" s="1270">
        <v>1055480</v>
      </c>
    </row>
    <row r="37" spans="1:4">
      <c r="A37" s="1260" t="s">
        <v>1291</v>
      </c>
    </row>
    <row r="39" spans="1:4" ht="13.35" customHeight="1">
      <c r="A39" s="1267" t="s">
        <v>1290</v>
      </c>
    </row>
    <row r="40" spans="1:4">
      <c r="A40" s="2422" t="s">
        <v>2082</v>
      </c>
      <c r="B40" s="2422"/>
      <c r="D40" s="1268">
        <v>-1073</v>
      </c>
    </row>
    <row r="41" spans="1:4">
      <c r="A41" s="2422" t="s">
        <v>2083</v>
      </c>
      <c r="B41" s="2422"/>
      <c r="D41" s="1271">
        <v>-338</v>
      </c>
    </row>
    <row r="42" spans="1:4">
      <c r="A42" s="2422"/>
      <c r="B42" s="2422"/>
      <c r="D42" s="1271"/>
    </row>
    <row r="43" spans="1:4">
      <c r="A43" s="2422"/>
      <c r="B43" s="2422"/>
      <c r="D43" s="1271"/>
    </row>
    <row r="44" spans="1:4">
      <c r="A44" s="2422"/>
      <c r="B44" s="2422"/>
      <c r="D44" s="1271"/>
    </row>
    <row r="45" spans="1:4">
      <c r="A45" s="2422"/>
      <c r="B45" s="2422"/>
      <c r="D45" s="1271"/>
    </row>
    <row r="47" spans="1:4">
      <c r="B47" s="1272" t="s">
        <v>1289</v>
      </c>
      <c r="C47" s="1272"/>
      <c r="D47" s="1273">
        <f>SUM(D35:D45)</f>
        <v>1054069</v>
      </c>
    </row>
    <row r="49" spans="2:4">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M46"/>
  <sheetViews>
    <sheetView topLeftCell="A14" zoomScaleNormal="100" workbookViewId="0">
      <selection activeCell="C51" sqref="C51"/>
    </sheetView>
  </sheetViews>
  <sheetFormatPr defaultRowHeight="12.75"/>
  <cols>
    <col min="1" max="1" width="34.28515625" customWidth="1"/>
    <col min="2" max="2" width="12.28515625" customWidth="1"/>
    <col min="3" max="3" width="12.42578125" bestFit="1" customWidth="1"/>
    <col min="4" max="4" width="8.42578125" bestFit="1" customWidth="1"/>
    <col min="5" max="5" width="8.42578125" style="1934" bestFit="1" customWidth="1"/>
    <col min="6" max="7" width="10.42578125" style="1934" customWidth="1"/>
    <col min="8" max="8" width="11.140625" style="1934" customWidth="1"/>
    <col min="9" max="9" width="11.140625" style="1883" customWidth="1"/>
    <col min="10" max="10" width="9.85546875" bestFit="1" customWidth="1"/>
    <col min="11" max="11" width="13.140625" bestFit="1" customWidth="1"/>
    <col min="12" max="12" width="10" bestFit="1" customWidth="1"/>
    <col min="13" max="13" width="7" bestFit="1" customWidth="1"/>
  </cols>
  <sheetData>
    <row r="1" spans="1:13">
      <c r="A1" s="2427" t="s">
        <v>2041</v>
      </c>
      <c r="B1" s="2428"/>
      <c r="C1" s="2428"/>
      <c r="D1" s="2428"/>
      <c r="E1" s="2428"/>
      <c r="F1" s="2428"/>
      <c r="G1" s="2428"/>
      <c r="H1" s="2428"/>
      <c r="I1" s="2428"/>
      <c r="J1" s="2428"/>
      <c r="K1" s="2428"/>
      <c r="L1" s="2428"/>
      <c r="M1" s="1889"/>
    </row>
    <row r="2" spans="1:13" ht="15">
      <c r="A2" s="2429" t="s">
        <v>2037</v>
      </c>
      <c r="B2" s="2429"/>
      <c r="C2" s="2429"/>
      <c r="D2" s="2429"/>
      <c r="E2" s="2429"/>
      <c r="F2" s="2429"/>
      <c r="G2" s="2429"/>
      <c r="H2" s="2429"/>
      <c r="I2" s="2429"/>
      <c r="J2" s="2429"/>
      <c r="K2" s="2429"/>
      <c r="L2" s="2429"/>
      <c r="M2" s="1891"/>
    </row>
    <row r="3" spans="1:13" ht="15">
      <c r="A3" s="2430" t="s">
        <v>1281</v>
      </c>
      <c r="B3" s="2430"/>
      <c r="C3" s="2430"/>
      <c r="D3" s="2430"/>
      <c r="E3" s="2430"/>
      <c r="F3" s="2430"/>
      <c r="G3" s="2430"/>
      <c r="H3" s="2430"/>
      <c r="I3" s="2430"/>
      <c r="J3" s="2430"/>
      <c r="K3" s="2430"/>
      <c r="L3" s="2430"/>
      <c r="M3" s="1891"/>
    </row>
    <row r="4" spans="1:13" ht="15">
      <c r="A4" s="2431" t="s">
        <v>1771</v>
      </c>
      <c r="B4" s="2431"/>
      <c r="C4" s="2431"/>
      <c r="D4" s="2431"/>
      <c r="E4" s="2431"/>
      <c r="F4" s="2431"/>
      <c r="G4" s="2431"/>
      <c r="H4" s="2431"/>
      <c r="I4" s="2431"/>
      <c r="J4" s="2431"/>
      <c r="K4" s="2431"/>
      <c r="L4" s="2431"/>
      <c r="M4" s="1891"/>
    </row>
    <row r="5" spans="1:13" ht="55.9" customHeight="1">
      <c r="A5" s="1899" t="s">
        <v>2084</v>
      </c>
      <c r="B5" s="1899" t="s">
        <v>2085</v>
      </c>
      <c r="C5" s="1916" t="s">
        <v>2086</v>
      </c>
      <c r="D5" s="1916" t="s">
        <v>2151</v>
      </c>
      <c r="E5" s="1916" t="s">
        <v>2152</v>
      </c>
      <c r="F5" s="1916" t="s">
        <v>2156</v>
      </c>
      <c r="G5" s="1916" t="s">
        <v>2153</v>
      </c>
      <c r="H5" s="1916" t="s">
        <v>2154</v>
      </c>
      <c r="I5" s="1917" t="s">
        <v>2155</v>
      </c>
      <c r="J5" s="1918" t="s">
        <v>2087</v>
      </c>
      <c r="K5" s="1918" t="s">
        <v>2088</v>
      </c>
      <c r="L5" s="1918" t="s">
        <v>2089</v>
      </c>
      <c r="M5" s="1918" t="s">
        <v>30</v>
      </c>
    </row>
    <row r="6" spans="1:13">
      <c r="A6" s="1903" t="s">
        <v>2090</v>
      </c>
      <c r="B6" s="1909"/>
      <c r="C6" s="1895"/>
      <c r="D6" s="1895"/>
      <c r="E6" s="1907"/>
      <c r="F6" s="1895"/>
      <c r="G6" s="1895"/>
      <c r="H6" s="1907"/>
      <c r="I6" s="1895"/>
      <c r="J6" s="1906"/>
      <c r="K6" s="1907"/>
      <c r="L6" s="1907"/>
      <c r="M6" s="1907"/>
    </row>
    <row r="7" spans="1:13">
      <c r="A7" s="1904" t="s">
        <v>2091</v>
      </c>
      <c r="B7" s="1909"/>
      <c r="C7" s="1913"/>
      <c r="D7" s="1907"/>
      <c r="E7" s="1907"/>
      <c r="F7" s="1895"/>
      <c r="G7" s="1895"/>
      <c r="H7" s="1907"/>
      <c r="I7" s="1895"/>
      <c r="J7" s="1906"/>
      <c r="K7" s="1907"/>
      <c r="L7" s="1907"/>
      <c r="M7" s="1907"/>
    </row>
    <row r="8" spans="1:13">
      <c r="A8" s="1897" t="s">
        <v>2062</v>
      </c>
      <c r="B8" s="1897"/>
      <c r="C8" s="1913"/>
      <c r="D8" s="1907"/>
      <c r="E8" s="1907"/>
      <c r="F8" s="1895"/>
      <c r="G8" s="1895"/>
      <c r="H8" s="1907"/>
      <c r="I8" s="1895"/>
      <c r="J8" s="1906"/>
      <c r="K8" s="1907"/>
      <c r="L8" s="1907"/>
      <c r="M8" s="1907"/>
    </row>
    <row r="9" spans="1:13">
      <c r="A9" s="1900" t="s">
        <v>2092</v>
      </c>
      <c r="B9" s="1894">
        <v>10.553000000000001</v>
      </c>
      <c r="C9" s="1928" t="s">
        <v>2093</v>
      </c>
      <c r="D9" s="1929">
        <v>8161</v>
      </c>
      <c r="E9" s="1929">
        <v>0</v>
      </c>
      <c r="F9" s="1929">
        <v>8161</v>
      </c>
      <c r="G9" s="1929">
        <v>0</v>
      </c>
      <c r="H9" s="1929">
        <v>0</v>
      </c>
      <c r="I9" s="1907">
        <v>0</v>
      </c>
      <c r="J9" s="1914">
        <v>0</v>
      </c>
      <c r="K9" s="1907">
        <f>H9+F9</f>
        <v>8161</v>
      </c>
      <c r="L9" s="1907">
        <v>0</v>
      </c>
      <c r="M9" s="1905" t="s">
        <v>2057</v>
      </c>
    </row>
    <row r="10" spans="1:13">
      <c r="A10" s="1900" t="s">
        <v>2092</v>
      </c>
      <c r="B10" s="1894">
        <v>10.553000000000001</v>
      </c>
      <c r="C10" s="1928" t="s">
        <v>2094</v>
      </c>
      <c r="D10" s="1929">
        <v>37935</v>
      </c>
      <c r="E10" s="1929">
        <v>20699</v>
      </c>
      <c r="F10" s="1929">
        <v>37935</v>
      </c>
      <c r="G10" s="1929">
        <v>0</v>
      </c>
      <c r="H10" s="1929">
        <v>20699</v>
      </c>
      <c r="I10" s="1907">
        <v>0</v>
      </c>
      <c r="J10" s="1914">
        <v>0</v>
      </c>
      <c r="K10" s="1907">
        <f t="shared" ref="K10:K18" si="0">H10+F10</f>
        <v>58634</v>
      </c>
      <c r="L10" s="1907">
        <v>0</v>
      </c>
      <c r="M10" s="1905" t="s">
        <v>2057</v>
      </c>
    </row>
    <row r="11" spans="1:13" s="1883" customFormat="1">
      <c r="A11" s="1900" t="s">
        <v>2092</v>
      </c>
      <c r="B11" s="1894">
        <v>11.553000000000001</v>
      </c>
      <c r="C11" s="1928" t="s">
        <v>2122</v>
      </c>
      <c r="D11" s="1929">
        <v>0</v>
      </c>
      <c r="E11" s="1929">
        <v>100663</v>
      </c>
      <c r="F11" s="1929">
        <v>0</v>
      </c>
      <c r="G11" s="1929">
        <v>0</v>
      </c>
      <c r="H11" s="1929">
        <v>100663</v>
      </c>
      <c r="I11" s="1907">
        <v>0</v>
      </c>
      <c r="J11" s="1914">
        <v>0</v>
      </c>
      <c r="K11" s="1907">
        <f t="shared" si="0"/>
        <v>100663</v>
      </c>
      <c r="L11" s="1907">
        <v>0</v>
      </c>
      <c r="M11" s="1905" t="s">
        <v>2057</v>
      </c>
    </row>
    <row r="12" spans="1:13">
      <c r="A12" s="1900" t="s">
        <v>2095</v>
      </c>
      <c r="B12" s="1894">
        <v>10.555</v>
      </c>
      <c r="C12" s="1927" t="s">
        <v>2096</v>
      </c>
      <c r="D12" s="1929">
        <v>51898</v>
      </c>
      <c r="E12" s="1929">
        <v>0</v>
      </c>
      <c r="F12" s="1929">
        <v>51898</v>
      </c>
      <c r="G12" s="1929">
        <v>0</v>
      </c>
      <c r="H12" s="1929">
        <v>0</v>
      </c>
      <c r="I12" s="1907">
        <v>0</v>
      </c>
      <c r="J12" s="1914">
        <v>0</v>
      </c>
      <c r="K12" s="1907">
        <f t="shared" si="0"/>
        <v>51898</v>
      </c>
      <c r="L12" s="1907">
        <v>0</v>
      </c>
      <c r="M12" s="1905" t="s">
        <v>2057</v>
      </c>
    </row>
    <row r="13" spans="1:13">
      <c r="A13" s="1900" t="s">
        <v>2095</v>
      </c>
      <c r="B13" s="1894">
        <v>10.555</v>
      </c>
      <c r="C13" s="1927" t="s">
        <v>2097</v>
      </c>
      <c r="D13" s="1929">
        <v>241514</v>
      </c>
      <c r="E13" s="1929">
        <v>66607</v>
      </c>
      <c r="F13" s="1929">
        <v>241514</v>
      </c>
      <c r="G13" s="1929">
        <v>0</v>
      </c>
      <c r="H13" s="1929">
        <v>66607</v>
      </c>
      <c r="I13" s="1907">
        <v>0</v>
      </c>
      <c r="J13" s="1914">
        <v>0</v>
      </c>
      <c r="K13" s="1907">
        <f t="shared" si="0"/>
        <v>308121</v>
      </c>
      <c r="L13" s="1907">
        <v>0</v>
      </c>
      <c r="M13" s="1905" t="s">
        <v>2057</v>
      </c>
    </row>
    <row r="14" spans="1:13" s="1883" customFormat="1">
      <c r="A14" s="1900" t="s">
        <v>2095</v>
      </c>
      <c r="B14" s="1894">
        <v>11.555</v>
      </c>
      <c r="C14" s="1927" t="s">
        <v>2123</v>
      </c>
      <c r="D14" s="1929">
        <v>0</v>
      </c>
      <c r="E14" s="1929">
        <v>292826</v>
      </c>
      <c r="F14" s="1929">
        <v>0</v>
      </c>
      <c r="G14" s="1929">
        <v>0</v>
      </c>
      <c r="H14" s="1929">
        <v>292826</v>
      </c>
      <c r="I14" s="1907">
        <v>0</v>
      </c>
      <c r="J14" s="1914">
        <v>0</v>
      </c>
      <c r="K14" s="1907">
        <f t="shared" si="0"/>
        <v>292826</v>
      </c>
      <c r="L14" s="1907">
        <v>0</v>
      </c>
      <c r="M14" s="1905" t="s">
        <v>2057</v>
      </c>
    </row>
    <row r="15" spans="1:13">
      <c r="A15" s="1900" t="s">
        <v>2098</v>
      </c>
      <c r="B15" s="1894">
        <v>10.555</v>
      </c>
      <c r="C15" s="1927" t="s">
        <v>2100</v>
      </c>
      <c r="D15" s="1929">
        <v>48765</v>
      </c>
      <c r="E15" s="1929">
        <v>0</v>
      </c>
      <c r="F15" s="1929">
        <v>48765</v>
      </c>
      <c r="G15" s="1929">
        <v>0</v>
      </c>
      <c r="H15" s="1929">
        <v>0</v>
      </c>
      <c r="I15" s="1907">
        <v>0</v>
      </c>
      <c r="J15" s="1914">
        <v>0</v>
      </c>
      <c r="K15" s="1907">
        <f t="shared" si="0"/>
        <v>48765</v>
      </c>
      <c r="L15" s="1907">
        <v>0</v>
      </c>
      <c r="M15" s="1905" t="s">
        <v>2057</v>
      </c>
    </row>
    <row r="16" spans="1:13">
      <c r="A16" s="1900" t="s">
        <v>2099</v>
      </c>
      <c r="B16" s="1894">
        <v>10.555</v>
      </c>
      <c r="C16" s="1927" t="s">
        <v>2100</v>
      </c>
      <c r="D16" s="1929">
        <v>3145</v>
      </c>
      <c r="E16" s="1929">
        <v>0</v>
      </c>
      <c r="F16" s="1929">
        <v>3145</v>
      </c>
      <c r="G16" s="1929">
        <v>0</v>
      </c>
      <c r="H16" s="1929">
        <v>0</v>
      </c>
      <c r="I16" s="1907">
        <v>0</v>
      </c>
      <c r="J16" s="1914">
        <v>0</v>
      </c>
      <c r="K16" s="1907">
        <f t="shared" si="0"/>
        <v>3145</v>
      </c>
      <c r="L16" s="1907">
        <v>0</v>
      </c>
      <c r="M16" s="1905" t="s">
        <v>2057</v>
      </c>
    </row>
    <row r="17" spans="1:13" s="1883" customFormat="1">
      <c r="A17" s="1900" t="s">
        <v>2098</v>
      </c>
      <c r="B17" s="1894">
        <v>10.555</v>
      </c>
      <c r="C17" s="1927" t="s">
        <v>2124</v>
      </c>
      <c r="D17" s="1929">
        <v>0</v>
      </c>
      <c r="E17" s="1929">
        <v>40174</v>
      </c>
      <c r="F17" s="1929">
        <v>0</v>
      </c>
      <c r="G17" s="1929">
        <v>0</v>
      </c>
      <c r="H17" s="1929">
        <v>40174</v>
      </c>
      <c r="I17" s="1907">
        <v>0</v>
      </c>
      <c r="J17" s="1914">
        <v>0</v>
      </c>
      <c r="K17" s="1907">
        <f t="shared" si="0"/>
        <v>40174</v>
      </c>
      <c r="L17" s="1907">
        <v>0</v>
      </c>
      <c r="M17" s="1905" t="s">
        <v>2057</v>
      </c>
    </row>
    <row r="18" spans="1:13" s="1883" customFormat="1">
      <c r="A18" s="1900" t="s">
        <v>2099</v>
      </c>
      <c r="B18" s="1894">
        <v>10.555</v>
      </c>
      <c r="C18" s="1927" t="s">
        <v>2124</v>
      </c>
      <c r="D18" s="1929">
        <v>0</v>
      </c>
      <c r="E18" s="1929">
        <v>3051</v>
      </c>
      <c r="F18" s="1929">
        <v>0</v>
      </c>
      <c r="G18" s="1929">
        <v>0</v>
      </c>
      <c r="H18" s="1929">
        <v>3051</v>
      </c>
      <c r="I18" s="1907">
        <v>0</v>
      </c>
      <c r="J18" s="1914">
        <v>0</v>
      </c>
      <c r="K18" s="1907">
        <f t="shared" si="0"/>
        <v>3051</v>
      </c>
      <c r="L18" s="1907">
        <v>0</v>
      </c>
      <c r="M18" s="1905" t="s">
        <v>2057</v>
      </c>
    </row>
    <row r="19" spans="1:13" s="1884" customFormat="1">
      <c r="A19" s="1901" t="s">
        <v>2101</v>
      </c>
      <c r="B19" s="1912"/>
      <c r="C19" s="1912"/>
      <c r="D19" s="1921">
        <f>SUM(D9:D18)</f>
        <v>391418</v>
      </c>
      <c r="E19" s="1921">
        <f>SUM(E9:E18)</f>
        <v>524020</v>
      </c>
      <c r="F19" s="1921">
        <f t="shared" ref="F19:L19" si="1">SUM(F9:F18)</f>
        <v>391418</v>
      </c>
      <c r="G19" s="1921">
        <f>SUM(G9:G18)</f>
        <v>0</v>
      </c>
      <c r="H19" s="1921">
        <f t="shared" si="1"/>
        <v>524020</v>
      </c>
      <c r="I19" s="1921">
        <f>SUM(I9:I18)</f>
        <v>0</v>
      </c>
      <c r="J19" s="1921">
        <f>SUM(J9:J18)</f>
        <v>0</v>
      </c>
      <c r="K19" s="1921">
        <f t="shared" si="1"/>
        <v>915438</v>
      </c>
      <c r="L19" s="1921">
        <f t="shared" si="1"/>
        <v>0</v>
      </c>
      <c r="M19" s="1911"/>
    </row>
    <row r="20" spans="1:13" s="1884" customFormat="1">
      <c r="A20" s="1893"/>
      <c r="B20" s="1895"/>
      <c r="C20" s="1895"/>
      <c r="D20" s="1925"/>
      <c r="E20" s="1925"/>
      <c r="F20" s="1925"/>
      <c r="G20" s="1925"/>
      <c r="H20" s="1925"/>
      <c r="I20" s="1926"/>
      <c r="J20" s="1892"/>
      <c r="K20" s="1926"/>
      <c r="L20" s="1926"/>
      <c r="M20" s="1926"/>
    </row>
    <row r="21" spans="1:13" s="1884" customFormat="1">
      <c r="A21" s="1903" t="s">
        <v>2102</v>
      </c>
      <c r="B21" s="1909"/>
      <c r="C21" s="1895"/>
      <c r="D21" s="1907"/>
      <c r="E21" s="1907"/>
      <c r="F21" s="1895"/>
      <c r="G21" s="1895"/>
      <c r="H21" s="1907"/>
      <c r="I21" s="1895"/>
      <c r="J21" s="1906"/>
      <c r="K21" s="1907"/>
      <c r="L21" s="1907"/>
      <c r="M21" s="1907"/>
    </row>
    <row r="22" spans="1:13" s="1884" customFormat="1">
      <c r="A22" s="1904" t="s">
        <v>2091</v>
      </c>
      <c r="B22" s="1909"/>
      <c r="C22" s="1895"/>
      <c r="D22" s="1907"/>
      <c r="E22" s="1907"/>
      <c r="F22" s="1895"/>
      <c r="G22" s="1895"/>
      <c r="H22" s="1907"/>
      <c r="I22" s="1895"/>
      <c r="J22" s="1906"/>
      <c r="K22" s="1907"/>
      <c r="L22" s="1907"/>
      <c r="M22" s="1907"/>
    </row>
    <row r="23" spans="1:13" s="1884" customFormat="1">
      <c r="A23" s="1897" t="s">
        <v>2103</v>
      </c>
      <c r="B23" s="1897"/>
      <c r="C23" s="1913"/>
      <c r="D23" s="1907"/>
      <c r="E23" s="1907"/>
      <c r="F23" s="1895"/>
      <c r="G23" s="1895"/>
      <c r="H23" s="1907"/>
      <c r="I23" s="1895"/>
      <c r="J23" s="1906"/>
      <c r="K23" s="1907"/>
      <c r="L23" s="1907"/>
      <c r="M23" s="1907"/>
    </row>
    <row r="24" spans="1:13">
      <c r="A24" s="1895" t="s">
        <v>974</v>
      </c>
      <c r="B24" s="1894" t="s">
        <v>2104</v>
      </c>
      <c r="C24" s="1920" t="s">
        <v>2105</v>
      </c>
      <c r="D24" s="1907">
        <v>115775</v>
      </c>
      <c r="E24" s="1907">
        <v>0</v>
      </c>
      <c r="F24" s="1907">
        <v>79749</v>
      </c>
      <c r="G24" s="1907">
        <v>0</v>
      </c>
      <c r="H24" s="1907">
        <v>0</v>
      </c>
      <c r="I24" s="1907">
        <v>0</v>
      </c>
      <c r="J24" s="1914">
        <v>0</v>
      </c>
      <c r="K24" s="1907">
        <f t="shared" ref="K24:K26" si="2">H24+F24</f>
        <v>79749</v>
      </c>
      <c r="L24" s="1907">
        <v>0</v>
      </c>
      <c r="M24" s="1908">
        <v>485463</v>
      </c>
    </row>
    <row r="25" spans="1:13">
      <c r="A25" s="1895" t="s">
        <v>974</v>
      </c>
      <c r="B25" s="1894" t="s">
        <v>2104</v>
      </c>
      <c r="C25" s="1920" t="s">
        <v>2106</v>
      </c>
      <c r="D25" s="1907">
        <v>333124</v>
      </c>
      <c r="E25" s="1907">
        <v>179455</v>
      </c>
      <c r="F25" s="1907">
        <v>333124</v>
      </c>
      <c r="G25" s="1907">
        <v>0</v>
      </c>
      <c r="H25" s="1907">
        <v>179455</v>
      </c>
      <c r="I25" s="1907">
        <v>0</v>
      </c>
      <c r="J25" s="1914">
        <v>0</v>
      </c>
      <c r="K25" s="1907">
        <f t="shared" si="2"/>
        <v>512579</v>
      </c>
      <c r="L25" s="1907">
        <v>0</v>
      </c>
      <c r="M25" s="1908">
        <v>561202</v>
      </c>
    </row>
    <row r="26" spans="1:13" s="1883" customFormat="1">
      <c r="A26" s="1895" t="s">
        <v>974</v>
      </c>
      <c r="B26" s="1894" t="s">
        <v>2104</v>
      </c>
      <c r="C26" s="1920" t="s">
        <v>2125</v>
      </c>
      <c r="D26" s="1907">
        <v>0</v>
      </c>
      <c r="E26" s="1907">
        <v>307792</v>
      </c>
      <c r="F26" s="1907">
        <v>0</v>
      </c>
      <c r="G26" s="1907">
        <v>0</v>
      </c>
      <c r="H26" s="1907">
        <v>450731</v>
      </c>
      <c r="I26" s="1907">
        <v>0</v>
      </c>
      <c r="J26" s="1914">
        <v>0</v>
      </c>
      <c r="K26" s="1907">
        <f t="shared" si="2"/>
        <v>450731</v>
      </c>
      <c r="L26" s="1907">
        <v>0</v>
      </c>
      <c r="M26" s="1908">
        <v>554142</v>
      </c>
    </row>
    <row r="27" spans="1:13" s="1884" customFormat="1">
      <c r="A27" s="1896"/>
      <c r="B27" s="1912"/>
      <c r="C27" s="1912"/>
      <c r="D27" s="1911">
        <f>SUM(D24:D26)</f>
        <v>448899</v>
      </c>
      <c r="E27" s="1911">
        <f t="shared" ref="E27:L27" si="3">SUM(E24:E26)</f>
        <v>487247</v>
      </c>
      <c r="F27" s="1911">
        <f t="shared" si="3"/>
        <v>412873</v>
      </c>
      <c r="G27" s="1911">
        <f>SUM(G24:G26)</f>
        <v>0</v>
      </c>
      <c r="H27" s="1911">
        <f t="shared" si="3"/>
        <v>630186</v>
      </c>
      <c r="I27" s="1911">
        <f>SUM(I24:I26)</f>
        <v>0</v>
      </c>
      <c r="J27" s="1911">
        <f>SUM(J24:J26)</f>
        <v>0</v>
      </c>
      <c r="K27" s="1911">
        <f t="shared" si="3"/>
        <v>1043059</v>
      </c>
      <c r="L27" s="1911">
        <f t="shared" si="3"/>
        <v>0</v>
      </c>
      <c r="M27" s="1911"/>
    </row>
    <row r="28" spans="1:13" s="1884" customFormat="1">
      <c r="A28" s="1897" t="s">
        <v>2107</v>
      </c>
      <c r="B28" s="1897"/>
      <c r="C28" s="1913"/>
      <c r="D28" s="1907"/>
      <c r="E28" s="1907"/>
      <c r="F28" s="1895"/>
      <c r="G28" s="1895"/>
      <c r="H28" s="1907"/>
      <c r="I28" s="1895"/>
      <c r="J28" s="1906"/>
      <c r="K28" s="1907"/>
      <c r="L28" s="1907"/>
      <c r="M28" s="1907"/>
    </row>
    <row r="29" spans="1:13">
      <c r="A29" s="1898" t="s">
        <v>2108</v>
      </c>
      <c r="B29" s="1894" t="s">
        <v>2109</v>
      </c>
      <c r="C29" s="1920" t="s">
        <v>2110</v>
      </c>
      <c r="D29" s="1919">
        <v>19587</v>
      </c>
      <c r="E29" s="1919">
        <v>1275</v>
      </c>
      <c r="F29" s="1919">
        <v>19587</v>
      </c>
      <c r="G29" s="1919">
        <v>0</v>
      </c>
      <c r="H29" s="1919">
        <v>1275</v>
      </c>
      <c r="I29" s="1919">
        <v>0</v>
      </c>
      <c r="J29" s="1914">
        <v>0</v>
      </c>
      <c r="K29" s="1907">
        <f t="shared" ref="K29:K30" si="4">H29+F29</f>
        <v>20862</v>
      </c>
      <c r="L29" s="1919">
        <v>0</v>
      </c>
      <c r="M29" s="1908">
        <v>23965</v>
      </c>
    </row>
    <row r="30" spans="1:13" s="1883" customFormat="1">
      <c r="A30" s="1898" t="s">
        <v>2108</v>
      </c>
      <c r="B30" s="1894" t="s">
        <v>2109</v>
      </c>
      <c r="C30" s="1920" t="s">
        <v>2126</v>
      </c>
      <c r="D30" s="1919">
        <v>0</v>
      </c>
      <c r="E30" s="1919">
        <v>7646</v>
      </c>
      <c r="F30" s="1919">
        <v>0</v>
      </c>
      <c r="G30" s="1919">
        <v>0</v>
      </c>
      <c r="H30" s="1919">
        <v>21079</v>
      </c>
      <c r="I30" s="1919">
        <v>0</v>
      </c>
      <c r="J30" s="1914">
        <v>1275</v>
      </c>
      <c r="K30" s="1907">
        <f t="shared" si="4"/>
        <v>21079</v>
      </c>
      <c r="L30" s="1919">
        <v>0</v>
      </c>
      <c r="M30" s="1908">
        <v>22425</v>
      </c>
    </row>
    <row r="31" spans="1:13" s="1884" customFormat="1">
      <c r="A31" s="1896"/>
      <c r="B31" s="1912"/>
      <c r="C31" s="1912"/>
      <c r="D31" s="1921">
        <f t="shared" ref="D31:I31" si="5">SUM(D29:D30)</f>
        <v>19587</v>
      </c>
      <c r="E31" s="1921">
        <f t="shared" si="5"/>
        <v>8921</v>
      </c>
      <c r="F31" s="1921">
        <f t="shared" si="5"/>
        <v>19587</v>
      </c>
      <c r="G31" s="1921">
        <f t="shared" si="5"/>
        <v>0</v>
      </c>
      <c r="H31" s="1921">
        <f t="shared" si="5"/>
        <v>22354</v>
      </c>
      <c r="I31" s="1921">
        <f t="shared" si="5"/>
        <v>0</v>
      </c>
      <c r="J31" s="1921">
        <f>SUM(J29:J30)</f>
        <v>1275</v>
      </c>
      <c r="K31" s="1921">
        <f>SUM(K29:K30)</f>
        <v>41941</v>
      </c>
      <c r="L31" s="1921">
        <f>SUM(L29:L30)</f>
        <v>0</v>
      </c>
      <c r="M31" s="1911"/>
    </row>
    <row r="32" spans="1:13" s="1884" customFormat="1">
      <c r="A32" s="1894"/>
      <c r="B32" s="1895"/>
      <c r="C32" s="1895"/>
      <c r="D32" s="1925"/>
      <c r="E32" s="1925"/>
      <c r="F32" s="1925"/>
      <c r="G32" s="1925"/>
      <c r="H32" s="1925"/>
      <c r="I32" s="1925"/>
      <c r="J32" s="1926"/>
      <c r="K32" s="1925"/>
      <c r="L32" s="1925"/>
      <c r="M32" s="1926"/>
    </row>
    <row r="33" spans="1:13" s="1884" customFormat="1">
      <c r="A33" s="1901" t="s">
        <v>2111</v>
      </c>
      <c r="B33" s="1912"/>
      <c r="C33" s="1912"/>
      <c r="D33" s="1911">
        <f>D27+D31</f>
        <v>468486</v>
      </c>
      <c r="E33" s="1911">
        <f>E27+E31</f>
        <v>496168</v>
      </c>
      <c r="F33" s="1911">
        <f>F27+F31</f>
        <v>432460</v>
      </c>
      <c r="G33" s="1911">
        <f>G31+G27</f>
        <v>0</v>
      </c>
      <c r="H33" s="1911">
        <f>H27+H31</f>
        <v>652540</v>
      </c>
      <c r="I33" s="1911">
        <f>+I31+I27</f>
        <v>0</v>
      </c>
      <c r="J33" s="1911">
        <f>J31+J27</f>
        <v>1275</v>
      </c>
      <c r="K33" s="1911">
        <f>K27+K31</f>
        <v>1085000</v>
      </c>
      <c r="L33" s="1911">
        <f>L27+L31</f>
        <v>0</v>
      </c>
      <c r="M33" s="1915"/>
    </row>
    <row r="34" spans="1:13">
      <c r="A34" s="1893"/>
      <c r="B34" s="1895"/>
      <c r="C34" s="1895"/>
      <c r="D34" s="1907"/>
      <c r="E34" s="1907"/>
      <c r="F34" s="1895"/>
      <c r="G34" s="1895"/>
      <c r="H34" s="1907"/>
      <c r="I34" s="1895"/>
      <c r="J34" s="1906"/>
      <c r="K34" s="1907"/>
      <c r="L34" s="1907"/>
      <c r="M34" s="1907"/>
    </row>
    <row r="35" spans="1:13">
      <c r="A35" s="1903" t="s">
        <v>2112</v>
      </c>
      <c r="B35" s="1909"/>
      <c r="C35" s="1895"/>
      <c r="D35" s="1907"/>
      <c r="E35" s="1907"/>
      <c r="F35" s="1895"/>
      <c r="G35" s="1895"/>
      <c r="H35" s="1907"/>
      <c r="I35" s="1895"/>
      <c r="J35" s="1906"/>
      <c r="K35" s="1907"/>
      <c r="L35" s="1907"/>
      <c r="M35" s="1907"/>
    </row>
    <row r="36" spans="1:13">
      <c r="A36" s="1904" t="s">
        <v>2113</v>
      </c>
      <c r="B36" s="1909"/>
      <c r="C36" s="1895"/>
      <c r="D36" s="1907"/>
      <c r="E36" s="1907"/>
      <c r="F36" s="1895"/>
      <c r="G36" s="1895"/>
      <c r="H36" s="1907"/>
      <c r="I36" s="1895"/>
      <c r="J36" s="1906"/>
      <c r="K36" s="1907"/>
      <c r="L36" s="1907"/>
      <c r="M36" s="1907"/>
    </row>
    <row r="37" spans="1:13">
      <c r="A37" s="1895"/>
      <c r="B37" s="1897" t="s">
        <v>2114</v>
      </c>
      <c r="C37" s="1913"/>
      <c r="D37" s="1907"/>
      <c r="E37" s="1907"/>
      <c r="F37" s="1895"/>
      <c r="G37" s="1895"/>
      <c r="H37" s="1907"/>
      <c r="I37" s="1895"/>
      <c r="J37" s="1906"/>
      <c r="K37" s="1907"/>
      <c r="L37" s="1907"/>
      <c r="M37" s="1907"/>
    </row>
    <row r="38" spans="1:13">
      <c r="A38" s="1895" t="s">
        <v>2115</v>
      </c>
      <c r="B38" s="1894">
        <v>93.778000000000006</v>
      </c>
      <c r="C38" s="1930" t="s">
        <v>2117</v>
      </c>
      <c r="D38" s="1919">
        <v>6799</v>
      </c>
      <c r="E38" s="1919">
        <v>0</v>
      </c>
      <c r="F38" s="1919">
        <v>0</v>
      </c>
      <c r="G38" s="1919">
        <v>0</v>
      </c>
      <c r="H38" s="1919">
        <v>0</v>
      </c>
      <c r="I38" s="1919">
        <v>0</v>
      </c>
      <c r="J38" s="1914">
        <v>0</v>
      </c>
      <c r="K38" s="1907">
        <f t="shared" ref="K38:K40" si="6">H38+F38</f>
        <v>0</v>
      </c>
      <c r="L38" s="1919">
        <v>0</v>
      </c>
      <c r="M38" s="1910" t="s">
        <v>2116</v>
      </c>
    </row>
    <row r="39" spans="1:13">
      <c r="A39" s="1895" t="s">
        <v>2115</v>
      </c>
      <c r="B39" s="1894">
        <v>93.778000000000006</v>
      </c>
      <c r="C39" s="1930" t="s">
        <v>2118</v>
      </c>
      <c r="D39" s="1919">
        <v>25019</v>
      </c>
      <c r="E39" s="1919">
        <v>8461</v>
      </c>
      <c r="F39" s="1919">
        <v>33480</v>
      </c>
      <c r="G39" s="1919">
        <v>0</v>
      </c>
      <c r="H39" s="1919">
        <v>0</v>
      </c>
      <c r="I39" s="1919">
        <v>0</v>
      </c>
      <c r="J39" s="1914">
        <v>0</v>
      </c>
      <c r="K39" s="1907">
        <f t="shared" si="6"/>
        <v>33480</v>
      </c>
      <c r="L39" s="1919">
        <v>0</v>
      </c>
      <c r="M39" s="1910" t="s">
        <v>2116</v>
      </c>
    </row>
    <row r="40" spans="1:13" s="1883" customFormat="1">
      <c r="A40" s="1895" t="s">
        <v>2115</v>
      </c>
      <c r="B40" s="1894">
        <v>94.778000000000006</v>
      </c>
      <c r="C40" s="1930" t="s">
        <v>2127</v>
      </c>
      <c r="D40" s="1919">
        <v>0</v>
      </c>
      <c r="E40" s="1919">
        <v>26831</v>
      </c>
      <c r="F40" s="1919">
        <v>0</v>
      </c>
      <c r="G40" s="1919">
        <v>0</v>
      </c>
      <c r="H40" s="1919">
        <v>35512</v>
      </c>
      <c r="I40" s="1919">
        <v>0</v>
      </c>
      <c r="J40" s="1914">
        <v>0</v>
      </c>
      <c r="K40" s="1907">
        <f t="shared" si="6"/>
        <v>35512</v>
      </c>
      <c r="L40" s="1919">
        <v>0</v>
      </c>
      <c r="M40" s="1910" t="s">
        <v>2116</v>
      </c>
    </row>
    <row r="41" spans="1:13" s="1884" customFormat="1">
      <c r="A41" s="1901" t="s">
        <v>2119</v>
      </c>
      <c r="B41" s="1912"/>
      <c r="C41" s="1912"/>
      <c r="D41" s="1921">
        <f>SUM(D38:D40)</f>
        <v>31818</v>
      </c>
      <c r="E41" s="1921">
        <f t="shared" ref="E41:L41" si="7">SUM(E38:E40)</f>
        <v>35292</v>
      </c>
      <c r="F41" s="1921">
        <f t="shared" si="7"/>
        <v>33480</v>
      </c>
      <c r="G41" s="1921">
        <f>SUM(G38:G40)</f>
        <v>0</v>
      </c>
      <c r="H41" s="1921">
        <f t="shared" si="7"/>
        <v>35512</v>
      </c>
      <c r="I41" s="1921">
        <f>SUM(I38:I40)</f>
        <v>0</v>
      </c>
      <c r="J41" s="1921">
        <f>SUM(J38:J40)</f>
        <v>0</v>
      </c>
      <c r="K41" s="1921">
        <f t="shared" si="7"/>
        <v>68992</v>
      </c>
      <c r="L41" s="1921">
        <f t="shared" si="7"/>
        <v>0</v>
      </c>
      <c r="M41" s="1911"/>
    </row>
    <row r="42" spans="1:13" s="1884" customFormat="1">
      <c r="A42" s="1894"/>
      <c r="B42" s="1895"/>
      <c r="C42" s="1895"/>
      <c r="D42" s="1922"/>
      <c r="E42" s="1922"/>
      <c r="F42" s="1923"/>
      <c r="G42" s="1923"/>
      <c r="H42" s="1922"/>
      <c r="I42" s="1923"/>
      <c r="J42" s="1924"/>
      <c r="K42" s="1922"/>
      <c r="L42" s="1922"/>
      <c r="M42" s="1907"/>
    </row>
    <row r="43" spans="1:13" s="1884" customFormat="1" ht="13.5" thickBot="1">
      <c r="A43" s="1902" t="s">
        <v>2120</v>
      </c>
      <c r="B43" s="1890"/>
      <c r="C43" s="1882"/>
      <c r="D43" s="1881">
        <f>D19+D33+D41</f>
        <v>891722</v>
      </c>
      <c r="E43" s="1881">
        <f>E19+E33+E41</f>
        <v>1055480</v>
      </c>
      <c r="F43" s="1881">
        <f>F19+F33+F41</f>
        <v>857358</v>
      </c>
      <c r="G43" s="1881">
        <f>+G41+G33+G19</f>
        <v>0</v>
      </c>
      <c r="H43" s="1881">
        <f>H19+H33+H41</f>
        <v>1212072</v>
      </c>
      <c r="I43" s="1881">
        <f>+I41+I33+I19</f>
        <v>0</v>
      </c>
      <c r="J43" s="1881">
        <f>+J41+J33+J19</f>
        <v>1275</v>
      </c>
      <c r="K43" s="1881">
        <f>K19+K33+K41</f>
        <v>2069430</v>
      </c>
      <c r="L43" s="1881">
        <f>L19+L33+L41</f>
        <v>0</v>
      </c>
      <c r="M43" s="1890"/>
    </row>
    <row r="44" spans="1:13" ht="13.5" thickTop="1">
      <c r="A44" s="1889"/>
      <c r="B44" s="1889"/>
      <c r="C44" s="1889"/>
      <c r="D44" s="1889"/>
      <c r="E44" s="1889"/>
      <c r="F44" s="1889"/>
      <c r="G44" s="1889"/>
      <c r="H44" s="1889"/>
      <c r="I44" s="1889"/>
      <c r="J44" s="1889"/>
      <c r="K44" s="1889"/>
      <c r="L44" s="1889"/>
      <c r="M44" s="1889"/>
    </row>
    <row r="45" spans="1:13">
      <c r="A45" s="1889" t="s">
        <v>2121</v>
      </c>
      <c r="B45" s="1889"/>
      <c r="C45" s="1889"/>
      <c r="D45" s="1889"/>
      <c r="E45" s="1889"/>
      <c r="F45" s="1889"/>
      <c r="G45" s="1889"/>
      <c r="H45" s="1889"/>
      <c r="I45" s="1889"/>
      <c r="J45" s="1889"/>
      <c r="K45" s="1889"/>
      <c r="L45" s="1889"/>
      <c r="M45" s="1889"/>
    </row>
    <row r="46" spans="1:13">
      <c r="E46" s="1883"/>
      <c r="F46"/>
      <c r="G46" s="1883"/>
      <c r="H46" s="1883"/>
    </row>
  </sheetData>
  <mergeCells count="4">
    <mergeCell ref="A1:L1"/>
    <mergeCell ref="A2:L2"/>
    <mergeCell ref="A3:L3"/>
    <mergeCell ref="A4:L4"/>
  </mergeCells>
  <pageMargins left="0.7" right="0.7" top="0.75" bottom="0.75" header="0.3" footer="0.3"/>
  <pageSetup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G52"/>
  <sheetViews>
    <sheetView showGridLines="0" zoomScaleNormal="100" workbookViewId="0">
      <selection activeCell="I21" sqref="I21:S21"/>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433" t="str">
        <f>'Single Audit Cover'!A7</f>
        <v>Rock Falls Elem SD 13</v>
      </c>
      <c r="B1" s="2433"/>
      <c r="C1" s="2433"/>
      <c r="D1" s="2433"/>
      <c r="E1" s="2433"/>
      <c r="F1" s="2433"/>
    </row>
    <row r="2" spans="1:7" ht="13.5" customHeight="1">
      <c r="A2" s="2434">
        <f>'Single Audit Cover'!E7</f>
        <v>47098013002</v>
      </c>
      <c r="B2" s="2434"/>
      <c r="C2" s="2434"/>
      <c r="D2" s="2434"/>
      <c r="E2" s="2434"/>
      <c r="F2" s="2434"/>
      <c r="G2" s="1275"/>
    </row>
    <row r="3" spans="1:7" ht="15.75" customHeight="1">
      <c r="A3" s="2435" t="s">
        <v>1312</v>
      </c>
      <c r="B3" s="2435"/>
      <c r="C3" s="2435"/>
      <c r="D3" s="2435"/>
      <c r="E3" s="2435"/>
      <c r="F3" s="2435"/>
    </row>
    <row r="4" spans="1:7" ht="13.5" customHeight="1">
      <c r="A4" s="2436" t="str">
        <f>'Single Audit Cover'!A4</f>
        <v>Year Ending June 30, 2018</v>
      </c>
      <c r="B4" s="2436"/>
      <c r="C4" s="2436"/>
      <c r="D4" s="2436"/>
      <c r="E4" s="2436"/>
      <c r="F4" s="2436"/>
    </row>
    <row r="5" spans="1:7" ht="8.25" customHeight="1">
      <c r="C5" s="317"/>
      <c r="D5" s="317"/>
    </row>
    <row r="6" spans="1:7" ht="13.5" customHeight="1">
      <c r="A6" s="1276" t="s">
        <v>1803</v>
      </c>
      <c r="C6" s="317"/>
      <c r="D6" s="317"/>
    </row>
    <row r="7" spans="1:7" ht="60.95" customHeight="1">
      <c r="A7" s="2432" t="s">
        <v>2147</v>
      </c>
      <c r="B7" s="2432"/>
      <c r="C7" s="2432"/>
      <c r="D7" s="2432"/>
      <c r="E7" s="2432"/>
      <c r="F7" s="2432"/>
    </row>
    <row r="8" spans="1:7" ht="12" customHeight="1">
      <c r="A8" s="1276"/>
      <c r="B8" s="1282"/>
      <c r="C8" s="1282"/>
      <c r="D8" s="1282"/>
    </row>
    <row r="9" spans="1:7" ht="15" customHeight="1">
      <c r="A9" s="1277" t="s">
        <v>1804</v>
      </c>
      <c r="B9" s="1280"/>
      <c r="C9" s="1280"/>
      <c r="D9" s="1280"/>
      <c r="E9" s="1278"/>
      <c r="F9" s="1278"/>
      <c r="G9" s="1278"/>
    </row>
    <row r="10" spans="1:7" ht="15" customHeight="1">
      <c r="A10" s="1279" t="s">
        <v>1607</v>
      </c>
      <c r="B10" s="1280"/>
      <c r="C10" s="1281" t="s">
        <v>2057</v>
      </c>
      <c r="D10" s="1280" t="s">
        <v>1608</v>
      </c>
      <c r="E10" s="1281"/>
      <c r="F10" s="1280" t="s">
        <v>101</v>
      </c>
      <c r="G10" s="1278"/>
    </row>
    <row r="11" spans="1:7" ht="12" customHeight="1">
      <c r="A11" s="1279"/>
      <c r="B11" s="1280"/>
      <c r="C11" s="1852"/>
      <c r="D11" s="1280"/>
      <c r="E11" s="1852"/>
      <c r="F11" s="1280"/>
      <c r="G11" s="1278"/>
    </row>
    <row r="12" spans="1:7">
      <c r="A12" s="1276" t="s">
        <v>1641</v>
      </c>
      <c r="C12" s="1260"/>
      <c r="D12" s="1260"/>
    </row>
    <row r="13" spans="1:7" ht="24" customHeight="1">
      <c r="A13" s="2432" t="s">
        <v>2157</v>
      </c>
      <c r="B13" s="2432"/>
      <c r="C13" s="2432"/>
      <c r="D13" s="2432"/>
      <c r="E13" s="2432"/>
      <c r="F13" s="2432"/>
    </row>
    <row r="14" spans="1:7" ht="9.75" customHeight="1">
      <c r="C14" s="1260"/>
      <c r="D14" s="1260"/>
    </row>
    <row r="15" spans="1:7" ht="13.5" customHeight="1">
      <c r="C15" s="1796" t="s">
        <v>1311</v>
      </c>
      <c r="D15" s="2438" t="s">
        <v>1310</v>
      </c>
      <c r="E15" s="2438"/>
      <c r="F15" s="2438"/>
    </row>
    <row r="16" spans="1:7" ht="13.5" customHeight="1">
      <c r="A16" s="1282"/>
      <c r="B16" s="1276" t="s">
        <v>1309</v>
      </c>
      <c r="C16" s="1796" t="s">
        <v>1308</v>
      </c>
      <c r="D16" s="2439" t="s">
        <v>1642</v>
      </c>
      <c r="E16" s="2439"/>
      <c r="F16" s="2439"/>
    </row>
    <row r="17" spans="1:6" ht="20.45" customHeight="1">
      <c r="A17" s="1283"/>
      <c r="B17" s="1284" t="s">
        <v>2058</v>
      </c>
      <c r="C17" s="1285"/>
      <c r="D17" s="2437"/>
      <c r="E17" s="2437"/>
      <c r="F17" s="2437"/>
    </row>
    <row r="18" spans="1:6" ht="20.65" customHeight="1">
      <c r="A18" s="1283"/>
      <c r="B18" s="1284"/>
      <c r="C18" s="1285"/>
      <c r="D18" s="2437"/>
      <c r="E18" s="2437"/>
      <c r="F18" s="2437"/>
    </row>
    <row r="19" spans="1:6" ht="20.65" customHeight="1">
      <c r="A19" s="1283"/>
      <c r="B19" s="1284"/>
      <c r="C19" s="1285"/>
      <c r="D19" s="2437"/>
      <c r="E19" s="2437"/>
      <c r="F19" s="2437"/>
    </row>
    <row r="20" spans="1:6" ht="20.65" customHeight="1">
      <c r="A20" s="1283"/>
      <c r="B20" s="1284"/>
      <c r="C20" s="1285"/>
      <c r="D20" s="2437"/>
      <c r="E20" s="2437"/>
      <c r="F20" s="2437"/>
    </row>
    <row r="21" spans="1:6" ht="20.65" customHeight="1">
      <c r="A21" s="1283"/>
      <c r="B21" s="1284"/>
      <c r="C21" s="1285"/>
      <c r="D21" s="2437"/>
      <c r="E21" s="2437"/>
      <c r="F21" s="2437"/>
    </row>
    <row r="22" spans="1:6" ht="20.65" customHeight="1">
      <c r="A22" s="1283"/>
      <c r="B22" s="1284"/>
      <c r="C22" s="1285"/>
      <c r="D22" s="2437"/>
      <c r="E22" s="2437"/>
      <c r="F22" s="2437"/>
    </row>
    <row r="23" spans="1:6" ht="20.65" customHeight="1">
      <c r="A23" s="1283"/>
      <c r="B23" s="1284"/>
      <c r="C23" s="1285"/>
      <c r="D23" s="2437"/>
      <c r="E23" s="2437"/>
      <c r="F23" s="2437"/>
    </row>
    <row r="24" spans="1:6" ht="20.65" customHeight="1">
      <c r="A24" s="1283"/>
      <c r="B24" s="1284"/>
      <c r="C24" s="1285"/>
      <c r="D24" s="2437"/>
      <c r="E24" s="2437"/>
      <c r="F24" s="2437"/>
    </row>
    <row r="25" spans="1:6" ht="20.65" customHeight="1">
      <c r="A25" s="1283"/>
      <c r="B25" s="1284"/>
      <c r="C25" s="1285"/>
      <c r="D25" s="2437"/>
      <c r="E25" s="2437"/>
      <c r="F25" s="2437"/>
    </row>
    <row r="26" spans="1:6" ht="20.65" customHeight="1">
      <c r="A26" s="1283"/>
      <c r="B26" s="1284"/>
      <c r="C26" s="1285"/>
      <c r="D26" s="2437"/>
      <c r="E26" s="2437"/>
      <c r="F26" s="2437"/>
    </row>
    <row r="27" spans="1:6" ht="20.65" customHeight="1">
      <c r="A27" s="1283"/>
      <c r="B27" s="1284"/>
      <c r="C27" s="1285"/>
      <c r="D27" s="2437"/>
      <c r="E27" s="2437"/>
      <c r="F27" s="2437"/>
    </row>
    <row r="28" spans="1:6" ht="20.65" customHeight="1">
      <c r="A28" s="1283"/>
      <c r="B28" s="1284"/>
      <c r="C28" s="1285"/>
      <c r="D28" s="2437"/>
      <c r="E28" s="2437"/>
      <c r="F28" s="2437"/>
    </row>
    <row r="29" spans="1:6" ht="20.65" customHeight="1">
      <c r="A29" s="1283"/>
      <c r="B29" s="1284"/>
      <c r="C29" s="1285"/>
      <c r="D29" s="2437"/>
      <c r="E29" s="2437"/>
      <c r="F29" s="2437"/>
    </row>
    <row r="30" spans="1:6" ht="12" customHeight="1">
      <c r="A30" s="328"/>
      <c r="B30" s="328"/>
      <c r="C30" s="1411"/>
      <c r="D30" s="1853"/>
      <c r="E30" s="1286"/>
    </row>
    <row r="31" spans="1:6" ht="12" customHeight="1">
      <c r="A31" s="1287" t="s">
        <v>1609</v>
      </c>
      <c r="B31" s="328"/>
      <c r="C31" s="1411"/>
      <c r="D31" s="1853"/>
      <c r="E31" s="1286"/>
    </row>
    <row r="32" spans="1:6" ht="30" customHeight="1">
      <c r="A32" s="2441" t="s">
        <v>2148</v>
      </c>
      <c r="B32" s="2441"/>
      <c r="C32" s="2441"/>
      <c r="D32" s="2441"/>
      <c r="E32" s="2441"/>
      <c r="F32" s="2441"/>
    </row>
    <row r="33" spans="1:6" ht="13.5" customHeight="1">
      <c r="A33" s="328" t="s">
        <v>1488</v>
      </c>
      <c r="B33" s="328"/>
      <c r="C33" s="1288">
        <v>40174</v>
      </c>
      <c r="D33" s="1853"/>
      <c r="E33" s="1286"/>
    </row>
    <row r="34" spans="1:6" ht="13.5" customHeight="1">
      <c r="A34" s="328" t="s">
        <v>1910</v>
      </c>
      <c r="B34" s="328"/>
      <c r="C34" s="1289">
        <v>3051</v>
      </c>
      <c r="D34" s="1853" t="s">
        <v>1643</v>
      </c>
      <c r="E34" s="2442">
        <f>+C33+C34</f>
        <v>43225</v>
      </c>
      <c r="F34" s="2443"/>
    </row>
    <row r="35" spans="1:6" ht="12" customHeight="1">
      <c r="A35" s="328"/>
      <c r="B35" s="328"/>
      <c r="C35" s="1854"/>
      <c r="D35" s="1853"/>
      <c r="E35" s="1290"/>
      <c r="F35" s="1291"/>
    </row>
    <row r="36" spans="1:6" ht="13.5" customHeight="1">
      <c r="A36" s="1287" t="s">
        <v>1610</v>
      </c>
      <c r="B36" s="328"/>
      <c r="C36" s="1411"/>
      <c r="D36" s="1853"/>
      <c r="E36" s="1286"/>
    </row>
    <row r="37" spans="1:6" ht="14.25" customHeight="1">
      <c r="A37" s="328" t="s">
        <v>1542</v>
      </c>
      <c r="B37" s="328"/>
      <c r="C37" s="1855"/>
      <c r="D37" s="1853"/>
      <c r="E37" s="1286"/>
    </row>
    <row r="38" spans="1:6" ht="14.25" customHeight="1">
      <c r="A38" s="328"/>
      <c r="B38" s="328" t="s">
        <v>1489</v>
      </c>
      <c r="C38" s="1292" t="s">
        <v>2057</v>
      </c>
      <c r="D38" s="1853"/>
      <c r="E38" s="1286"/>
    </row>
    <row r="39" spans="1:6" ht="14.25" customHeight="1">
      <c r="A39" s="328"/>
      <c r="B39" s="328" t="s">
        <v>1490</v>
      </c>
      <c r="C39" s="1292" t="s">
        <v>2057</v>
      </c>
      <c r="D39" s="1853"/>
      <c r="E39" s="1286"/>
    </row>
    <row r="40" spans="1:6" ht="14.25" customHeight="1">
      <c r="A40" s="328"/>
      <c r="B40" s="328" t="s">
        <v>1491</v>
      </c>
      <c r="C40" s="1292" t="s">
        <v>2057</v>
      </c>
      <c r="D40" s="1853"/>
      <c r="E40" s="1286"/>
    </row>
    <row r="41" spans="1:6" ht="14.25" customHeight="1">
      <c r="A41" s="328"/>
      <c r="B41" s="328" t="s">
        <v>1492</v>
      </c>
      <c r="C41" s="1292" t="s">
        <v>2057</v>
      </c>
      <c r="D41" s="1853"/>
      <c r="E41" s="1286"/>
    </row>
    <row r="42" spans="1:6" ht="14.25" customHeight="1">
      <c r="A42" s="328" t="s">
        <v>1493</v>
      </c>
      <c r="B42" s="328"/>
      <c r="C42" s="1851" t="s">
        <v>2057</v>
      </c>
      <c r="D42" s="1853"/>
      <c r="E42" s="1286"/>
    </row>
    <row r="43" spans="1:6" ht="14.25" customHeight="1">
      <c r="A43" s="328" t="s">
        <v>1494</v>
      </c>
      <c r="B43" s="328"/>
      <c r="C43" s="1293" t="s">
        <v>2057</v>
      </c>
      <c r="D43" s="1853"/>
      <c r="E43" s="1286"/>
    </row>
    <row r="44" spans="1:6" ht="14.25" customHeight="1">
      <c r="A44" s="328"/>
      <c r="B44" s="328"/>
      <c r="C44" s="1855" t="s">
        <v>1495</v>
      </c>
      <c r="D44" s="1853"/>
      <c r="E44" s="1286"/>
    </row>
    <row r="45" spans="1:6" ht="13.5" customHeight="1">
      <c r="B45" s="322"/>
      <c r="C45" s="1294"/>
      <c r="D45" s="1294"/>
    </row>
    <row r="46" spans="1:6">
      <c r="A46" s="1295" t="s">
        <v>1805</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444" t="s">
        <v>1644</v>
      </c>
      <c r="C49" s="2444"/>
      <c r="D49" s="2444"/>
      <c r="E49" s="1332"/>
    </row>
    <row r="50" spans="1:5" s="1300" customFormat="1" ht="3.75" customHeight="1">
      <c r="A50" s="1299"/>
      <c r="B50" s="1795"/>
      <c r="C50" s="1795"/>
      <c r="D50" s="1795"/>
      <c r="E50" s="1332"/>
    </row>
    <row r="51" spans="1:5" s="1300" customFormat="1" ht="20.25" customHeight="1">
      <c r="A51" s="1301">
        <v>6</v>
      </c>
      <c r="B51" s="2440" t="s">
        <v>1611</v>
      </c>
      <c r="C51" s="2440"/>
      <c r="D51" s="2440"/>
    </row>
    <row r="52" spans="1:5" ht="14.25" customHeight="1">
      <c r="A52" s="1301"/>
      <c r="B52" s="2440"/>
      <c r="C52" s="2440"/>
      <c r="D52" s="244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32"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J62"/>
  <sheetViews>
    <sheetView showGridLines="0" topLeftCell="A31" zoomScale="110" zoomScaleNormal="110" workbookViewId="0">
      <selection activeCell="D49" sqref="D49"/>
    </sheetView>
  </sheetViews>
  <sheetFormatPr defaultColWidth="9.140625" defaultRowHeight="12.75"/>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95" customHeight="1">
      <c r="B1" s="2449" t="str">
        <f>'Single Audit Cover'!A7</f>
        <v>Rock Falls Elem SD 13</v>
      </c>
      <c r="C1" s="2450"/>
      <c r="D1" s="2450"/>
      <c r="E1" s="2450"/>
      <c r="F1" s="2450"/>
      <c r="G1" s="2450"/>
      <c r="H1" s="2450"/>
      <c r="I1" s="2450"/>
      <c r="J1" s="1355"/>
    </row>
    <row r="2" spans="2:10" s="317" customFormat="1" ht="12.95" customHeight="1">
      <c r="B2" s="2451">
        <f>'Single Audit Cover'!E7</f>
        <v>47098013002</v>
      </c>
      <c r="C2" s="2452"/>
      <c r="D2" s="2452"/>
      <c r="E2" s="2452"/>
      <c r="F2" s="2452"/>
      <c r="G2" s="2452"/>
      <c r="H2" s="2452"/>
      <c r="I2" s="2452"/>
      <c r="J2" s="1355"/>
    </row>
    <row r="3" spans="2:10" s="317" customFormat="1" ht="12.95" customHeight="1">
      <c r="B3" s="2453" t="s">
        <v>1326</v>
      </c>
      <c r="C3" s="2454"/>
      <c r="D3" s="2454"/>
      <c r="E3" s="2454"/>
      <c r="F3" s="2454"/>
      <c r="G3" s="2454"/>
      <c r="H3" s="2454"/>
      <c r="I3" s="2454"/>
      <c r="J3" s="1356"/>
    </row>
    <row r="4" spans="2:10" s="317" customFormat="1" ht="12.95" customHeight="1">
      <c r="B4" s="2453" t="str">
        <f>'Single Audit Cover'!A4</f>
        <v>Year Ending June 30, 2018</v>
      </c>
      <c r="C4" s="2454"/>
      <c r="D4" s="2454"/>
      <c r="E4" s="2454"/>
      <c r="F4" s="2454"/>
      <c r="G4" s="2454"/>
      <c r="H4" s="2454"/>
      <c r="I4" s="2454"/>
    </row>
    <row r="5" spans="2:10" s="317" customFormat="1" ht="6.2" customHeight="1">
      <c r="B5" s="1357" t="s">
        <v>1231</v>
      </c>
      <c r="C5" s="1294"/>
      <c r="D5" s="1294"/>
      <c r="E5" s="1316"/>
      <c r="F5" s="322"/>
      <c r="G5" s="322"/>
      <c r="H5" s="322"/>
      <c r="I5" s="322"/>
    </row>
    <row r="6" spans="2:10" s="317" customFormat="1" ht="6.2" customHeight="1">
      <c r="B6" s="1358"/>
      <c r="C6" s="1312"/>
      <c r="D6" s="1312"/>
      <c r="E6" s="1313"/>
      <c r="F6" s="1312"/>
      <c r="G6" s="1312"/>
      <c r="H6" s="1312"/>
      <c r="I6" s="1312"/>
    </row>
    <row r="7" spans="2:10" s="317" customFormat="1" ht="13.5" customHeight="1">
      <c r="B7" s="2453" t="s">
        <v>1325</v>
      </c>
      <c r="C7" s="2454"/>
      <c r="D7" s="2454"/>
      <c r="E7" s="2454"/>
      <c r="F7" s="2454"/>
      <c r="G7" s="2454"/>
      <c r="H7" s="2454"/>
      <c r="I7" s="2454"/>
    </row>
    <row r="8" spans="2:10" s="317" customFormat="1" ht="6.2" customHeight="1">
      <c r="B8" s="1359" t="s">
        <v>1231</v>
      </c>
      <c r="C8" s="1360"/>
      <c r="D8" s="1360"/>
      <c r="E8" s="1361"/>
      <c r="F8" s="1360"/>
      <c r="G8" s="1360"/>
      <c r="H8" s="1360"/>
      <c r="I8" s="1360"/>
    </row>
    <row r="9" spans="2:10" s="317" customFormat="1" ht="9.1999999999999993" customHeight="1">
      <c r="B9" s="1362"/>
      <c r="C9" s="322"/>
      <c r="D9" s="322"/>
      <c r="E9" s="1316"/>
      <c r="F9" s="322"/>
      <c r="G9" s="322"/>
      <c r="H9" s="322"/>
      <c r="I9" s="322"/>
    </row>
    <row r="10" spans="2:10" s="317" customFormat="1" ht="12.95" customHeight="1">
      <c r="B10" s="1363" t="s">
        <v>1324</v>
      </c>
      <c r="C10" s="1364"/>
      <c r="D10" s="1364"/>
      <c r="E10" s="1258"/>
    </row>
    <row r="11" spans="2:10" s="317" customFormat="1" ht="13.5" customHeight="1">
      <c r="B11" s="1302" t="s">
        <v>1323</v>
      </c>
      <c r="C11" s="2455" t="s">
        <v>2059</v>
      </c>
      <c r="D11" s="2455"/>
      <c r="E11" s="1365"/>
      <c r="F11" s="1365"/>
      <c r="G11" s="1365"/>
    </row>
    <row r="12" spans="2:10" s="317" customFormat="1" ht="11.65" customHeight="1">
      <c r="B12" s="1303"/>
      <c r="C12" s="1366" t="s">
        <v>1496</v>
      </c>
      <c r="D12" s="1367"/>
      <c r="E12" s="1258"/>
    </row>
    <row r="13" spans="2:10" s="317" customFormat="1" ht="12.95" customHeight="1">
      <c r="B13" s="1368"/>
      <c r="C13" s="1320"/>
      <c r="D13" s="1320"/>
      <c r="E13" s="1258"/>
    </row>
    <row r="14" spans="2:10" s="317" customFormat="1" ht="12.95" customHeight="1">
      <c r="B14" s="1305" t="s">
        <v>1322</v>
      </c>
      <c r="C14" s="1282"/>
      <c r="E14" s="1258"/>
    </row>
    <row r="15" spans="2:10" s="317" customFormat="1" ht="13.5" customHeight="1">
      <c r="B15" s="1369" t="s">
        <v>1319</v>
      </c>
      <c r="C15" s="1370"/>
      <c r="D15" s="1331"/>
      <c r="E15" s="1371"/>
      <c r="F15" s="1300" t="s">
        <v>940</v>
      </c>
      <c r="G15" s="1371" t="s">
        <v>2036</v>
      </c>
      <c r="H15" s="1300" t="s">
        <v>1317</v>
      </c>
      <c r="I15" s="1300"/>
    </row>
    <row r="16" spans="2:10" s="317" customFormat="1" ht="8.4499999999999993" customHeight="1">
      <c r="B16" s="1305"/>
      <c r="C16" s="1282"/>
      <c r="E16" s="1316"/>
      <c r="F16" s="1300"/>
      <c r="G16" s="322"/>
      <c r="H16" s="1300"/>
      <c r="I16" s="1300"/>
    </row>
    <row r="17" spans="2:9" s="317" customFormat="1" ht="13.5" customHeight="1">
      <c r="B17" s="1369" t="s">
        <v>1318</v>
      </c>
      <c r="C17" s="1370"/>
      <c r="D17" s="1331"/>
      <c r="E17" s="1372"/>
      <c r="F17" s="1257"/>
      <c r="G17" s="1372"/>
      <c r="H17" s="1300"/>
      <c r="I17" s="1300"/>
    </row>
    <row r="18" spans="2:9" s="317" customFormat="1" ht="12.95" customHeight="1">
      <c r="B18" s="1369" t="s">
        <v>1497</v>
      </c>
      <c r="C18" s="1370"/>
      <c r="D18" s="1331"/>
      <c r="E18" s="1371" t="s">
        <v>2036</v>
      </c>
      <c r="F18" s="1300" t="s">
        <v>940</v>
      </c>
      <c r="G18" s="1371"/>
      <c r="H18" s="1300" t="s">
        <v>1317</v>
      </c>
      <c r="I18" s="1300"/>
    </row>
    <row r="19" spans="2:9" s="317" customFormat="1" ht="8.4499999999999993" customHeight="1">
      <c r="B19" s="1305"/>
      <c r="C19" s="1282"/>
      <c r="E19" s="1316"/>
      <c r="F19" s="1300"/>
      <c r="G19" s="322"/>
      <c r="H19" s="1300"/>
      <c r="I19" s="1300"/>
    </row>
    <row r="20" spans="2:9" s="317" customFormat="1" ht="13.5" customHeight="1">
      <c r="B20" s="1369" t="s">
        <v>1645</v>
      </c>
      <c r="C20" s="1370"/>
      <c r="D20" s="1331"/>
      <c r="E20" s="1371"/>
      <c r="F20" s="1300" t="s">
        <v>940</v>
      </c>
      <c r="G20" s="1371" t="s">
        <v>2036</v>
      </c>
      <c r="H20" s="1300" t="s">
        <v>101</v>
      </c>
      <c r="I20" s="1300"/>
    </row>
    <row r="21" spans="2:9" s="317" customFormat="1" ht="12.95" customHeight="1">
      <c r="B21" s="1305"/>
      <c r="C21" s="1282"/>
      <c r="E21" s="1316"/>
      <c r="F21" s="1300"/>
      <c r="G21" s="322"/>
      <c r="H21" s="1300"/>
      <c r="I21" s="1300"/>
    </row>
    <row r="22" spans="2:9" s="317" customFormat="1" ht="12.95" customHeight="1">
      <c r="B22" s="1363" t="s">
        <v>1321</v>
      </c>
      <c r="C22" s="1373"/>
      <c r="D22" s="1364"/>
      <c r="E22" s="1316"/>
      <c r="F22" s="1300"/>
      <c r="G22" s="322"/>
      <c r="H22" s="1300"/>
      <c r="I22" s="1300"/>
    </row>
    <row r="23" spans="2:9" s="317" customFormat="1" ht="12.95" customHeight="1">
      <c r="B23" s="1305" t="s">
        <v>1320</v>
      </c>
      <c r="C23" s="1282"/>
      <c r="E23" s="1316"/>
      <c r="F23" s="1300"/>
      <c r="G23" s="322"/>
      <c r="H23" s="1300"/>
      <c r="I23" s="1300"/>
    </row>
    <row r="24" spans="2:9" s="317" customFormat="1" ht="13.5" customHeight="1">
      <c r="B24" s="1369" t="s">
        <v>1319</v>
      </c>
      <c r="C24" s="1370"/>
      <c r="D24" s="1331"/>
      <c r="E24" s="1371"/>
      <c r="F24" s="1300" t="s">
        <v>940</v>
      </c>
      <c r="G24" s="1371" t="s">
        <v>2036</v>
      </c>
      <c r="H24" s="1300" t="s">
        <v>1317</v>
      </c>
      <c r="I24" s="1300"/>
    </row>
    <row r="25" spans="2:9" s="317" customFormat="1" ht="8.4499999999999993" customHeight="1">
      <c r="B25" s="1305"/>
      <c r="C25" s="1282"/>
      <c r="E25" s="1316"/>
      <c r="F25" s="1300"/>
      <c r="G25" s="322"/>
      <c r="H25" s="1300"/>
      <c r="I25" s="1300"/>
    </row>
    <row r="26" spans="2:9" s="317" customFormat="1" ht="13.5" customHeight="1">
      <c r="B26" s="1369" t="s">
        <v>1318</v>
      </c>
      <c r="C26" s="1370"/>
      <c r="D26" s="1331"/>
      <c r="E26" s="1372"/>
      <c r="F26" s="1257"/>
      <c r="G26" s="1372"/>
      <c r="H26" s="1300"/>
      <c r="I26" s="1300"/>
    </row>
    <row r="27" spans="2:9" s="317" customFormat="1" ht="12.95" customHeight="1">
      <c r="B27" s="1369" t="s">
        <v>1497</v>
      </c>
      <c r="C27" s="1370"/>
      <c r="D27" s="1331"/>
      <c r="E27" s="1371"/>
      <c r="F27" s="1300" t="s">
        <v>940</v>
      </c>
      <c r="G27" s="1371" t="s">
        <v>2036</v>
      </c>
      <c r="H27" s="1300" t="s">
        <v>1317</v>
      </c>
      <c r="I27" s="1300"/>
    </row>
    <row r="28" spans="2:9" s="317" customFormat="1" ht="12.95" customHeight="1">
      <c r="B28" s="1305"/>
      <c r="C28" s="1282"/>
      <c r="E28" s="1258"/>
    </row>
    <row r="29" spans="2:9" s="317" customFormat="1" ht="12.95" customHeight="1">
      <c r="B29" s="1305" t="s">
        <v>1316</v>
      </c>
      <c r="C29" s="1282"/>
      <c r="D29" s="2456" t="s">
        <v>2060</v>
      </c>
      <c r="E29" s="2456"/>
      <c r="F29" s="2456"/>
      <c r="G29" s="2456"/>
      <c r="H29" s="2456"/>
      <c r="I29" s="2456"/>
    </row>
    <row r="30" spans="2:9" s="317" customFormat="1">
      <c r="B30" s="1305"/>
      <c r="C30" s="322"/>
      <c r="D30" s="1366" t="s">
        <v>1812</v>
      </c>
      <c r="E30" s="1367"/>
      <c r="F30" s="1367"/>
      <c r="G30" s="1367"/>
      <c r="H30" s="1367"/>
      <c r="I30" s="1367"/>
    </row>
    <row r="31" spans="2:9" s="317" customFormat="1" ht="9.9499999999999993" customHeight="1">
      <c r="B31" s="1305"/>
      <c r="E31" s="1258"/>
    </row>
    <row r="32" spans="2:9" s="317" customFormat="1">
      <c r="B32" s="1305" t="s">
        <v>1315</v>
      </c>
      <c r="C32" s="1282"/>
      <c r="E32" s="1258"/>
    </row>
    <row r="33" spans="2:9" ht="13.5" customHeight="1">
      <c r="B33" s="1305" t="s">
        <v>1612</v>
      </c>
      <c r="C33" s="1282"/>
      <c r="E33" s="1371"/>
      <c r="F33" s="1300" t="s">
        <v>940</v>
      </c>
      <c r="G33" s="1371" t="s">
        <v>2036</v>
      </c>
      <c r="H33" s="1300" t="s">
        <v>101</v>
      </c>
    </row>
    <row r="35" spans="2:9">
      <c r="B35" s="1374" t="s">
        <v>1813</v>
      </c>
      <c r="C35" s="1375"/>
      <c r="D35" s="1267"/>
    </row>
    <row r="36" spans="2:9" ht="6" customHeight="1">
      <c r="B36" s="1374"/>
      <c r="C36" s="1375"/>
      <c r="D36" s="1267"/>
    </row>
    <row r="37" spans="2:9" ht="17.25" customHeight="1">
      <c r="B37" s="1376" t="s">
        <v>1814</v>
      </c>
      <c r="C37" s="2457" t="s">
        <v>1815</v>
      </c>
      <c r="D37" s="2458"/>
      <c r="E37" s="2458"/>
      <c r="F37" s="2459"/>
      <c r="G37" s="2457" t="s">
        <v>1646</v>
      </c>
      <c r="H37" s="2458"/>
      <c r="I37" s="2459"/>
    </row>
    <row r="38" spans="2:9" ht="16.7" customHeight="1">
      <c r="B38" s="1377" t="s">
        <v>2061</v>
      </c>
      <c r="C38" s="2445" t="s">
        <v>2062</v>
      </c>
      <c r="D38" s="2446"/>
      <c r="E38" s="2446"/>
      <c r="F38" s="2447"/>
      <c r="G38" s="2460">
        <v>524020</v>
      </c>
      <c r="H38" s="2461"/>
      <c r="I38" s="2462"/>
    </row>
    <row r="39" spans="2:9" ht="16.7" customHeight="1">
      <c r="B39" s="1377"/>
      <c r="C39" s="2445"/>
      <c r="D39" s="2446"/>
      <c r="E39" s="2446"/>
      <c r="F39" s="2447"/>
      <c r="G39" s="2448"/>
      <c r="H39" s="2448"/>
      <c r="I39" s="2448"/>
    </row>
    <row r="40" spans="2:9" ht="16.7" customHeight="1">
      <c r="B40" s="1377"/>
      <c r="C40" s="2445"/>
      <c r="D40" s="2446"/>
      <c r="E40" s="2446"/>
      <c r="F40" s="2447"/>
      <c r="G40" s="2448"/>
      <c r="H40" s="2448"/>
      <c r="I40" s="2448"/>
    </row>
    <row r="41" spans="2:9" ht="16.7" customHeight="1">
      <c r="B41" s="1377"/>
      <c r="C41" s="2445"/>
      <c r="D41" s="2446"/>
      <c r="E41" s="2446"/>
      <c r="F41" s="2447"/>
      <c r="G41" s="2448"/>
      <c r="H41" s="2448"/>
      <c r="I41" s="2448"/>
    </row>
    <row r="42" spans="2:9" ht="16.7" customHeight="1">
      <c r="B42" s="1377"/>
      <c r="C42" s="2463" t="s">
        <v>1647</v>
      </c>
      <c r="D42" s="2464"/>
      <c r="E42" s="2464"/>
      <c r="F42" s="2465"/>
      <c r="G42" s="2466">
        <f>SUM(G38:I41)</f>
        <v>524020</v>
      </c>
      <c r="H42" s="2466"/>
      <c r="I42" s="2466"/>
    </row>
    <row r="43" spans="2:9" ht="12.95" customHeight="1"/>
    <row r="44" spans="2:9" ht="12.95" customHeight="1">
      <c r="B44" s="1368" t="s">
        <v>1911</v>
      </c>
      <c r="D44" s="2467">
        <f>'Wipfli SEFA'!H43</f>
        <v>1212072</v>
      </c>
      <c r="E44" s="2468"/>
    </row>
    <row r="45" spans="2:9" ht="5.25" customHeight="1">
      <c r="B45" s="1378"/>
      <c r="D45" s="1379"/>
      <c r="E45" s="1380"/>
    </row>
    <row r="46" spans="2:9" ht="12.95" customHeight="1">
      <c r="B46" s="1300" t="s">
        <v>1648</v>
      </c>
      <c r="C46" s="1300"/>
      <c r="D46" s="1381">
        <f>+G42/D44</f>
        <v>0.43233405276254216</v>
      </c>
      <c r="E46" s="1382"/>
      <c r="F46" s="1383"/>
      <c r="I46" s="1384"/>
    </row>
    <row r="47" spans="2:9" ht="9.9499999999999993" customHeight="1"/>
    <row r="48" spans="2:9">
      <c r="B48" s="1305" t="s">
        <v>1314</v>
      </c>
      <c r="C48" s="1282"/>
      <c r="D48" s="1282"/>
      <c r="E48" s="2469">
        <v>750000</v>
      </c>
      <c r="F48" s="2469"/>
      <c r="G48" s="2469"/>
      <c r="H48" s="322"/>
    </row>
    <row r="50" spans="1:9" ht="13.5" customHeight="1">
      <c r="B50" s="1305" t="s">
        <v>1313</v>
      </c>
      <c r="C50" s="1282"/>
      <c r="E50" s="1371"/>
      <c r="F50" s="1300" t="s">
        <v>940</v>
      </c>
      <c r="G50" s="1371" t="s">
        <v>2036</v>
      </c>
      <c r="H50" s="1300" t="s">
        <v>101</v>
      </c>
    </row>
    <row r="51" spans="1:9">
      <c r="B51" s="1304"/>
      <c r="C51" s="1297"/>
      <c r="D51" s="1385"/>
      <c r="E51" s="1386"/>
      <c r="F51" s="1387"/>
      <c r="G51" s="1387"/>
      <c r="H51" s="1387"/>
      <c r="I51" s="1387"/>
    </row>
    <row r="52" spans="1:9" ht="6" customHeight="1">
      <c r="B52" s="1362"/>
      <c r="C52" s="322"/>
      <c r="D52" s="1388"/>
      <c r="E52" s="1389"/>
      <c r="F52" s="1390"/>
      <c r="G52" s="1390"/>
      <c r="H52" s="1390"/>
      <c r="I52" s="1390"/>
    </row>
    <row r="53" spans="1:9" s="1394" customFormat="1" ht="14.25">
      <c r="A53" s="1391"/>
      <c r="B53" s="1392" t="s">
        <v>1816</v>
      </c>
      <c r="C53" s="1393"/>
      <c r="D53" s="1393"/>
    </row>
    <row r="54" spans="1:9" s="1394" customFormat="1" ht="12.95" customHeight="1">
      <c r="A54" s="1391"/>
      <c r="B54" s="1395" t="s">
        <v>1649</v>
      </c>
      <c r="C54" s="1391"/>
      <c r="D54" s="1391"/>
    </row>
    <row r="55" spans="1:9" s="1394" customFormat="1" ht="12.95" customHeight="1">
      <c r="A55" s="1391"/>
      <c r="B55" s="1395" t="s">
        <v>1650</v>
      </c>
      <c r="C55" s="1391"/>
      <c r="D55" s="1391"/>
    </row>
    <row r="56" spans="1:9" s="1394" customFormat="1" ht="3.95" customHeight="1">
      <c r="A56" s="1391"/>
      <c r="B56" s="1395"/>
      <c r="C56" s="1391"/>
      <c r="D56" s="1391"/>
    </row>
    <row r="57" spans="1:9" s="1394" customFormat="1" ht="13.5" customHeight="1">
      <c r="A57" s="1391"/>
      <c r="B57" s="1396" t="s">
        <v>1817</v>
      </c>
      <c r="C57" s="1397"/>
      <c r="D57" s="1397"/>
    </row>
    <row r="58" spans="1:9" s="1394" customFormat="1" ht="3.95" customHeight="1">
      <c r="A58" s="1391"/>
      <c r="B58" s="1396"/>
      <c r="C58" s="1397"/>
      <c r="D58" s="1397"/>
    </row>
    <row r="59" spans="1:9" s="1394" customFormat="1" ht="13.5" customHeight="1">
      <c r="A59" s="1391"/>
      <c r="B59" s="1396" t="s">
        <v>1818</v>
      </c>
      <c r="C59" s="1397"/>
      <c r="D59" s="1397"/>
    </row>
    <row r="60" spans="1:9" s="1394" customFormat="1" ht="3.95" customHeight="1">
      <c r="A60" s="1391"/>
      <c r="B60" s="1396"/>
      <c r="C60" s="1397"/>
      <c r="D60" s="1397"/>
    </row>
    <row r="61" spans="1:9" s="1394" customFormat="1" ht="12.95" customHeight="1">
      <c r="A61" s="1391"/>
      <c r="B61" s="1396" t="s">
        <v>1819</v>
      </c>
      <c r="C61" s="1397"/>
      <c r="D61" s="1397"/>
    </row>
    <row r="62" spans="1:9" s="1394" customFormat="1" ht="13.5" customHeight="1">
      <c r="A62" s="1391"/>
      <c r="B62" s="1395" t="s">
        <v>1651</v>
      </c>
      <c r="C62" s="1391"/>
      <c r="D62" s="1391"/>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M41"/>
  <sheetViews>
    <sheetView showGridLines="0" zoomScale="110" zoomScaleNormal="110" workbookViewId="0">
      <selection activeCell="I21" sqref="I21:S21"/>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49" t="str">
        <f>'Single Audit Cover'!A7</f>
        <v>Rock Falls Elem SD 13</v>
      </c>
      <c r="C1" s="2449"/>
      <c r="D1" s="2449"/>
      <c r="E1" s="2449"/>
      <c r="F1" s="2449"/>
      <c r="G1" s="2449"/>
      <c r="H1" s="2449"/>
      <c r="I1" s="2449"/>
      <c r="J1" s="2449"/>
      <c r="K1" s="2449"/>
      <c r="L1" s="1307"/>
      <c r="M1" s="1307"/>
    </row>
    <row r="2" spans="1:13" ht="12" customHeight="1">
      <c r="B2" s="2451">
        <f>'Single Audit Cover'!E7</f>
        <v>47098013002</v>
      </c>
      <c r="C2" s="2451"/>
      <c r="D2" s="2451"/>
      <c r="E2" s="2451"/>
      <c r="F2" s="2451"/>
      <c r="G2" s="2451"/>
      <c r="H2" s="2451"/>
      <c r="I2" s="2451"/>
      <c r="J2" s="2451"/>
      <c r="K2" s="2451"/>
      <c r="L2" s="1308"/>
      <c r="M2" s="1309"/>
    </row>
    <row r="3" spans="1:13" ht="10.35" customHeight="1">
      <c r="B3" s="2473" t="s">
        <v>1326</v>
      </c>
      <c r="C3" s="2473"/>
      <c r="D3" s="2473"/>
      <c r="E3" s="2473"/>
      <c r="F3" s="2473"/>
      <c r="G3" s="2473"/>
      <c r="H3" s="2473"/>
      <c r="I3" s="2473"/>
      <c r="J3" s="2473"/>
      <c r="K3" s="2473"/>
      <c r="L3" s="1310"/>
      <c r="M3" s="1310"/>
    </row>
    <row r="4" spans="1:13" ht="14.25" customHeight="1">
      <c r="B4" s="2474" t="str">
        <f>'Single Audit Cover'!A4</f>
        <v>Year Ending June 30, 2018</v>
      </c>
      <c r="C4" s="2474"/>
      <c r="D4" s="2474"/>
      <c r="E4" s="2474"/>
      <c r="F4" s="2474"/>
      <c r="G4" s="2474"/>
      <c r="H4" s="2474"/>
      <c r="I4" s="2474"/>
      <c r="J4" s="2474"/>
      <c r="K4" s="2474"/>
      <c r="L4" s="313"/>
      <c r="M4" s="313"/>
    </row>
    <row r="5" spans="1:13" ht="7.5" customHeight="1">
      <c r="B5" s="1260" t="s">
        <v>1231</v>
      </c>
      <c r="C5" s="1260"/>
    </row>
    <row r="6" spans="1:13" ht="7.5" customHeight="1">
      <c r="B6" s="1311"/>
      <c r="C6" s="1311"/>
      <c r="D6" s="1312"/>
      <c r="E6" s="1312"/>
      <c r="F6" s="1312"/>
      <c r="G6" s="1313"/>
      <c r="H6" s="1312"/>
      <c r="I6" s="1313"/>
      <c r="J6" s="1312"/>
      <c r="K6" s="1312"/>
      <c r="L6" s="1314"/>
    </row>
    <row r="7" spans="1:13" ht="12.95" customHeight="1">
      <c r="A7" s="1282"/>
      <c r="B7" s="2474" t="s">
        <v>1342</v>
      </c>
      <c r="C7" s="2474"/>
      <c r="D7" s="2475"/>
      <c r="E7" s="2475"/>
      <c r="F7" s="2475"/>
      <c r="G7" s="2475"/>
      <c r="H7" s="2475"/>
      <c r="I7" s="2475"/>
      <c r="J7" s="2475"/>
      <c r="K7" s="2475"/>
      <c r="L7" s="1315"/>
    </row>
    <row r="8" spans="1:13" ht="7.5" customHeight="1">
      <c r="B8" s="322"/>
      <c r="C8" s="322"/>
      <c r="D8" s="322"/>
      <c r="E8" s="322"/>
      <c r="F8" s="322"/>
      <c r="G8" s="1316"/>
      <c r="H8" s="322"/>
      <c r="I8" s="1316"/>
      <c r="J8" s="322"/>
      <c r="K8" s="322"/>
      <c r="L8" s="1314"/>
    </row>
    <row r="9" spans="1:13" ht="9.6" customHeight="1">
      <c r="B9" s="1312"/>
      <c r="C9" s="1312"/>
      <c r="D9" s="1312"/>
      <c r="E9" s="1312"/>
      <c r="F9" s="1312"/>
      <c r="G9" s="1313"/>
      <c r="H9" s="1312"/>
      <c r="I9" s="1313"/>
      <c r="J9" s="1312"/>
      <c r="K9" s="1312"/>
      <c r="L9" s="1314"/>
    </row>
    <row r="10" spans="1:13" ht="16.7" customHeight="1">
      <c r="B10" s="1317" t="s">
        <v>1806</v>
      </c>
      <c r="C10" s="1318" t="s">
        <v>1912</v>
      </c>
      <c r="D10" s="1319">
        <v>1</v>
      </c>
      <c r="E10" s="322"/>
      <c r="F10" s="1320" t="s">
        <v>1341</v>
      </c>
      <c r="G10" s="1321"/>
      <c r="H10" s="1322" t="s">
        <v>1340</v>
      </c>
      <c r="I10" s="1321" t="s">
        <v>2036</v>
      </c>
      <c r="J10" s="1323" t="s">
        <v>1339</v>
      </c>
      <c r="K10" s="322"/>
      <c r="L10" s="1314"/>
    </row>
    <row r="11" spans="1:13" ht="13.5" customHeight="1">
      <c r="B11" s="322"/>
      <c r="C11" s="322"/>
      <c r="D11" s="322"/>
      <c r="E11" s="322"/>
      <c r="F11" s="322"/>
      <c r="G11" s="1316"/>
      <c r="H11" s="322"/>
      <c r="I11" s="1324" t="s">
        <v>1338</v>
      </c>
      <c r="J11" s="322"/>
      <c r="K11" s="1325">
        <v>2007</v>
      </c>
      <c r="L11" s="1314"/>
    </row>
    <row r="12" spans="1:13" ht="13.5" customHeight="1">
      <c r="B12" s="1294"/>
      <c r="C12" s="1294"/>
      <c r="D12" s="322"/>
      <c r="E12" s="322"/>
      <c r="F12" s="322"/>
      <c r="G12" s="1316"/>
      <c r="H12" s="322"/>
      <c r="I12" s="1316"/>
      <c r="J12" s="322"/>
      <c r="L12" s="1314"/>
    </row>
    <row r="13" spans="1:13" s="1282" customFormat="1" ht="13.5" customHeight="1">
      <c r="B13" s="1326" t="s">
        <v>1337</v>
      </c>
      <c r="C13" s="1326"/>
      <c r="D13" s="1327"/>
      <c r="E13" s="1327"/>
      <c r="F13" s="1327"/>
      <c r="G13" s="1328"/>
      <c r="H13" s="1327"/>
      <c r="I13" s="1328"/>
      <c r="J13" s="1327"/>
      <c r="K13" s="1327"/>
      <c r="L13" s="1329"/>
    </row>
    <row r="14" spans="1:13" ht="45.75" customHeight="1">
      <c r="B14" s="2470" t="s">
        <v>2063</v>
      </c>
      <c r="C14" s="2470"/>
      <c r="D14" s="2470"/>
      <c r="E14" s="2470"/>
      <c r="F14" s="2470"/>
      <c r="G14" s="2470"/>
      <c r="H14" s="2470"/>
      <c r="I14" s="2470"/>
      <c r="J14" s="2470"/>
      <c r="K14" s="2470"/>
      <c r="L14" s="1330"/>
    </row>
    <row r="15" spans="1:13" ht="4.5" customHeight="1">
      <c r="B15" s="1331"/>
      <c r="C15" s="1331"/>
      <c r="D15" s="1332"/>
      <c r="E15" s="1332"/>
      <c r="F15" s="1332"/>
      <c r="H15" s="1332"/>
      <c r="J15" s="1332"/>
      <c r="K15" s="1332"/>
      <c r="L15" s="1330"/>
    </row>
    <row r="16" spans="1:13" s="1282" customFormat="1" ht="13.5" customHeight="1">
      <c r="B16" s="1326" t="s">
        <v>1336</v>
      </c>
      <c r="C16" s="1326"/>
      <c r="D16" s="1327"/>
      <c r="E16" s="1327"/>
      <c r="F16" s="1327"/>
      <c r="G16" s="1328"/>
      <c r="H16" s="1327"/>
      <c r="I16" s="1328"/>
      <c r="J16" s="1327"/>
      <c r="K16" s="1327"/>
      <c r="L16" s="1329"/>
    </row>
    <row r="17" spans="2:12" ht="45.75" customHeight="1">
      <c r="B17" s="2470" t="s">
        <v>2064</v>
      </c>
      <c r="C17" s="2470"/>
      <c r="D17" s="2470"/>
      <c r="E17" s="2470"/>
      <c r="F17" s="2470"/>
      <c r="G17" s="2470"/>
      <c r="H17" s="2470"/>
      <c r="I17" s="2470"/>
      <c r="J17" s="2470"/>
      <c r="K17" s="2470"/>
      <c r="L17" s="1314"/>
    </row>
    <row r="18" spans="2:12" ht="4.5" customHeight="1">
      <c r="B18" s="1331"/>
      <c r="C18" s="1331"/>
      <c r="L18" s="1314"/>
    </row>
    <row r="19" spans="2:12" s="1282" customFormat="1" ht="13.5" customHeight="1">
      <c r="B19" s="1326" t="s">
        <v>1807</v>
      </c>
      <c r="C19" s="1326"/>
      <c r="D19" s="1327"/>
      <c r="E19" s="1327"/>
      <c r="F19" s="1327"/>
      <c r="G19" s="1328"/>
      <c r="H19" s="1327"/>
      <c r="I19" s="1328"/>
      <c r="J19" s="1327"/>
      <c r="K19" s="1327"/>
      <c r="L19" s="1329"/>
    </row>
    <row r="20" spans="2:12" ht="45.75" customHeight="1">
      <c r="B20" s="2476" t="s">
        <v>2065</v>
      </c>
      <c r="C20" s="2476"/>
      <c r="D20" s="2470"/>
      <c r="E20" s="2470"/>
      <c r="F20" s="2470"/>
      <c r="G20" s="2470"/>
      <c r="H20" s="2470"/>
      <c r="I20" s="2470"/>
      <c r="J20" s="2470"/>
      <c r="K20" s="2470"/>
      <c r="L20" s="1314"/>
    </row>
    <row r="21" spans="2:12" ht="4.5" customHeight="1">
      <c r="B21" s="1333"/>
      <c r="C21" s="1333"/>
      <c r="L21" s="1314"/>
    </row>
    <row r="22" spans="2:12" ht="13.5" customHeight="1">
      <c r="B22" s="1326" t="s">
        <v>1335</v>
      </c>
      <c r="C22" s="1326"/>
      <c r="D22" s="1312"/>
      <c r="E22" s="1312"/>
      <c r="F22" s="1312"/>
      <c r="G22" s="1313"/>
      <c r="H22" s="1312"/>
      <c r="I22" s="1313"/>
      <c r="J22" s="1312"/>
      <c r="K22" s="1312"/>
      <c r="L22" s="1314"/>
    </row>
    <row r="23" spans="2:12" ht="45.2" customHeight="1">
      <c r="B23" s="2470" t="s">
        <v>2066</v>
      </c>
      <c r="C23" s="2470"/>
      <c r="D23" s="2470"/>
      <c r="E23" s="2470"/>
      <c r="F23" s="2470"/>
      <c r="G23" s="2470"/>
      <c r="H23" s="2470"/>
      <c r="I23" s="2470"/>
      <c r="J23" s="2470"/>
      <c r="K23" s="2470"/>
      <c r="L23" s="1314"/>
    </row>
    <row r="24" spans="2:12" ht="4.5" customHeight="1">
      <c r="B24" s="1331"/>
      <c r="C24" s="1331"/>
      <c r="L24" s="1314"/>
    </row>
    <row r="25" spans="2:12" ht="13.5" customHeight="1">
      <c r="B25" s="1326" t="s">
        <v>1334</v>
      </c>
      <c r="C25" s="1326"/>
      <c r="D25" s="1312"/>
      <c r="E25" s="1312"/>
      <c r="F25" s="1312"/>
      <c r="G25" s="1313"/>
      <c r="H25" s="1312"/>
      <c r="I25" s="1313"/>
      <c r="J25" s="1312"/>
      <c r="K25" s="1312"/>
      <c r="L25" s="1314"/>
    </row>
    <row r="26" spans="2:12" ht="45.75" customHeight="1">
      <c r="B26" s="2470" t="s">
        <v>2067</v>
      </c>
      <c r="C26" s="2470"/>
      <c r="D26" s="2470"/>
      <c r="E26" s="2470"/>
      <c r="F26" s="2470"/>
      <c r="G26" s="2470"/>
      <c r="H26" s="2470"/>
      <c r="I26" s="2470"/>
      <c r="J26" s="2470"/>
      <c r="K26" s="2470"/>
      <c r="L26" s="1314"/>
    </row>
    <row r="27" spans="2:12" ht="4.5" customHeight="1">
      <c r="B27" s="1331"/>
      <c r="C27" s="1331"/>
      <c r="L27" s="1314"/>
    </row>
    <row r="28" spans="2:12" ht="13.5" customHeight="1">
      <c r="B28" s="1334" t="s">
        <v>1333</v>
      </c>
      <c r="C28" s="1334"/>
      <c r="D28" s="1312"/>
      <c r="E28" s="1312"/>
      <c r="F28" s="1312"/>
      <c r="G28" s="1313"/>
      <c r="H28" s="1312"/>
      <c r="I28" s="1313"/>
      <c r="J28" s="1312"/>
      <c r="K28" s="1312"/>
      <c r="L28" s="1314"/>
    </row>
    <row r="29" spans="2:12" ht="45.75" customHeight="1">
      <c r="B29" s="2471" t="s">
        <v>2068</v>
      </c>
      <c r="C29" s="2471"/>
      <c r="D29" s="2470"/>
      <c r="E29" s="2470"/>
      <c r="F29" s="2470"/>
      <c r="G29" s="2470"/>
      <c r="H29" s="2470"/>
      <c r="I29" s="2470"/>
      <c r="J29" s="2470"/>
      <c r="K29" s="2470"/>
      <c r="L29" s="1314"/>
    </row>
    <row r="30" spans="2:12" ht="4.5" customHeight="1">
      <c r="B30" s="1335"/>
      <c r="C30" s="1335"/>
      <c r="D30" s="322"/>
      <c r="E30" s="322"/>
      <c r="F30" s="322"/>
      <c r="G30" s="1316"/>
      <c r="H30" s="322"/>
      <c r="I30" s="1316"/>
      <c r="J30" s="322"/>
      <c r="K30" s="322"/>
      <c r="L30" s="1314"/>
    </row>
    <row r="31" spans="2:12" s="322" customFormat="1" ht="13.5" customHeight="1">
      <c r="B31" s="1336" t="s">
        <v>1808</v>
      </c>
      <c r="C31" s="1336"/>
      <c r="D31" s="1311"/>
      <c r="E31" s="1312"/>
      <c r="F31" s="1312"/>
      <c r="G31" s="1313"/>
      <c r="H31" s="1312"/>
      <c r="I31" s="1313"/>
      <c r="J31" s="1312"/>
      <c r="K31" s="1312"/>
      <c r="L31" s="1314"/>
    </row>
    <row r="32" spans="2:12" s="322" customFormat="1" ht="44.25" customHeight="1">
      <c r="B32" s="2472" t="s">
        <v>2069</v>
      </c>
      <c r="C32" s="2472"/>
      <c r="D32" s="2470"/>
      <c r="E32" s="2470"/>
      <c r="F32" s="2470"/>
      <c r="G32" s="2470"/>
      <c r="H32" s="2470"/>
      <c r="I32" s="2470"/>
      <c r="J32" s="2470"/>
      <c r="K32" s="2470"/>
      <c r="L32" s="1314"/>
    </row>
    <row r="33" spans="1:13" s="322" customFormat="1" ht="4.5" customHeight="1">
      <c r="B33" s="1335"/>
      <c r="C33" s="1335"/>
      <c r="G33" s="1316"/>
      <c r="I33" s="1316"/>
      <c r="L33" s="1314"/>
    </row>
    <row r="34" spans="1:13" s="322" customFormat="1">
      <c r="A34" s="1297"/>
      <c r="B34" s="1350"/>
      <c r="C34" s="1350"/>
      <c r="D34" s="1350"/>
      <c r="E34" s="1350"/>
      <c r="F34" s="1350"/>
      <c r="G34" s="1351"/>
      <c r="H34" s="1350"/>
      <c r="I34" s="1351"/>
      <c r="J34" s="1350"/>
      <c r="K34" s="1350"/>
      <c r="L34" s="1314"/>
    </row>
    <row r="35" spans="1:13" ht="11.85" customHeight="1">
      <c r="B35" s="1352" t="s">
        <v>1809</v>
      </c>
      <c r="C35" s="1352"/>
      <c r="D35" s="322"/>
      <c r="E35" s="322"/>
      <c r="F35" s="322"/>
      <c r="L35" s="1314"/>
    </row>
    <row r="36" spans="1:13" ht="9.6" customHeight="1">
      <c r="B36" s="1300" t="s">
        <v>1913</v>
      </c>
      <c r="C36" s="1300"/>
      <c r="L36" s="1314"/>
    </row>
    <row r="37" spans="1:13" ht="9.6" customHeight="1">
      <c r="B37" s="1300" t="s">
        <v>1914</v>
      </c>
      <c r="C37" s="1300"/>
    </row>
    <row r="38" spans="1:13" ht="11.85" customHeight="1">
      <c r="B38" s="1353" t="s">
        <v>1810</v>
      </c>
      <c r="C38" s="1353"/>
    </row>
    <row r="39" spans="1:13" ht="9.6" customHeight="1">
      <c r="B39" s="1300" t="s">
        <v>1327</v>
      </c>
      <c r="C39" s="1300"/>
      <c r="M39" s="1354"/>
    </row>
    <row r="40" spans="1:13" ht="12.75" customHeight="1">
      <c r="B40" s="1353" t="s">
        <v>1811</v>
      </c>
      <c r="C40" s="1353"/>
      <c r="M40" s="1354"/>
    </row>
    <row r="41" spans="1:13" ht="9.6" customHeight="1">
      <c r="B41" s="1300"/>
      <c r="C41" s="1300"/>
      <c r="M41" s="1354"/>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L52"/>
  <sheetViews>
    <sheetView showGridLines="0" topLeftCell="A31" zoomScale="110" zoomScaleNormal="110" workbookViewId="0">
      <selection activeCell="I21" sqref="I21:S21"/>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95" customHeight="1">
      <c r="B1" s="2477" t="str">
        <f>'Single Audit Cover'!A7</f>
        <v>Rock Falls Elem SD 13</v>
      </c>
      <c r="C1" s="2477"/>
      <c r="D1" s="2477"/>
      <c r="E1" s="2477"/>
      <c r="F1" s="2477"/>
      <c r="G1" s="2477"/>
      <c r="H1" s="2477"/>
      <c r="I1" s="2477"/>
      <c r="J1" s="2477"/>
      <c r="K1" s="2477"/>
      <c r="L1" s="1398"/>
    </row>
    <row r="2" spans="1:12" ht="12.95" customHeight="1">
      <c r="B2" s="2478">
        <f>'Single Audit Cover'!E7</f>
        <v>47098013002</v>
      </c>
      <c r="C2" s="2478"/>
      <c r="D2" s="2478"/>
      <c r="E2" s="2478"/>
      <c r="F2" s="2478"/>
      <c r="G2" s="2478"/>
      <c r="H2" s="2478"/>
      <c r="I2" s="2478"/>
      <c r="J2" s="2478"/>
      <c r="K2" s="2478"/>
      <c r="L2" s="1399"/>
    </row>
    <row r="3" spans="1:12" ht="12.95" customHeight="1">
      <c r="B3" s="2473" t="s">
        <v>1326</v>
      </c>
      <c r="C3" s="2473"/>
      <c r="D3" s="2473"/>
      <c r="E3" s="2473"/>
      <c r="F3" s="2473"/>
      <c r="G3" s="2473"/>
      <c r="H3" s="2473"/>
      <c r="I3" s="2473"/>
      <c r="J3" s="2473"/>
      <c r="K3" s="2473"/>
      <c r="L3" s="1310"/>
    </row>
    <row r="4" spans="1:12" ht="12.95" customHeight="1">
      <c r="B4" s="2473" t="str">
        <f>'Single Audit Cover'!A4</f>
        <v>Year Ending June 30, 2018</v>
      </c>
      <c r="C4" s="2473"/>
      <c r="D4" s="2473"/>
      <c r="E4" s="2473"/>
      <c r="F4" s="2473"/>
      <c r="G4" s="2473"/>
      <c r="H4" s="2473"/>
      <c r="I4" s="2473"/>
      <c r="J4" s="2473"/>
      <c r="K4" s="2473"/>
      <c r="L4" s="1310"/>
    </row>
    <row r="5" spans="1:12" ht="5.25" customHeight="1">
      <c r="B5" s="1260" t="s">
        <v>1231</v>
      </c>
      <c r="C5" s="1260"/>
      <c r="L5" s="322"/>
    </row>
    <row r="6" spans="1:12" ht="30.95" customHeight="1">
      <c r="A6" s="322"/>
      <c r="B6" s="2479" t="s">
        <v>1354</v>
      </c>
      <c r="C6" s="2479"/>
      <c r="D6" s="2479"/>
      <c r="E6" s="2479"/>
      <c r="F6" s="2479"/>
      <c r="G6" s="2479"/>
      <c r="H6" s="2479"/>
      <c r="I6" s="2479"/>
      <c r="J6" s="2479"/>
      <c r="K6" s="2479"/>
      <c r="L6" s="322"/>
    </row>
    <row r="7" spans="1:12" ht="4.5" customHeight="1">
      <c r="B7" s="1312"/>
      <c r="C7" s="1312"/>
      <c r="D7" s="1312"/>
      <c r="E7" s="1312"/>
      <c r="F7" s="1312"/>
      <c r="G7" s="1313"/>
      <c r="H7" s="1312"/>
      <c r="I7" s="1313"/>
      <c r="J7" s="1312"/>
      <c r="K7" s="1312"/>
      <c r="L7" s="322"/>
    </row>
    <row r="8" spans="1:12" ht="13.5" customHeight="1">
      <c r="B8" s="1320" t="s">
        <v>1820</v>
      </c>
      <c r="C8" s="1400" t="s">
        <v>1912</v>
      </c>
      <c r="D8" s="1401" t="s">
        <v>2057</v>
      </c>
      <c r="E8" s="322"/>
      <c r="F8" s="1317" t="s">
        <v>1341</v>
      </c>
      <c r="G8" s="1402"/>
      <c r="H8" s="1403" t="s">
        <v>1353</v>
      </c>
      <c r="I8" s="1402"/>
      <c r="J8" s="1404" t="s">
        <v>1352</v>
      </c>
      <c r="L8" s="322"/>
    </row>
    <row r="9" spans="1:12" ht="13.5" customHeight="1">
      <c r="D9" s="322"/>
      <c r="E9" s="322"/>
      <c r="F9" s="322"/>
      <c r="G9" s="1316"/>
      <c r="H9" s="322"/>
      <c r="I9" s="1405" t="s">
        <v>1338</v>
      </c>
      <c r="J9" s="322"/>
      <c r="K9" s="1406"/>
      <c r="L9" s="322"/>
    </row>
    <row r="10" spans="1:12" ht="4.5" customHeight="1">
      <c r="B10" s="1407"/>
      <c r="C10" s="1407"/>
      <c r="D10" s="1360"/>
      <c r="E10" s="1360"/>
      <c r="F10" s="1360"/>
      <c r="G10" s="1361"/>
      <c r="H10" s="1360"/>
      <c r="I10" s="1361"/>
      <c r="J10" s="1360"/>
      <c r="K10" s="1360"/>
      <c r="L10" s="322"/>
    </row>
    <row r="11" spans="1:12" ht="5.25" customHeight="1">
      <c r="B11" s="322"/>
      <c r="C11" s="322"/>
      <c r="D11" s="304"/>
      <c r="E11" s="322"/>
      <c r="F11" s="322"/>
      <c r="G11" s="1316"/>
      <c r="H11" s="322"/>
      <c r="I11" s="1316"/>
      <c r="J11" s="322"/>
      <c r="K11" s="1365"/>
      <c r="L11" s="322"/>
    </row>
    <row r="12" spans="1:12" ht="13.5" customHeight="1">
      <c r="B12" s="1317" t="s">
        <v>1351</v>
      </c>
      <c r="C12" s="1317"/>
      <c r="D12" s="304"/>
      <c r="E12" s="322"/>
      <c r="F12" s="2456"/>
      <c r="G12" s="2456"/>
      <c r="H12" s="2456"/>
      <c r="I12" s="2456"/>
      <c r="J12" s="2456"/>
      <c r="K12" s="2456"/>
      <c r="L12" s="322"/>
    </row>
    <row r="13" spans="1:12" ht="9.6" customHeight="1">
      <c r="B13" s="1257"/>
      <c r="C13" s="1257"/>
      <c r="D13" s="304"/>
      <c r="E13" s="322"/>
      <c r="F13" s="322"/>
      <c r="G13" s="1316"/>
      <c r="H13" s="322"/>
      <c r="I13" s="1316"/>
      <c r="J13" s="322"/>
      <c r="K13" s="1365"/>
      <c r="L13" s="322"/>
    </row>
    <row r="14" spans="1:12" ht="13.5" customHeight="1">
      <c r="B14" s="1320" t="s">
        <v>1350</v>
      </c>
      <c r="C14" s="1320"/>
      <c r="D14" s="2481"/>
      <c r="E14" s="2481"/>
      <c r="F14" s="2481"/>
      <c r="H14" s="1408" t="s">
        <v>1349</v>
      </c>
      <c r="I14" s="2482"/>
      <c r="J14" s="2482"/>
      <c r="K14" s="2482"/>
      <c r="L14" s="322"/>
    </row>
    <row r="15" spans="1:12" ht="9.4" customHeight="1">
      <c r="B15" s="1320"/>
      <c r="C15" s="1320"/>
      <c r="D15" s="1306"/>
      <c r="E15" s="1260"/>
      <c r="F15" s="1260"/>
      <c r="G15" s="1286"/>
      <c r="H15" s="1260"/>
      <c r="I15" s="1409"/>
      <c r="J15" s="1294"/>
      <c r="K15" s="1291"/>
      <c r="L15" s="322"/>
    </row>
    <row r="16" spans="1:12" ht="13.5" customHeight="1">
      <c r="B16" s="1320" t="s">
        <v>1348</v>
      </c>
      <c r="C16" s="1320"/>
      <c r="D16" s="2482"/>
      <c r="E16" s="2482"/>
      <c r="F16" s="2482"/>
      <c r="G16" s="2482"/>
      <c r="H16" s="2482"/>
      <c r="I16" s="2482"/>
      <c r="J16" s="2482"/>
      <c r="K16" s="2482"/>
      <c r="L16" s="322"/>
    </row>
    <row r="17" spans="2:12" ht="13.5" customHeight="1">
      <c r="B17" s="1320" t="s">
        <v>1347</v>
      </c>
      <c r="C17" s="1320"/>
      <c r="D17" s="2483"/>
      <c r="E17" s="2483"/>
      <c r="F17" s="2483"/>
      <c r="G17" s="2483"/>
      <c r="H17" s="2483"/>
      <c r="I17" s="2483"/>
      <c r="J17" s="2483"/>
      <c r="K17" s="2483"/>
      <c r="L17" s="322"/>
    </row>
    <row r="18" spans="2:12" ht="9.4" customHeight="1">
      <c r="B18" s="1360"/>
      <c r="C18" s="1360"/>
      <c r="D18" s="1360"/>
      <c r="E18" s="1360"/>
      <c r="F18" s="1360"/>
      <c r="G18" s="1361"/>
      <c r="H18" s="1360"/>
      <c r="I18" s="1361"/>
      <c r="J18" s="1360"/>
      <c r="K18" s="1360"/>
      <c r="L18" s="322"/>
    </row>
    <row r="19" spans="2:12" ht="13.5" customHeight="1">
      <c r="B19" s="1410" t="s">
        <v>1346</v>
      </c>
      <c r="C19" s="1410"/>
      <c r="D19" s="328"/>
      <c r="E19" s="328"/>
      <c r="F19" s="328"/>
      <c r="G19" s="1411"/>
      <c r="H19" s="328"/>
      <c r="I19" s="1411"/>
      <c r="J19" s="322"/>
      <c r="K19" s="322"/>
      <c r="L19" s="322"/>
    </row>
    <row r="20" spans="2:12" ht="35.25" customHeight="1">
      <c r="B20" s="2480"/>
      <c r="C20" s="2480"/>
      <c r="D20" s="2480"/>
      <c r="E20" s="2480"/>
      <c r="F20" s="2480"/>
      <c r="G20" s="2480"/>
      <c r="H20" s="2480"/>
      <c r="I20" s="2480"/>
      <c r="J20" s="2480"/>
      <c r="K20" s="2480"/>
      <c r="L20" s="1365"/>
    </row>
    <row r="21" spans="2:12" ht="4.5" customHeight="1">
      <c r="B21" s="1412"/>
      <c r="C21" s="1412"/>
      <c r="D21" s="1413"/>
      <c r="E21" s="1413"/>
      <c r="F21" s="1413"/>
      <c r="G21" s="1361"/>
      <c r="H21" s="1413"/>
      <c r="I21" s="1361"/>
      <c r="J21" s="1413"/>
      <c r="K21" s="1413"/>
      <c r="L21" s="1365"/>
    </row>
    <row r="22" spans="2:12" ht="13.35" customHeight="1">
      <c r="B22" s="1410" t="s">
        <v>1821</v>
      </c>
      <c r="C22" s="1410"/>
      <c r="D22" s="322"/>
      <c r="E22" s="322"/>
      <c r="F22" s="322"/>
      <c r="G22" s="1316"/>
      <c r="H22" s="322"/>
      <c r="I22" s="1316"/>
      <c r="J22" s="322"/>
      <c r="K22" s="322"/>
      <c r="L22" s="322"/>
    </row>
    <row r="23" spans="2:12" ht="37.5" customHeight="1">
      <c r="B23" s="2480"/>
      <c r="C23" s="2480"/>
      <c r="D23" s="2480"/>
      <c r="E23" s="2480"/>
      <c r="F23" s="2480"/>
      <c r="G23" s="2480"/>
      <c r="H23" s="2480"/>
      <c r="I23" s="2480"/>
      <c r="J23" s="2480"/>
      <c r="K23" s="2480"/>
      <c r="L23" s="322"/>
    </row>
    <row r="24" spans="2:12" ht="4.5" customHeight="1">
      <c r="B24" s="1412"/>
      <c r="C24" s="1412"/>
      <c r="D24" s="1360"/>
      <c r="E24" s="1360"/>
      <c r="F24" s="1360"/>
      <c r="G24" s="1361"/>
      <c r="H24" s="1360"/>
      <c r="I24" s="1361"/>
      <c r="J24" s="1360"/>
      <c r="K24" s="1360"/>
      <c r="L24" s="322"/>
    </row>
    <row r="25" spans="2:12" ht="13.5" customHeight="1">
      <c r="B25" s="1410" t="s">
        <v>1822</v>
      </c>
      <c r="C25" s="1410"/>
      <c r="D25" s="322"/>
      <c r="E25" s="322"/>
      <c r="F25" s="322"/>
      <c r="G25" s="1316"/>
      <c r="H25" s="322"/>
      <c r="I25" s="1316"/>
      <c r="J25" s="322"/>
      <c r="K25" s="322"/>
      <c r="L25" s="322"/>
    </row>
    <row r="26" spans="2:12" ht="37.5" customHeight="1">
      <c r="B26" s="2480"/>
      <c r="C26" s="2480"/>
      <c r="D26" s="2480"/>
      <c r="E26" s="2480"/>
      <c r="F26" s="2480"/>
      <c r="G26" s="2480"/>
      <c r="H26" s="2480"/>
      <c r="I26" s="2480"/>
      <c r="J26" s="2480"/>
      <c r="K26" s="2480"/>
      <c r="L26" s="322"/>
    </row>
    <row r="27" spans="2:12" ht="4.5" customHeight="1">
      <c r="B27" s="1414"/>
      <c r="C27" s="1414"/>
      <c r="D27" s="1414"/>
      <c r="E27" s="1360"/>
      <c r="F27" s="1360"/>
      <c r="G27" s="1361"/>
      <c r="H27" s="1360"/>
      <c r="I27" s="1361"/>
      <c r="J27" s="1360"/>
      <c r="K27" s="1360"/>
      <c r="L27" s="322"/>
    </row>
    <row r="28" spans="2:12" ht="13.5" customHeight="1">
      <c r="B28" s="1410" t="s">
        <v>1823</v>
      </c>
      <c r="C28" s="1410"/>
      <c r="D28" s="322"/>
      <c r="E28" s="322"/>
      <c r="F28" s="322"/>
      <c r="G28" s="1316"/>
      <c r="H28" s="322"/>
      <c r="I28" s="1316"/>
      <c r="J28" s="322"/>
      <c r="K28" s="322"/>
      <c r="L28" s="322"/>
    </row>
    <row r="29" spans="2:12" ht="37.5" customHeight="1">
      <c r="B29" s="2480"/>
      <c r="C29" s="2480"/>
      <c r="D29" s="2480"/>
      <c r="E29" s="2480"/>
      <c r="F29" s="2480"/>
      <c r="G29" s="2480"/>
      <c r="H29" s="2480"/>
      <c r="I29" s="2480"/>
      <c r="J29" s="2480"/>
      <c r="K29" s="2480"/>
      <c r="L29" s="322"/>
    </row>
    <row r="30" spans="2:12" ht="4.5" customHeight="1">
      <c r="B30" s="1412"/>
      <c r="C30" s="1412"/>
      <c r="D30" s="1360"/>
      <c r="E30" s="1360"/>
      <c r="F30" s="1360"/>
      <c r="G30" s="1361"/>
      <c r="H30" s="1360"/>
      <c r="I30" s="1361"/>
      <c r="J30" s="1360"/>
      <c r="K30" s="1360"/>
      <c r="L30" s="322"/>
    </row>
    <row r="31" spans="2:12" ht="13.5" customHeight="1">
      <c r="B31" s="1410" t="s">
        <v>1345</v>
      </c>
      <c r="C31" s="1410"/>
      <c r="D31" s="322"/>
      <c r="E31" s="322"/>
      <c r="F31" s="322"/>
      <c r="G31" s="1316"/>
      <c r="H31" s="322"/>
      <c r="I31" s="1316"/>
      <c r="J31" s="322"/>
      <c r="K31" s="322"/>
      <c r="L31" s="322"/>
    </row>
    <row r="32" spans="2:12" ht="37.5" customHeight="1">
      <c r="B32" s="2480"/>
      <c r="C32" s="2480"/>
      <c r="D32" s="2480"/>
      <c r="E32" s="2480"/>
      <c r="F32" s="2480"/>
      <c r="G32" s="2480"/>
      <c r="H32" s="2480"/>
      <c r="I32" s="2480"/>
      <c r="J32" s="2480"/>
      <c r="K32" s="2480"/>
      <c r="L32" s="322"/>
    </row>
    <row r="33" spans="2:12" ht="4.5" customHeight="1">
      <c r="B33" s="1412"/>
      <c r="C33" s="1412"/>
      <c r="D33" s="1360"/>
      <c r="E33" s="1360"/>
      <c r="F33" s="1360"/>
      <c r="G33" s="1361"/>
      <c r="H33" s="1360"/>
      <c r="I33" s="1361"/>
      <c r="J33" s="1360"/>
      <c r="K33" s="1360"/>
      <c r="L33" s="322"/>
    </row>
    <row r="34" spans="2:12" ht="13.5" customHeight="1">
      <c r="B34" s="1317" t="s">
        <v>1344</v>
      </c>
      <c r="C34" s="1317"/>
      <c r="D34" s="322"/>
      <c r="E34" s="322"/>
      <c r="F34" s="322"/>
      <c r="G34" s="1316"/>
      <c r="H34" s="322"/>
      <c r="I34" s="1316"/>
      <c r="J34" s="322"/>
      <c r="K34" s="322"/>
      <c r="L34" s="322"/>
    </row>
    <row r="35" spans="2:12" ht="37.5" customHeight="1">
      <c r="B35" s="2480"/>
      <c r="C35" s="2480"/>
      <c r="D35" s="2480"/>
      <c r="E35" s="2480"/>
      <c r="F35" s="2480"/>
      <c r="G35" s="2480"/>
      <c r="H35" s="2480"/>
      <c r="I35" s="2480"/>
      <c r="J35" s="2480"/>
      <c r="K35" s="2480"/>
      <c r="L35" s="322"/>
    </row>
    <row r="36" spans="2:12" ht="4.5" customHeight="1">
      <c r="B36" s="1412"/>
      <c r="C36" s="1412"/>
      <c r="D36" s="1360"/>
      <c r="E36" s="1360"/>
      <c r="F36" s="1360"/>
      <c r="G36" s="1361"/>
      <c r="H36" s="1360"/>
      <c r="I36" s="1361"/>
      <c r="J36" s="1360"/>
      <c r="K36" s="1360"/>
      <c r="L36" s="322"/>
    </row>
    <row r="37" spans="2:12" ht="13.5" customHeight="1">
      <c r="B37" s="1317" t="s">
        <v>1343</v>
      </c>
      <c r="C37" s="1317"/>
      <c r="D37" s="322"/>
      <c r="E37" s="322"/>
      <c r="F37" s="322"/>
      <c r="G37" s="1316"/>
      <c r="H37" s="322"/>
      <c r="I37" s="1316"/>
      <c r="J37" s="322"/>
      <c r="K37" s="322"/>
      <c r="L37" s="322"/>
    </row>
    <row r="38" spans="2:12" ht="35.25" customHeight="1">
      <c r="B38" s="2480"/>
      <c r="C38" s="2480"/>
      <c r="D38" s="2480"/>
      <c r="E38" s="2480"/>
      <c r="F38" s="2480"/>
      <c r="G38" s="2480"/>
      <c r="H38" s="2480"/>
      <c r="I38" s="2480"/>
      <c r="J38" s="2480"/>
      <c r="K38" s="2480"/>
      <c r="L38" s="322"/>
    </row>
    <row r="39" spans="2:12" ht="4.5" customHeight="1">
      <c r="B39" s="1335"/>
      <c r="C39" s="1335"/>
      <c r="D39" s="322"/>
      <c r="E39" s="322"/>
      <c r="F39" s="322"/>
      <c r="G39" s="1316"/>
      <c r="H39" s="322"/>
      <c r="I39" s="1316"/>
      <c r="J39" s="322"/>
      <c r="K39" s="322"/>
      <c r="L39" s="322"/>
    </row>
    <row r="40" spans="2:12" s="322" customFormat="1" ht="13.5" customHeight="1">
      <c r="B40" s="1336" t="s">
        <v>1824</v>
      </c>
      <c r="C40" s="1336"/>
      <c r="D40" s="1311"/>
      <c r="E40" s="1312"/>
      <c r="F40" s="1312"/>
      <c r="G40" s="1313"/>
      <c r="H40" s="1312"/>
      <c r="I40" s="1313"/>
      <c r="J40" s="1312"/>
      <c r="K40" s="1312"/>
    </row>
    <row r="41" spans="2:12" s="322" customFormat="1" ht="33.75" customHeight="1">
      <c r="B41" s="2480"/>
      <c r="C41" s="2480"/>
      <c r="D41" s="2480"/>
      <c r="E41" s="2480"/>
      <c r="F41" s="2480"/>
      <c r="G41" s="2480"/>
      <c r="H41" s="2480"/>
      <c r="I41" s="2480"/>
      <c r="J41" s="2480"/>
      <c r="K41" s="2480"/>
    </row>
    <row r="42" spans="2:12" s="322" customFormat="1" ht="4.5" customHeight="1">
      <c r="B42" s="1335"/>
      <c r="C42" s="1335"/>
      <c r="G42" s="1316"/>
      <c r="I42" s="1316"/>
    </row>
    <row r="43" spans="2:12" s="322" customFormat="1" ht="13.5" customHeight="1">
      <c r="B43" s="1415" t="s">
        <v>1332</v>
      </c>
      <c r="C43" s="1416"/>
      <c r="D43" s="1337"/>
      <c r="E43" s="1337"/>
      <c r="F43" s="1337"/>
      <c r="G43" s="1338"/>
      <c r="H43" s="1337"/>
      <c r="I43" s="1338"/>
      <c r="J43" s="1337"/>
      <c r="K43" s="1339"/>
      <c r="L43" s="1417"/>
    </row>
    <row r="44" spans="2:12" s="322" customFormat="1" ht="13.5" customHeight="1">
      <c r="B44" s="1340" t="s">
        <v>1331</v>
      </c>
      <c r="C44" s="1341"/>
      <c r="D44" s="1418"/>
      <c r="E44" s="1342"/>
      <c r="F44" s="1346" t="s">
        <v>1330</v>
      </c>
      <c r="G44" s="1344"/>
      <c r="H44" s="1343"/>
      <c r="I44" s="1344"/>
      <c r="J44" s="1419"/>
      <c r="K44" s="1420"/>
      <c r="L44" s="1417"/>
    </row>
    <row r="45" spans="2:12" s="322" customFormat="1" ht="13.5" customHeight="1">
      <c r="B45" s="1340" t="s">
        <v>1329</v>
      </c>
      <c r="C45" s="1341"/>
      <c r="D45" s="1419"/>
      <c r="E45" s="1343"/>
      <c r="F45" s="1346" t="s">
        <v>1328</v>
      </c>
      <c r="G45" s="1344"/>
      <c r="H45" s="1343"/>
      <c r="I45" s="1344"/>
      <c r="J45" s="1419"/>
      <c r="K45" s="1420"/>
      <c r="L45" s="1417"/>
    </row>
    <row r="46" spans="2:12" s="322" customFormat="1" ht="13.5" customHeight="1">
      <c r="B46" s="1347"/>
      <c r="C46" s="1345"/>
      <c r="D46" s="1345"/>
      <c r="E46" s="1345"/>
      <c r="F46" s="1345"/>
      <c r="G46" s="1348"/>
      <c r="H46" s="1345"/>
      <c r="I46" s="1348"/>
      <c r="J46" s="1345"/>
      <c r="K46" s="1349"/>
      <c r="L46" s="1417"/>
    </row>
    <row r="47" spans="2:12" ht="7.5" customHeight="1">
      <c r="B47" s="1421"/>
      <c r="C47" s="1421"/>
      <c r="D47" s="1422"/>
      <c r="E47" s="1422"/>
      <c r="F47" s="1422"/>
      <c r="G47" s="1423"/>
      <c r="H47" s="1422"/>
      <c r="I47" s="1423"/>
      <c r="J47" s="1422"/>
      <c r="K47" s="1422"/>
    </row>
    <row r="48" spans="2:12" ht="13.5" customHeight="1">
      <c r="B48" s="1352" t="s">
        <v>1825</v>
      </c>
      <c r="C48" s="1352"/>
      <c r="D48" s="322"/>
      <c r="E48" s="322"/>
      <c r="F48" s="322"/>
    </row>
    <row r="49" spans="2:3" s="317" customFormat="1" ht="10.5" customHeight="1">
      <c r="B49" s="1353" t="s">
        <v>1826</v>
      </c>
      <c r="C49" s="1353"/>
    </row>
    <row r="50" spans="2:3" s="317" customFormat="1" ht="11.1" customHeight="1">
      <c r="B50" s="1353" t="s">
        <v>1827</v>
      </c>
      <c r="C50" s="1353"/>
    </row>
    <row r="51" spans="2:3" s="317" customFormat="1" ht="11.1" customHeight="1">
      <c r="B51" s="1353" t="s">
        <v>1828</v>
      </c>
      <c r="C51" s="1353"/>
    </row>
    <row r="52" spans="2:3" s="317" customFormat="1" ht="11.1" customHeight="1">
      <c r="B52" s="1353" t="s">
        <v>1829</v>
      </c>
      <c r="C52" s="135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1:E73"/>
  <sheetViews>
    <sheetView showGridLines="0" topLeftCell="A22" zoomScale="110" zoomScaleNormal="110" workbookViewId="0">
      <selection activeCell="I21" sqref="I21:S21"/>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95" customHeight="1">
      <c r="B1" s="2449" t="str">
        <f>'Single Audit Cover'!A7</f>
        <v>Rock Falls Elem SD 13</v>
      </c>
      <c r="C1" s="2449"/>
      <c r="D1" s="2449"/>
      <c r="E1" s="1424"/>
    </row>
    <row r="2" spans="2:5" s="1282" customFormat="1" ht="12.95" customHeight="1">
      <c r="B2" s="2451">
        <f>'Single Audit Cover'!E7</f>
        <v>47098013002</v>
      </c>
      <c r="C2" s="2451"/>
      <c r="D2" s="2451"/>
      <c r="E2" s="1425"/>
    </row>
    <row r="3" spans="2:5" ht="12.95" customHeight="1">
      <c r="B3" s="2473" t="s">
        <v>1830</v>
      </c>
      <c r="C3" s="2473"/>
      <c r="D3" s="2473"/>
      <c r="E3" s="1274"/>
    </row>
    <row r="4" spans="2:5" s="1282" customFormat="1" ht="12.95" customHeight="1">
      <c r="B4" s="2484" t="str">
        <f>'Single Audit Cover'!A4</f>
        <v>Year Ending June 30, 2018</v>
      </c>
      <c r="C4" s="2484"/>
      <c r="D4" s="2484"/>
      <c r="E4" s="1426"/>
    </row>
    <row r="5" spans="2:5" s="1282" customFormat="1" ht="40.15" customHeight="1">
      <c r="B5" s="1427" t="s">
        <v>1831</v>
      </c>
      <c r="C5" s="328"/>
      <c r="D5" s="328"/>
      <c r="E5" s="328"/>
    </row>
    <row r="6" spans="2:5" s="1282" customFormat="1" ht="13.5" customHeight="1">
      <c r="B6" s="1428" t="s">
        <v>1361</v>
      </c>
      <c r="C6" s="1428" t="s">
        <v>1360</v>
      </c>
      <c r="D6" s="1428" t="s">
        <v>1832</v>
      </c>
    </row>
    <row r="7" spans="2:5" ht="13.5" customHeight="1">
      <c r="B7" s="1429" t="s">
        <v>2078</v>
      </c>
      <c r="C7" s="1886" t="s">
        <v>2071</v>
      </c>
      <c r="D7" s="324"/>
      <c r="E7" s="324"/>
    </row>
    <row r="8" spans="2:5" ht="13.5" customHeight="1">
      <c r="B8" s="1429"/>
      <c r="C8" s="1886" t="s">
        <v>2072</v>
      </c>
      <c r="D8" s="324"/>
      <c r="E8" s="324"/>
    </row>
    <row r="9" spans="2:5" ht="13.5" customHeight="1">
      <c r="B9" s="1430"/>
      <c r="C9" s="1885" t="s">
        <v>2073</v>
      </c>
      <c r="D9" s="323"/>
      <c r="E9" s="323"/>
    </row>
    <row r="10" spans="2:5" ht="13.5" customHeight="1">
      <c r="B10" s="1429"/>
      <c r="C10" s="1885" t="s">
        <v>2074</v>
      </c>
      <c r="D10" s="323"/>
      <c r="E10" s="323"/>
    </row>
    <row r="11" spans="2:5" ht="13.5" customHeight="1">
      <c r="B11" s="1429"/>
      <c r="C11" s="1885" t="s">
        <v>2075</v>
      </c>
      <c r="D11" s="323"/>
      <c r="E11" s="323"/>
    </row>
    <row r="12" spans="2:5" ht="13.5" customHeight="1">
      <c r="B12" s="1429"/>
      <c r="C12" s="1885" t="s">
        <v>2076</v>
      </c>
      <c r="D12" s="323"/>
      <c r="E12" s="323"/>
    </row>
    <row r="13" spans="2:5" ht="13.5" customHeight="1">
      <c r="B13" s="1429"/>
      <c r="C13" s="1885"/>
      <c r="D13" s="1885" t="s">
        <v>2077</v>
      </c>
      <c r="E13" s="323"/>
    </row>
    <row r="14" spans="2:5" ht="13.5" customHeight="1">
      <c r="B14" s="1429" t="s">
        <v>2079</v>
      </c>
      <c r="C14" s="323" t="s">
        <v>2080</v>
      </c>
      <c r="D14" s="323"/>
      <c r="E14" s="323"/>
    </row>
    <row r="15" spans="2:5" ht="13.5" customHeight="1">
      <c r="B15" s="1429"/>
      <c r="C15" s="323" t="s">
        <v>2081</v>
      </c>
      <c r="D15" s="323"/>
      <c r="E15" s="323"/>
    </row>
    <row r="16" spans="2:5" ht="13.5" customHeight="1">
      <c r="B16" s="1429"/>
      <c r="C16" s="323"/>
      <c r="D16" s="1885" t="s">
        <v>2149</v>
      </c>
      <c r="E16" s="323"/>
    </row>
    <row r="17" spans="2:5" ht="13.5" customHeight="1">
      <c r="B17" s="1887" t="s">
        <v>2070</v>
      </c>
      <c r="C17" s="1886" t="s">
        <v>2071</v>
      </c>
      <c r="D17" s="1886"/>
      <c r="E17" s="323"/>
    </row>
    <row r="18" spans="2:5" ht="13.5" customHeight="1">
      <c r="B18" s="1887"/>
      <c r="C18" s="1886" t="s">
        <v>2072</v>
      </c>
      <c r="D18" s="1886"/>
      <c r="E18" s="323"/>
    </row>
    <row r="19" spans="2:5" ht="13.5" customHeight="1">
      <c r="B19" s="1888"/>
      <c r="C19" s="1885" t="s">
        <v>2073</v>
      </c>
      <c r="D19" s="1885"/>
      <c r="E19" s="323"/>
    </row>
    <row r="20" spans="2:5" ht="13.5" customHeight="1">
      <c r="B20" s="1887"/>
      <c r="C20" s="1885" t="s">
        <v>2074</v>
      </c>
      <c r="D20" s="1885"/>
      <c r="E20" s="323"/>
    </row>
    <row r="21" spans="2:5" ht="13.5" customHeight="1">
      <c r="B21" s="1887"/>
      <c r="C21" s="1885" t="s">
        <v>2075</v>
      </c>
      <c r="D21" s="1885"/>
      <c r="E21" s="323"/>
    </row>
    <row r="22" spans="2:5" ht="13.5" customHeight="1">
      <c r="B22" s="1887"/>
      <c r="C22" s="1885" t="s">
        <v>2076</v>
      </c>
      <c r="D22" s="1885"/>
      <c r="E22" s="323"/>
    </row>
    <row r="23" spans="2:5" ht="13.5" customHeight="1">
      <c r="B23" s="1887"/>
      <c r="C23" s="1885"/>
      <c r="D23" s="1885" t="s">
        <v>2150</v>
      </c>
      <c r="E23" s="323"/>
    </row>
    <row r="24" spans="2:5" ht="13.5" customHeight="1">
      <c r="B24" s="1887"/>
      <c r="C24" s="1885"/>
      <c r="D24" s="1885"/>
      <c r="E24" s="323"/>
    </row>
    <row r="25" spans="2:5" ht="13.5" customHeight="1">
      <c r="B25" s="1887"/>
      <c r="C25" s="1885"/>
      <c r="D25" s="1885"/>
      <c r="E25" s="323"/>
    </row>
    <row r="26" spans="2:5" ht="13.5" customHeight="1">
      <c r="B26" s="1887"/>
      <c r="C26" s="1885"/>
      <c r="D26" s="1885"/>
      <c r="E26" s="323"/>
    </row>
    <row r="27" spans="2:5" ht="13.5" customHeight="1">
      <c r="B27" s="1887"/>
      <c r="C27" s="1885"/>
      <c r="D27" s="1885"/>
      <c r="E27" s="323"/>
    </row>
    <row r="28" spans="2:5" ht="13.5" customHeight="1">
      <c r="B28" s="1887"/>
      <c r="C28" s="1885"/>
      <c r="D28" s="1885"/>
      <c r="E28" s="323"/>
    </row>
    <row r="29" spans="2:5" ht="13.5" customHeight="1">
      <c r="B29" s="1887"/>
      <c r="C29" s="1885"/>
      <c r="D29" s="1885"/>
      <c r="E29" s="323"/>
    </row>
    <row r="30" spans="2:5" ht="13.5" customHeight="1">
      <c r="B30" s="1887"/>
      <c r="C30" s="1885"/>
      <c r="D30" s="1885"/>
      <c r="E30" s="323"/>
    </row>
    <row r="31" spans="2:5" ht="13.5" customHeight="1">
      <c r="B31" s="1887"/>
      <c r="C31" s="1885"/>
      <c r="D31" s="1885"/>
      <c r="E31" s="323"/>
    </row>
    <row r="32" spans="2:5" ht="13.5" customHeight="1">
      <c r="B32" s="1887"/>
      <c r="C32" s="1885"/>
      <c r="D32" s="1885"/>
      <c r="E32" s="323"/>
    </row>
    <row r="33" spans="2:5" ht="13.5" customHeight="1">
      <c r="B33" s="1887"/>
      <c r="C33" s="1885"/>
      <c r="D33" s="1885"/>
      <c r="E33" s="323"/>
    </row>
    <row r="34" spans="2:5" ht="13.5" customHeight="1">
      <c r="B34" s="323"/>
      <c r="C34" s="323"/>
      <c r="D34" s="323"/>
      <c r="E34" s="323"/>
    </row>
    <row r="35" spans="2:5" ht="13.5" customHeight="1">
      <c r="B35" s="323"/>
      <c r="C35" s="323"/>
      <c r="D35" s="323"/>
      <c r="E35" s="323"/>
    </row>
    <row r="36" spans="2:5" ht="13.5" customHeight="1">
      <c r="B36" s="323"/>
      <c r="C36" s="323"/>
      <c r="D36" s="323"/>
      <c r="E36" s="323"/>
    </row>
    <row r="37" spans="2:5" ht="13.5" customHeight="1">
      <c r="B37" s="323"/>
      <c r="C37" s="323"/>
      <c r="D37" s="323"/>
      <c r="E37" s="323"/>
    </row>
    <row r="38" spans="2:5" ht="13.5" customHeight="1">
      <c r="B38" s="323"/>
      <c r="C38" s="323"/>
      <c r="D38" s="323"/>
      <c r="E38" s="323"/>
    </row>
    <row r="39" spans="2:5" ht="13.5" customHeight="1">
      <c r="B39" s="323"/>
      <c r="C39" s="323"/>
      <c r="D39" s="323"/>
      <c r="E39" s="323"/>
    </row>
    <row r="40" spans="2:5" ht="13.5" customHeight="1">
      <c r="B40" s="323"/>
      <c r="C40" s="323"/>
      <c r="D40" s="323"/>
      <c r="E40" s="323"/>
    </row>
    <row r="41" spans="2:5" ht="13.5" customHeight="1">
      <c r="B41" s="1431"/>
      <c r="C41" s="323"/>
      <c r="D41" s="323"/>
      <c r="E41" s="323"/>
    </row>
    <row r="42" spans="2:5" ht="13.5" customHeight="1">
      <c r="B42" s="1432"/>
      <c r="C42" s="323"/>
      <c r="D42" s="323"/>
      <c r="E42" s="323"/>
    </row>
    <row r="43" spans="2:5" ht="12.95" customHeight="1">
      <c r="B43" s="1433"/>
      <c r="C43" s="1434"/>
      <c r="D43" s="1434"/>
      <c r="E43" s="323"/>
    </row>
    <row r="44" spans="2:5" ht="12.2" customHeight="1">
      <c r="B44" s="1257" t="s">
        <v>1359</v>
      </c>
      <c r="C44" s="322"/>
    </row>
    <row r="45" spans="2:5" ht="12.2" customHeight="1">
      <c r="B45" s="1435" t="s">
        <v>1833</v>
      </c>
    </row>
    <row r="46" spans="2:5" ht="12.2" customHeight="1">
      <c r="B46" s="1435" t="s">
        <v>1834</v>
      </c>
    </row>
    <row r="47" spans="2:5" ht="12.2" customHeight="1">
      <c r="B47" s="1436" t="s">
        <v>1358</v>
      </c>
    </row>
    <row r="48" spans="2:5" ht="12.2" customHeight="1">
      <c r="B48" s="1436" t="s">
        <v>1357</v>
      </c>
    </row>
    <row r="49" spans="2:5" ht="12.2" customHeight="1">
      <c r="B49" s="1436" t="s">
        <v>1356</v>
      </c>
    </row>
    <row r="50" spans="2:5" ht="12.2" customHeight="1">
      <c r="B50" s="1436" t="s">
        <v>1355</v>
      </c>
    </row>
    <row r="53" spans="2:5" ht="12.95" customHeight="1"/>
    <row r="54" spans="2:5" ht="12.95" customHeight="1">
      <c r="B54" s="1267"/>
    </row>
    <row r="55" spans="2:5" ht="12.95" customHeight="1"/>
    <row r="56" spans="2:5" ht="12.95" customHeight="1">
      <c r="B56" s="322"/>
      <c r="C56" s="322"/>
      <c r="D56" s="322"/>
      <c r="E56" s="322"/>
    </row>
    <row r="57" spans="2:5" ht="12.95" customHeight="1">
      <c r="B57" s="322"/>
      <c r="C57" s="322"/>
      <c r="D57" s="322"/>
      <c r="E57" s="322"/>
    </row>
    <row r="58" spans="2:5" ht="12.95" customHeight="1">
      <c r="B58" s="322"/>
      <c r="C58" s="322"/>
      <c r="D58" s="322"/>
      <c r="E58" s="322"/>
    </row>
    <row r="59" spans="2:5" ht="12.95" customHeight="1">
      <c r="B59" s="322"/>
      <c r="C59" s="322"/>
      <c r="D59" s="322"/>
      <c r="E59" s="322"/>
    </row>
    <row r="60" spans="2:5" ht="12.95" customHeight="1">
      <c r="B60" s="322"/>
      <c r="C60" s="322"/>
      <c r="D60" s="322"/>
      <c r="E60" s="322"/>
    </row>
    <row r="61" spans="2:5" ht="12.95" customHeight="1">
      <c r="B61" s="322"/>
      <c r="C61" s="322"/>
      <c r="D61" s="322"/>
      <c r="E61" s="322"/>
    </row>
    <row r="62" spans="2:5" ht="12.95" customHeight="1">
      <c r="B62" s="322"/>
      <c r="C62" s="322"/>
      <c r="D62" s="322"/>
      <c r="E62" s="322"/>
    </row>
    <row r="63" spans="2:5" ht="12.95" customHeight="1">
      <c r="B63" s="322"/>
      <c r="C63" s="322"/>
      <c r="D63" s="322"/>
      <c r="E63" s="322"/>
    </row>
    <row r="67" spans="2:2">
      <c r="B67" s="1352"/>
    </row>
    <row r="68" spans="2:2">
      <c r="B68" s="1300"/>
    </row>
    <row r="69" spans="2:2">
      <c r="B69" s="1300"/>
    </row>
    <row r="70" spans="2:2">
      <c r="B70" s="1353"/>
    </row>
    <row r="71" spans="2:2">
      <c r="B71" s="1353"/>
    </row>
    <row r="72" spans="2:2">
      <c r="B72" s="1353"/>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purl.org/dc/terms/"/>
    <ds:schemaRef ds:uri="d21dc803-237d-4c68-8692-8d731fd29118"/>
    <ds:schemaRef ds:uri="4d435f69-8686-490b-bd6d-b153bf22ab50"/>
    <ds:schemaRef ds:uri="http://schemas.openxmlformats.org/package/2006/metadata/core-properti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Sheet1</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Wipfli SEFA</vt:lpstr>
      <vt:lpstr>SEFA NOTES</vt:lpstr>
      <vt:lpstr>SF&amp;QC Sec-1</vt:lpstr>
      <vt:lpstr>SF&amp;QC Sec-2</vt:lpstr>
      <vt:lpstr>SF&amp;QC Sec-3</vt:lpstr>
      <vt:lpstr>SSPAF</vt:lpstr>
      <vt:lpstr>'Aud Quest 2'!OLE_LINK1</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BAXTER CHRISTOPHER</cp:lastModifiedBy>
  <cp:lastPrinted>2018-09-24T19:18:14Z</cp:lastPrinted>
  <dcterms:created xsi:type="dcterms:W3CDTF">2003-10-29T19:06:34Z</dcterms:created>
  <dcterms:modified xsi:type="dcterms:W3CDTF">2020-02-26T20:38:32Z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