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New Emails\Emails 10-18-2018\"/>
    </mc:Choice>
  </mc:AlternateContent>
  <bookViews>
    <workbookView xWindow="0" yWindow="0" windowWidth="28800" windowHeight="110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Finding 2018-001" sheetId="183" r:id="rId32"/>
    <sheet name="Finding 2018-002" sheetId="184" r:id="rId33"/>
    <sheet name="Finding 2018-003" sheetId="185" r:id="rId34"/>
    <sheet name="Finding 2018-004" sheetId="186" r:id="rId35"/>
    <sheet name="Finding 2018-005" sheetId="187" r:id="rId36"/>
    <sheet name="Finding 2018-006" sheetId="188" r:id="rId37"/>
    <sheet name="SF&amp;QC Sec-3" sheetId="176" r:id="rId38"/>
    <sheet name="SSPAF" sheetId="177" r:id="rId39"/>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7">'SF&amp;QC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7">#REF!</definedName>
    <definedName name="SCHADDRS" localSheetId="26">#REF!</definedName>
    <definedName name="SCHADDRS" localSheetId="29">#REF!</definedName>
    <definedName name="SCHADDRS" localSheetId="30">#REF!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7">#REF!</definedName>
    <definedName name="SCHCTY" localSheetId="26">#REF!</definedName>
    <definedName name="SCHCTY" localSheetId="29">#REF!</definedName>
    <definedName name="SCHCTY" localSheetId="30">#REF!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7">#REF!</definedName>
    <definedName name="SCHNMBR" localSheetId="26">#REF!</definedName>
    <definedName name="SCHNMBR" localSheetId="29">#REF!</definedName>
    <definedName name="SCHNMBR" localSheetId="30">#REF!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7">#REF!</definedName>
    <definedName name="SCHNME" localSheetId="26">#REF!</definedName>
    <definedName name="SCHNME" localSheetId="29">#REF!</definedName>
    <definedName name="SCHNME" localSheetId="30">#REF!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7">#REF!</definedName>
    <definedName name="SUPT" localSheetId="26">#REF!</definedName>
    <definedName name="SUPT" localSheetId="29">#REF!</definedName>
    <definedName name="SUPT" localSheetId="30">#REF!</definedName>
    <definedName name="SUPT" localSheetId="37">#REF!</definedName>
    <definedName name="SUPT" localSheetId="25">#REF!</definedName>
    <definedName name="SUPT" localSheetId="24">#REF!</definedName>
    <definedName name="SUPT" localSheetId="38">#REF!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2" i="8" l="1"/>
  <c r="J8" i="12" l="1"/>
  <c r="B4" i="188" l="1"/>
  <c r="B4" i="187"/>
  <c r="B4" i="186"/>
  <c r="B4" i="185"/>
  <c r="B4" i="184"/>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8" l="1"/>
  <c r="B2" i="185"/>
  <c r="B2" i="186"/>
  <c r="B2" i="187"/>
  <c r="B2" i="184"/>
  <c r="B1" i="183"/>
  <c r="B1" i="186"/>
  <c r="B1" i="188"/>
  <c r="B1" i="185"/>
  <c r="B1" i="184"/>
  <c r="B1" i="187"/>
  <c r="B2" i="179"/>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D7733" i="106" s="1"/>
  <c r="J12" i="12"/>
  <c r="J21" i="12"/>
  <c r="B7727" i="106" s="1"/>
  <c r="D7727" i="106" s="1"/>
  <c r="B7729" i="106"/>
  <c r="D7729" i="106" s="1"/>
  <c r="B7734" i="106"/>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c r="B6711" i="106"/>
  <c r="D6711" i="106"/>
  <c r="B6712" i="106"/>
  <c r="D6712" i="106" s="1"/>
  <c r="B6713" i="106"/>
  <c r="D6713" i="106" s="1"/>
  <c r="B6714" i="106"/>
  <c r="D6714" i="106" s="1"/>
  <c r="B6715" i="106"/>
  <c r="D6715" i="106" s="1"/>
  <c r="B6716" i="106"/>
  <c r="D6716" i="106" s="1"/>
  <c r="B6717" i="106"/>
  <c r="D6717" i="106" s="1"/>
  <c r="B6718" i="106"/>
  <c r="D6718" i="106"/>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H29" i="118"/>
  <c r="D22" i="37"/>
  <c r="J22" i="37"/>
  <c r="L5" i="11"/>
  <c r="B2056" i="106" s="1"/>
  <c r="D2056" i="106" s="1"/>
  <c r="F27" i="108" l="1"/>
  <c r="J49" i="8"/>
  <c r="B4172" i="106" s="1"/>
  <c r="D4172" i="106" s="1"/>
  <c r="L15" i="11"/>
  <c r="B3459" i="106" s="1"/>
  <c r="D3459" i="106" s="1"/>
  <c r="D6103" i="106"/>
  <c r="D24" i="37"/>
  <c r="B4270" i="106" s="1"/>
  <c r="D4270" i="106" s="1"/>
  <c r="F41" i="34"/>
  <c r="D36" i="108"/>
  <c r="F37" i="34"/>
  <c r="H112" i="29"/>
  <c r="B7018" i="106" s="1"/>
  <c r="D7018" i="106" s="1"/>
  <c r="B7074" i="106"/>
  <c r="D7074" i="106" s="1"/>
  <c r="F46" i="34"/>
  <c r="B7078" i="106"/>
  <c r="D7078" i="106" s="1"/>
  <c r="F49" i="34"/>
  <c r="F45" i="34"/>
  <c r="F36" i="108"/>
  <c r="D5" i="4"/>
  <c r="B3406" i="106" s="1"/>
  <c r="D3406" i="106" s="1"/>
  <c r="F64" i="34"/>
  <c r="G172" i="5"/>
  <c r="G173" i="5" s="1"/>
  <c r="B5778" i="106" s="1"/>
  <c r="D5778" i="106" s="1"/>
  <c r="F26" i="108"/>
  <c r="D26" i="108"/>
  <c r="F131" i="34"/>
  <c r="D13" i="7"/>
  <c r="B3726" i="106" s="1"/>
  <c r="D3726" i="106" s="1"/>
  <c r="D11" i="37"/>
  <c r="D31" i="36"/>
  <c r="F21" i="8"/>
  <c r="B1879" i="106" s="1"/>
  <c r="D1879" i="106" s="1"/>
  <c r="H33" i="118"/>
  <c r="F70" i="34"/>
  <c r="F50" i="34"/>
  <c r="F42" i="34"/>
  <c r="I24" i="12"/>
  <c r="I26" i="12" s="1"/>
  <c r="B7741" i="106" s="1"/>
  <c r="D7741" i="106" s="1"/>
  <c r="H28" i="118"/>
  <c r="K28" i="118" s="1"/>
  <c r="O27" i="118" s="1"/>
  <c r="O29" i="118" s="1"/>
  <c r="F38" i="34"/>
  <c r="G35" i="108"/>
  <c r="J210" i="29"/>
  <c r="B7072" i="106" s="1"/>
  <c r="D7072" i="106" s="1"/>
  <c r="E35" i="108"/>
  <c r="B7047" i="106"/>
  <c r="D7047" i="106" s="1"/>
  <c r="B4411" i="106"/>
  <c r="D4411" i="106" s="1"/>
  <c r="G33" i="108"/>
  <c r="F31" i="108"/>
  <c r="B7076" i="106"/>
  <c r="D7076" i="106" s="1"/>
  <c r="B1746" i="106"/>
  <c r="D1746" i="106" s="1"/>
  <c r="I210" i="29"/>
  <c r="B7071" i="106" s="1"/>
  <c r="D7071" i="106" s="1"/>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3" i="106"/>
  <c r="D7251"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D7250" i="106" l="1"/>
  <c r="D41" i="108"/>
  <c r="E43" i="108" s="1"/>
  <c r="H77" i="4"/>
  <c r="B3299" i="106" s="1"/>
  <c r="D3299" i="106" s="1"/>
  <c r="N22" i="3"/>
  <c r="B283" i="106" s="1"/>
  <c r="D283" i="106" s="1"/>
  <c r="L16" i="11"/>
  <c r="B2061" i="106" s="1"/>
  <c r="D2061" i="106" s="1"/>
  <c r="B2031" i="106"/>
  <c r="D2031" i="106" s="1"/>
  <c r="C151" i="29"/>
  <c r="B1226" i="106" s="1"/>
  <c r="D1226" i="106" s="1"/>
  <c r="I6" i="4"/>
  <c r="B5011" i="106" s="1"/>
  <c r="D5011" i="106" s="1"/>
  <c r="B5770" i="106"/>
  <c r="D5770" i="106" s="1"/>
  <c r="F66" i="34"/>
  <c r="J151" i="29"/>
  <c r="B7052" i="106" s="1"/>
  <c r="D7052"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E78" i="4"/>
  <c r="B2636" i="106"/>
  <c r="D2636" i="106" s="1"/>
  <c r="F10" i="146" l="1"/>
  <c r="B3278" i="106"/>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D47" i="36" l="1"/>
  <c r="B171" i="106"/>
  <c r="D171"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15" i="106"/>
  <c r="D6215" i="106" s="1"/>
  <c r="J41" i="3"/>
  <c r="B140" i="106"/>
  <c r="D140" i="106" s="1"/>
  <c r="E41" i="3"/>
  <c r="D59" i="36"/>
  <c r="B2912" i="106"/>
  <c r="D2912" i="106" s="1"/>
  <c r="I41" i="3"/>
  <c r="D63" i="36"/>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 r="D78" i="36" l="1"/>
  <c r="B4113" i="106"/>
  <c r="D4113" i="106" s="1"/>
  <c r="C18" i="4"/>
  <c r="C10" i="4"/>
  <c r="B4122" i="106" s="1"/>
  <c r="D4122" i="106" s="1"/>
  <c r="B4131" i="106" l="1"/>
  <c r="D4131" i="106" s="1"/>
  <c r="C19" i="4"/>
  <c r="B4136" i="106" s="1"/>
  <c r="D4136" i="106" s="1"/>
  <c r="B92" i="106" l="1"/>
  <c r="D92" i="106" s="1"/>
  <c r="D57" i="36"/>
  <c r="C41" i="3"/>
  <c r="D76" i="36"/>
  <c r="B93" i="106" l="1"/>
  <c r="D93"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<sst xmlns="http://schemas.openxmlformats.org/spreadsheetml/2006/main" count="5270" uniqueCount="2198">
  <si>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</si>
  <si>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</si>
  <si>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</si>
  <si>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</si>
  <si>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</si>
  <si>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</si>
  <si>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</si>
  <si>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</si>
  <si>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</si>
  <si>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</si>
  <si>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</si>
  <si>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</si>
  <si>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</si>
  <si>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</si>
  <si>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</si>
  <si>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</si>
  <si>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</si>
  <si>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</si>
  <si>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</si>
  <si>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</si>
  <si>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</si>
  <si>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</si>
  <si>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</si>
  <si>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</si>
  <si>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</si>
  <si>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</si>
  <si>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</si>
  <si>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</si>
  <si>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</si>
  <si>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</si>
  <si>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</si>
  <si>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</si>
  <si>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</si>
  <si>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</si>
  <si>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</si>
  <si>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</si>
  <si>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</si>
  <si>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</si>
  <si>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</si>
  <si>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</si>
  <si>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</si>
  <si>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</si>
  <si>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</si>
  <si>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</si>
  <si>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</si>
  <si>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</si>
  <si>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</si>
  <si>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</si>
  <si>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</si>
  <si>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</si>
  <si>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</si>
  <si>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</si>
  <si>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</si>
  <si>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</si>
  <si>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</si>
  <si>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</si>
  <si>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</si>
  <si>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</si>
  <si>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</si>
  <si>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</si>
  <si>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</si>
  <si>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</si>
  <si>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</si>
  <si>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</si>
  <si>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</si>
  <si>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</si>
  <si>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</si>
  <si>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</si>
  <si>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</si>
  <si>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</si>
  <si>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</si>
  <si>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</si>
  <si>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</si>
  <si>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</si>
  <si>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</si>
  <si>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</si>
  <si>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</si>
  <si>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</si>
  <si>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</si>
  <si>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</si>
  <si>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</si>
  <si>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</si>
  <si>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</si>
  <si>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</si>
  <si>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</si>
  <si>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</si>
  <si>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</si>
  <si>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</si>
  <si>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</si>
  <si>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</si>
  <si>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</si>
  <si>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</si>
  <si>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</si>
  <si>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</si>
  <si>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</si>
  <si>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</si>
  <si>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</si>
  <si>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</si>
  <si>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</si>
  <si>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</si>
  <si>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</si>
  <si>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</si>
  <si>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</si>
  <si>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</si>
  <si>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</si>
  <si>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</si>
  <si>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</si>
  <si>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</si>
  <si>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</si>
  <si>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</si>
  <si>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</si>
  <si>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</si>
  <si>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</si>
  <si>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</si>
  <si>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</si>
  <si>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</si>
  <si>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</si>
  <si>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</si>
  <si>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</si>
  <si>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</si>
  <si>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</si>
  <si>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</si>
  <si>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</si>
  <si>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</si>
  <si>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</si>
  <si>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</si>
  <si>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</si>
  <si>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</si>
  <si>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</si>
  <si>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</si>
  <si>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</si>
  <si>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</si>
  <si>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</si>
  <si>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</si>
  <si>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</si>
  <si>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</si>
  <si>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</si>
  <si>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</si>
  <si>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</si>
  <si>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</si>
  <si>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</si>
  <si>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</si>
  <si>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</si>
  <si>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</si>
  <si>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</si>
  <si>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</si>
  <si>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</si>
  <si>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</si>
  <si>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</si>
  <si>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</si>
  <si>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</si>
  <si>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</si>
  <si>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</si>
  <si>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</si>
  <si>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</si>
  <si>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</si>
  <si>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</si>
  <si>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</si>
  <si>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</si>
  <si>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</si>
  <si>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</si>
  <si>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</si>
  <si>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</si>
  <si>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</si>
  <si>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</si>
  <si>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</si>
  <si>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</si>
  <si>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</si>
  <si>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</si>
  <si>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</si>
  <si>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</si>
  <si>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</si>
  <si>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</si>
  <si>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</si>
  <si>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</si>
  <si>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</si>
  <si>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</si>
  <si>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</si>
  <si>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</si>
  <si>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</si>
  <si>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</si>
  <si>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</si>
  <si>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</si>
  <si>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</si>
  <si>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</si>
  <si>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</si>
  <si>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</si>
  <si>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</si>
  <si>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</si>
  <si>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</si>
  <si>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</si>
  <si>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</si>
  <si>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</si>
  <si>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</si>
  <si>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</si>
  <si>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</si>
  <si>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</si>
  <si>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</si>
  <si>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</si>
  <si>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</si>
  <si>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</si>
  <si>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</si>
  <si>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</si>
  <si>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</si>
  <si>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</si>
  <si>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</si>
  <si>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</si>
  <si>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</si>
  <si>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</si>
  <si>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</si>
  <si>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</si>
  <si>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</si>
  <si>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</si>
  <si>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</si>
  <si>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</si>
  <si>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</si>
  <si>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</si>
  <si>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</si>
  <si>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</si>
  <si>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</si>
  <si>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</si>
  <si>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</si>
  <si>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</si>
  <si>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</si>
  <si>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</si>
  <si>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</si>
  <si>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</si>
  <si>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</si>
  <si>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</si>
  <si>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</si>
  <si>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</si>
  <si>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</si>
  <si>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</si>
  <si>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</si>
  <si>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</si>
  <si>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</si>
  <si>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</si>
  <si>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</si>
  <si>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</si>
  <si>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</si>
  <si>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</si>
  <si>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</si>
  <si>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</si>
  <si>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</si>
  <si>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</si>
  <si>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</si>
  <si>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</si>
  <si>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</si>
  <si>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</si>
  <si>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</si>
  <si>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</si>
  <si>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</si>
  <si>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</si>
  <si>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</si>
  <si>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</si>
  <si>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</si>
  <si>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</si>
  <si>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</si>
  <si>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</si>
  <si>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</si>
  <si>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</si>
  <si>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</si>
  <si>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</si>
  <si>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</si>
  <si>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</si>
  <si>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</si>
  <si>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</si>
  <si>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</si>
  <si>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</si>
  <si>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</si>
  <si>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</si>
  <si>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</si>
  <si>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</si>
  <si>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</si>
  <si>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</si>
  <si>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</si>
  <si>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</si>
  <si>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</si>
  <si>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</si>
  <si>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</si>
  <si>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</si>
  <si>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</si>
  <si>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</si>
  <si>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</si>
  <si>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</si>
  <si>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</si>
  <si>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</si>
  <si>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</si>
  <si>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</si>
  <si>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</si>
  <si>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</si>
  <si>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</si>
  <si>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</si>
  <si>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</si>
  <si>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</si>
  <si>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</si>
  <si>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</si>
  <si>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</si>
  <si>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</si>
  <si>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</si>
  <si>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</si>
  <si>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</si>
  <si>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</si>
  <si>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</si>
  <si>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</si>
  <si>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</si>
  <si>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</si>
  <si>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</si>
  <si>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</si>
  <si>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</si>
  <si>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</si>
  <si>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</si>
  <si>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</si>
  <si>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</si>
  <si>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</si>
  <si>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</si>
  <si>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</si>
  <si>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</si>
  <si>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</si>
  <si>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</si>
  <si>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</si>
  <si>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</si>
  <si>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</si>
  <si>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</si>
  <si>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</si>
  <si>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</si>
  <si>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</si>
  <si>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</si>
  <si>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</si>
  <si>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</si>
  <si>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</si>
  <si>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</si>
  <si>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</si>
  <si>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</si>
  <si>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</si>
  <si>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</si>
  <si>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</si>
  <si>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</si>
  <si>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</si>
  <si>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</si>
  <si>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</si>
  <si>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</si>
  <si>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</si>
  <si>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</si>
  <si>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</si>
  <si>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</si>
  <si>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</si>
  <si>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</si>
  <si>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</si>
  <si>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</si>
  <si>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</si>
  <si>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</si>
  <si>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</si>
  <si>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</si>
  <si>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</si>
  <si>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</si>
  <si>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</si>
  <si>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</si>
  <si>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</si>
  <si>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</si>
  <si>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</si>
  <si>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</si>
  <si>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</si>
  <si>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</si>
  <si>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</si>
  <si>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</si>
  <si>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</si>
  <si>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</si>
  <si>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</si>
  <si>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</si>
  <si>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</si>
  <si>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</si>
  <si>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</si>
  <si>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</si>
  <si>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</si>
  <si>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</si>
  <si>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</si>
  <si>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</si>
  <si>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</si>
  <si>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</si>
  <si>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</si>
  <si>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</si>
  <si>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</si>
  <si>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</si>
  <si>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</si>
  <si>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</si>
  <si>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</si>
  <si>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</si>
  <si>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</si>
  <si>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</si>
  <si>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</si>
  <si>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</si>
  <si>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</si>
  <si>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</si>
  <si>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</si>
  <si>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</si>
  <si>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</si>
  <si>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</si>
  <si>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</si>
  <si>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</si>
  <si>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</si>
  <si>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</si>
  <si>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</si>
  <si>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</si>
  <si>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</si>
  <si>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</si>
  <si>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</si>
  <si>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</si>
  <si>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</si>
  <si>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</si>
  <si>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</si>
  <si>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</si>
  <si>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</si>
  <si>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</si>
  <si>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</si>
  <si>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</si>
  <si>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</si>
  <si>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</si>
  <si>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</si>
  <si>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</si>
  <si>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</si>
  <si>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</si>
  <si>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</si>
  <si>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</si>
  <si>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</si>
  <si>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</si>
  <si>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</si>
  <si>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</si>
  <si>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</si>
  <si>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</si>
  <si>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</si>
  <si>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</si>
  <si>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</si>
  <si>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</si>
  <si>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</si>
  <si>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</si>
  <si>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</si>
  <si>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</si>
  <si>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</si>
  <si>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</si>
  <si>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</si>
  <si>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</si>
  <si>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</si>
  <si>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</si>
  <si>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</si>
  <si>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</si>
  <si>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</si>
  <si>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</si>
  <si>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</si>
  <si>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</si>
  <si>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</si>
  <si>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</si>
  <si>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</si>
  <si>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</si>
  <si>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</si>
  <si>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</si>
  <si>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</si>
  <si>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</si>
  <si>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</si>
  <si>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</si>
  <si>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</si>
  <si>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</si>
  <si>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</si>
  <si>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</si>
  <si>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</si>
  <si>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</si>
  <si>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</si>
  <si>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</si>
  <si>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</si>
  <si>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</si>
  <si>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</si>
  <si>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</si>
  <si>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</si>
  <si>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</si>
  <si>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</si>
  <si>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</si>
  <si>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</si>
  <si>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</si>
  <si>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</si>
  <si>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</si>
  <si>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</si>
  <si>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</si>
  <si>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</si>
  <si>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</si>
  <si>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</si>
  <si>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</si>
  <si>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</si>
  <si>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</si>
  <si>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</si>
  <si>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</si>
  <si>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</si>
  <si>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</si>
  <si>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</si>
  <si>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</si>
  <si>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</si>
  <si>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</si>
  <si>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</si>
  <si>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</si>
  <si>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</si>
  <si>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</si>
  <si>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</si>
  <si>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</si>
  <si>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</si>
  <si>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</si>
  <si>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</si>
  <si>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</si>
  <si>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</si>
  <si>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</si>
  <si>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</si>
  <si>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</si>
  <si>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</si>
  <si>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</si>
  <si>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</si>
  <si>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</si>
  <si>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</si>
  <si>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</si>
  <si>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</si>
  <si>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</si>
  <si>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</si>
  <si>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</si>
  <si>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</si>
  <si>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</si>
  <si>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</si>
  <si>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</si>
  <si>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</si>
  <si>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</si>
  <si>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</si>
  <si>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</si>
  <si>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</si>
  <si>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</si>
  <si>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</si>
  <si>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</si>
  <si>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</si>
  <si>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</si>
  <si>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</si>
  <si>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</si>
  <si>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</si>
  <si>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</si>
  <si>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</si>
  <si>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</si>
  <si>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</si>
  <si>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</si>
  <si>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</si>
  <si>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</si>
  <si>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</si>
  <si>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</si>
  <si>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</si>
  <si>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</si>
  <si>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</si>
  <si>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</si>
  <si>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</si>
  <si>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</si>
  <si>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</si>
  <si>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</si>
  <si>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</si>
  <si>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</si>
  <si>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</si>
  <si>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</si>
  <si>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</si>
  <si>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</si>
  <si>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</si>
  <si>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</si>
  <si>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</si>
  <si>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</si>
  <si>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</si>
  <si>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</si>
  <si>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</si>
  <si>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</si>
  <si>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</si>
  <si>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</si>
  <si>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</si>
  <si>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</si>
  <si>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</si>
  <si>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</si>
  <si>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</si>
  <si>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</si>
  <si>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</si>
  <si>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</si>
  <si>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</si>
  <si>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</si>
  <si>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</si>
  <si>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</si>
  <si>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</si>
  <si>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</si>
  <si>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</si>
  <si>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</si>
  <si>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</si>
  <si>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</si>
  <si>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</si>
  <si>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</si>
  <si>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</si>
  <si>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</si>
  <si>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</si>
  <si>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</si>
  <si>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</si>
  <si>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</si>
  <si>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</si>
  <si>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</si>
  <si>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</si>
  <si>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</si>
  <si>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</si>
  <si>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</si>
  <si>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</si>
  <si>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</si>
  <si>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</si>
  <si>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</si>
  <si>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</si>
  <si>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</si>
  <si>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</si>
  <si>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</si>
  <si>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</si>
  <si>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</si>
  <si>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</si>
  <si>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</si>
  <si>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</si>
  <si>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</si>
  <si>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</si>
  <si>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</si>
  <si>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</si>
  <si>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</si>
  <si>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</si>
  <si>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</si>
  <si>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</si>
  <si>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</si>
  <si>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</si>
  <si>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</si>
  <si>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</si>
  <si>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</si>
  <si>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</si>
  <si>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</si>
  <si>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</si>
  <si>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</si>
  <si>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</si>
  <si>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</si>
  <si>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</si>
  <si>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</si>
  <si>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</si>
  <si>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</si>
  <si>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</si>
  <si>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</si>
  <si>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</si>
  <si>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</si>
  <si>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</si>
  <si>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</si>
  <si>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</si>
  <si>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</si>
  <si>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</si>
  <si>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</si>
  <si>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</si>
  <si>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</si>
  <si>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</si>
  <si>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</si>
  <si>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</si>
  <si>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</si>
  <si>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</si>
  <si>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</si>
  <si>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</si>
  <si>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</si>
  <si>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</si>
  <si>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</si>
  <si>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</si>
  <si>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</si>
  <si>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</si>
  <si>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</si>
  <si>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</si>
  <si>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</si>
  <si>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</si>
  <si>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</si>
  <si>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</si>
  <si>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</si>
  <si>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</si>
  <si>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</si>
  <si>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</si>
  <si>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</si>
  <si>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</si>
  <si>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</si>
  <si>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</si>
  <si>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</si>
  <si>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</si>
  <si>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</si>
  <si>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</si>
  <si>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</si>
  <si>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</si>
  <si>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</si>
  <si>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</si>
  <si>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</si>
  <si>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</si>
  <si>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</si>
  <si>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</si>
  <si>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</si>
  <si>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</si>
  <si>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</si>
  <si>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</si>
  <si>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</si>
  <si>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</si>
  <si>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</si>
  <si>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</si>
  <si>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</si>
  <si>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</si>
  <si>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</si>
  <si>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</si>
  <si>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</si>
  <si>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</si>
  <si>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</si>
  <si>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</si>
  <si>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</si>
  <si>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</si>
  <si>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</si>
  <si>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</si>
  <si>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</si>
  <si>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</si>
  <si>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</si>
  <si>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</si>
  <si>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</si>
  <si>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</si>
  <si>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</si>
  <si>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</si>
  <si>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</si>
  <si>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</si>
  <si>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</si>
  <si>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</si>
  <si>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</si>
  <si>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</si>
  <si>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</si>
  <si>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</si>
  <si>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</si>
  <si>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</si>
  <si>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</si>
  <si>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</si>
  <si>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</si>
  <si>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</si>
  <si>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</si>
  <si>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</si>
  <si>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</si>
  <si>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</si>
  <si>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</si>
  <si>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</si>
  <si>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</si>
  <si>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</si>
  <si>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</si>
  <si>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</si>
  <si>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</si>
  <si>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</si>
  <si>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</si>
  <si>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</si>
  <si>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</si>
  <si>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</si>
  <si>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</si>
  <si>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</si>
  <si>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</si>
  <si>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</si>
  <si>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</si>
  <si>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</si>
  <si>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</si>
  <si>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</si>
  <si>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</si>
  <si>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</si>
  <si>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</si>
  <si>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</si>
  <si>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</si>
  <si>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</si>
  <si>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</si>
  <si>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</si>
  <si>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</si>
  <si>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</si>
  <si>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</si>
  <si>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</si>
  <si>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</si>
  <si>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</si>
  <si>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</si>
  <si>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</si>
  <si>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</si>
  <si>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</si>
  <si>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</si>
  <si>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</si>
  <si>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</si>
  <si>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</si>
  <si>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</si>
  <si>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</si>
  <si>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</si>
  <si>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</si>
  <si>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</si>
  <si>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</si>
  <si>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</si>
  <si>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</si>
  <si>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</si>
  <si>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</si>
  <si>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</si>
  <si>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</si>
  <si>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</si>
  <si>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</si>
  <si>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</si>
  <si>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</si>
  <si>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</si>
  <si>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</si>
  <si>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</si>
  <si>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</si>
  <si>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</si>
  <si>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</si>
  <si>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</si>
  <si>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</si>
  <si>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</si>
  <si>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</si>
  <si>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</si>
  <si>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</si>
  <si>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</si>
  <si>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</si>
  <si>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</si>
  <si>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</si>
  <si>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</si>
  <si>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</si>
  <si>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</si>
  <si>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</si>
  <si>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</si>
  <si>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</si>
  <si>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</si>
  <si>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</si>
  <si>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</si>
  <si>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</si>
  <si>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</si>
  <si>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</si>
  <si>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</si>
  <si>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</si>
  <si>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</si>
  <si>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</si>
  <si>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</si>
  <si>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</si>
  <si>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</si>
  <si>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</si>
  <si>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</si>
  <si>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</si>
  <si>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</si>
  <si>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</si>
  <si>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</si>
  <si>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</si>
  <si>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</si>
  <si>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</si>
  <si>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</si>
  <si>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</si>
  <si>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</si>
  <si>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</si>
  <si>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</si>
  <si>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</si>
  <si>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</si>
  <si>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</si>
  <si>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</si>
  <si>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</si>
  <si>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</si>
  <si>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</si>
  <si>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</si>
  <si>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</si>
  <si>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</si>
  <si>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</si>
  <si>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</si>
  <si>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</si>
  <si>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</si>
  <si>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</si>
  <si>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</si>
  <si>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</si>
  <si>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</si>
  <si>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</si>
  <si>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</si>
  <si>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</si>
  <si>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</si>
  <si>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</si>
  <si>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</si>
  <si>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</si>
  <si>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</si>
  <si>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</si>
  <si>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</si>
  <si>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</si>
  <si>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</si>
  <si>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</si>
  <si>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</si>
  <si>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</si>
  <si>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</si>
  <si>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</si>
  <si>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</si>
  <si>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</si>
  <si>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</si>
  <si>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</si>
  <si>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</si>
  <si>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</si>
  <si>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</si>
  <si>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</si>
  <si>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</si>
  <si>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</si>
  <si>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</si>
  <si>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</si>
  <si>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</si>
  <si>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</si>
  <si>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</si>
  <si>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</si>
  <si>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</si>
  <si>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</si>
  <si>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</si>
  <si>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</si>
  <si>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</si>
  <si>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</si>
  <si>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</si>
  <si>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</si>
  <si>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</si>
  <si>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</si>
  <si>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</si>
  <si>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</si>
  <si>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</si>
  <si>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</si>
  <si>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</si>
  <si>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</si>
  <si>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</si>
  <si>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</si>
  <si>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</si>
  <si>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</si>
  <si>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</si>
  <si>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</si>
  <si>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</si>
  <si>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</si>
  <si>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</si>
  <si>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</si>
  <si>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</si>
  <si>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</si>
  <si>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</si>
  <si>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</si>
  <si>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</si>
  <si>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</si>
  <si>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</si>
  <si>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</si>
  <si>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</si>
  <si>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</si>
  <si>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</si>
  <si>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</si>
  <si>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</si>
  <si>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</si>
  <si>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</si>
  <si>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</si>
  <si>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</si>
  <si>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</si>
  <si>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</si>
  <si>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</si>
  <si>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</si>
  <si>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</si>
  <si>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</si>
  <si>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</si>
  <si>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</si>
  <si>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</si>
  <si>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</si>
  <si>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</si>
  <si>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</si>
  <si>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</si>
  <si>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</si>
  <si>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</si>
  <si>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</si>
  <si>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</si>
  <si>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</si>
  <si>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</si>
  <si>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</si>
  <si>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</si>
  <si>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</si>
  <si>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</si>
  <si>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</si>
  <si>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</si>
  <si>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</si>
  <si>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</si>
  <si>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</si>
  <si>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</si>
  <si>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</si>
  <si>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</si>
  <si>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</si>
  <si>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</si>
  <si>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</si>
  <si>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</si>
  <si>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</si>
  <si>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</si>
  <si>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</si>
  <si>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</si>
  <si>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</si>
  <si>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</si>
  <si>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</si>
  <si>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</si>
  <si>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</si>
  <si>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</si>
  <si>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</si>
  <si>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</si>
  <si>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</si>
  <si>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</si>
  <si>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</si>
  <si>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</si>
  <si>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</si>
  <si>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</si>
  <si>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</si>
  <si>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</si>
  <si>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</si>
  <si>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</si>
  <si>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</si>
  <si>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</si>
  <si>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</si>
  <si>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</si>
  <si>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</si>
  <si>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</si>
  <si>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</si>
  <si>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</si>
  <si>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</si>
  <si>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</si>
  <si>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</si>
  <si>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</si>
  <si>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</si>
  <si>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</si>
  <si>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</si>
  <si>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</si>
  <si>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</si>
  <si>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</si>
  <si>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</si>
  <si>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</si>
  <si>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</si>
  <si>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</si>
  <si>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</si>
  <si>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</si>
  <si>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</si>
  <si>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</si>
  <si>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</si>
  <si>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</si>
  <si>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</si>
  <si>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</si>
  <si>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</si>
  <si>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</si>
  <si>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</si>
  <si>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</si>
  <si>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</si>
  <si>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</si>
  <si>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</si>
  <si>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</si>
  <si>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</si>
  <si>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</si>
  <si>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</si>
  <si>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</si>
  <si>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</si>
  <si>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</si>
  <si>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</si>
  <si>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</si>
  <si>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</si>
  <si>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</si>
  <si>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</si>
  <si>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</si>
  <si>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</si>
  <si>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</si>
  <si>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</si>
  <si>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</si>
  <si>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</si>
  <si>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</si>
  <si>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</si>
  <si>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</si>
  <si>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</si>
  <si>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</si>
  <si>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</si>
  <si>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</si>
  <si>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</si>
  <si>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</si>
  <si>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</si>
  <si>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</si>
  <si>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</si>
  <si>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</si>
  <si>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</si>
  <si>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</si>
  <si>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</si>
  <si>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</si>
  <si>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</si>
  <si>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</si>
  <si>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</si>
  <si>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</si>
  <si>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</si>
  <si>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</si>
  <si>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</si>
  <si>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</si>
  <si>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</si>
  <si>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</si>
  <si>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</si>
  <si>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</si>
  <si>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</si>
  <si>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</si>
  <si>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</si>
  <si>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</si>
  <si>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</si>
  <si>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</si>
  <si>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</si>
  <si>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</si>
  <si>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</si>
  <si>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</si>
  <si>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</si>
  <si>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</si>
  <si>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</si>
  <si>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</si>
  <si>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</si>
  <si>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</si>
  <si>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</si>
  <si>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</si>
  <si>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</si>
  <si>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</si>
  <si>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</si>
  <si>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</si>
  <si>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</si>
  <si>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</si>
  <si>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</si>
  <si>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</si>
  <si>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</si>
  <si>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</si>
  <si>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</si>
  <si>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</si>
  <si>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</si>
  <si>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</si>
  <si>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</si>
  <si>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</si>
  <si>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</si>
  <si>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</si>
  <si>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</si>
  <si>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</si>
  <si>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</si>
  <si>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</si>
  <si>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</si>
  <si>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</si>
  <si>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</si>
  <si>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</si>
  <si>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</si>
  <si>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</si>
  <si>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</si>
  <si>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</si>
  <si>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</si>
  <si>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</si>
  <si>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</si>
  <si>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</si>
  <si>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</si>
  <si>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</si>
  <si>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</si>
  <si>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</si>
  <si>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</si>
  <si>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</si>
  <si>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</si>
  <si>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</si>
  <si>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</si>
  <si>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</si>
  <si>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</si>
  <si>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</si>
  <si>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</si>
  <si>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</si>
  <si>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</si>
  <si>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</si>
  <si>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</si>
  <si>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</si>
  <si>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</si>
  <si>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</si>
  <si>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</si>
  <si>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</si>
  <si>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</si>
  <si>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</si>
  <si>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</si>
  <si>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</si>
  <si>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</si>
  <si>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</si>
  <si>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</si>
  <si>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</si>
  <si>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</si>
  <si>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</si>
  <si>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</si>
  <si>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</si>
  <si>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</si>
  <si>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</si>
  <si>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</si>
  <si>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</si>
  <si>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</si>
  <si>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</si>
  <si>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</si>
  <si>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</si>
  <si>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</si>
  <si>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</si>
  <si>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</si>
  <si>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</si>
  <si>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</si>
  <si>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</si>
  <si>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</si>
  <si>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</si>
  <si>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</si>
  <si>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</si>
  <si>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</si>
  <si>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</si>
  <si>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</si>
  <si>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</si>
  <si>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</si>
  <si>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</si>
  <si>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</si>
  <si>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</si>
  <si>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</si>
  <si>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</si>
  <si>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</si>
  <si>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</si>
  <si>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</si>
  <si>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</si>
  <si>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</si>
  <si>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</si>
  <si>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</si>
  <si>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</si>
  <si>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</si>
  <si>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</si>
  <si>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</si>
  <si>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</si>
  <si>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</si>
  <si>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</si>
  <si>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</si>
  <si>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</si>
  <si>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</si>
  <si>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</si>
  <si>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</si>
  <si>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</si>
  <si>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</si>
  <si>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</si>
  <si>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</si>
  <si>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</si>
  <si>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</si>
  <si>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</si>
  <si>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</si>
  <si>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</si>
  <si>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</si>
  <si>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</si>
  <si>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</si>
  <si>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</si>
  <si>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</si>
  <si>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</si>
  <si>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</si>
  <si>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</si>
  <si>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</si>
  <si>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</si>
  <si>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</si>
  <si>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</si>
  <si>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</si>
  <si>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</si>
  <si>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</si>
  <si>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</si>
  <si>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</si>
  <si>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</si>
  <si>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</si>
  <si>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</si>
  <si>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</si>
  <si>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</si>
  <si>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</si>
  <si>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</si>
  <si>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</si>
  <si>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</si>
  <si>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</si>
  <si>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</si>
  <si>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</si>
  <si>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</si>
  <si>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</si>
  <si>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</si>
  <si>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</si>
  <si>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</si>
  <si>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</si>
  <si>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</si>
  <si>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</si>
  <si>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</si>
  <si>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</si>
  <si>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</si>
  <si>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</si>
  <si>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</si>
  <si>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</si>
  <si>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</si>
  <si>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</si>
  <si>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</si>
  <si>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</si>
  <si>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</si>
  <si>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</si>
  <si>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</si>
  <si>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</si>
  <si>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</si>
  <si>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</si>
  <si>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</si>
  <si>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</si>
  <si>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</si>
  <si>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</si>
  <si>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</si>
  <si>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</si>
  <si>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</si>
  <si>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</si>
  <si>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</si>
  <si>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</si>
  <si>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</si>
  <si>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</si>
  <si>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</si>
  <si>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</si>
  <si>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</si>
  <si>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</si>
  <si>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</si>
  <si>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</si>
  <si>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</si>
  <si>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</si>
  <si>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</si>
  <si>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</si>
  <si>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</si>
  <si>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</si>
  <si>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</si>
  <si>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</si>
  <si>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</si>
  <si>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</si>
  <si>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</si>
  <si>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</si>
  <si>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</si>
  <si>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</si>
  <si>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</si>
  <si>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</si>
  <si>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</si>
  <si>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</si>
  <si>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</si>
  <si>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</si>
  <si>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</si>
  <si>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</si>
  <si>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</si>
  <si>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</si>
  <si>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</si>
  <si>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</si>
  <si>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</si>
  <si>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</si>
  <si>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</si>
  <si>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</si>
  <si>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</si>
  <si>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</si>
  <si>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</si>
  <si>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</si>
  <si>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</si>
  <si>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</si>
  <si>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</si>
  <si>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</si>
  <si>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</si>
  <si>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</si>
  <si>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</si>
  <si>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</si>
  <si>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</si>
  <si>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</si>
  <si>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</si>
  <si>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</si>
  <si>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</si>
  <si>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</si>
  <si>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</si>
  <si>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</si>
  <si>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</si>
  <si>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</si>
  <si>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</si>
  <si>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</si>
  <si>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</si>
  <si>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</si>
  <si>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</si>
  <si>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</si>
  <si>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</si>
  <si>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</si>
  <si>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</si>
  <si>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</si>
  <si>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</si>
  <si>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</si>
  <si>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</si>
  <si>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</si>
  <si>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</si>
  <si>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</si>
  <si>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</si>
  <si>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</si>
  <si>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</si>
  <si>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</si>
  <si>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</si>
  <si>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</si>
  <si>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</si>
  <si>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</si>
  <si>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</si>
  <si>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</si>
  <si>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</si>
  <si>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</si>
  <si>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</si>
  <si>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</si>
  <si>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</si>
  <si>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</si>
  <si>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</si>
  <si>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</si>
  <si>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</si>
  <si>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</si>
  <si>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</si>
  <si>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</si>
  <si>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</si>
  <si>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</si>
  <si>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</si>
  <si>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</si>
  <si>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</si>
  <si>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</si>
  <si>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</si>
  <si>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</si>
  <si>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</si>
  <si>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</si>
  <si>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</si>
  <si>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</si>
  <si>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</si>
  <si>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</si>
  <si>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</si>
  <si>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</si>
  <si>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</si>
  <si>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</si>
  <si>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</si>
  <si>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</si>
  <si>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</si>
  <si>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</si>
  <si>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</si>
  <si>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</si>
  <si>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</si>
  <si>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</si>
  <si>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</si>
  <si>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</si>
  <si>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</si>
  <si>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</si>
  <si>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</si>
  <si>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</si>
  <si>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</si>
  <si>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</si>
  <si>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</si>
  <si>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</si>
  <si>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</si>
  <si>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</si>
  <si>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</si>
  <si>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</si>
  <si>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</si>
  <si>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</si>
  <si>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</si>
  <si>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</si>
  <si>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</si>
  <si>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</si>
  <si>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</si>
  <si>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</si>
  <si>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</si>
  <si>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</si>
  <si>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</si>
  <si>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</si>
  <si>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</si>
  <si>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</si>
  <si>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</si>
  <si>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</si>
  <si>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</si>
  <si>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</si>
  <si>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</si>
  <si>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</si>
  <si>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</si>
  <si>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</si>
  <si>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</si>
  <si>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</si>
  <si>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</si>
  <si>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</si>
  <si>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</si>
  <si>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</si>
  <si>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</si>
  <si>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</si>
  <si>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</si>
  <si>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</si>
  <si>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</si>
  <si>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</si>
  <si>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</si>
  <si>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</si>
  <si>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</si>
  <si>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</si>
  <si>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</si>
  <si>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</si>
  <si>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</si>
  <si>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</si>
  <si>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</si>
  <si>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</si>
  <si>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</si>
  <si>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</si>
  <si>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</si>
  <si>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</si>
  <si>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</si>
  <si>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</si>
  <si>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</si>
  <si>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</si>
  <si>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</si>
  <si>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</si>
  <si>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</si>
  <si>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</si>
  <si>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</si>
  <si>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</si>
  <si>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</si>
  <si>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</si>
  <si>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</si>
  <si>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</si>
  <si>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</si>
  <si>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</si>
  <si>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</si>
  <si>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</si>
  <si>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</si>
  <si>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</si>
  <si>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</si>
  <si>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</si>
  <si>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</si>
  <si>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</si>
  <si>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</si>
  <si>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</si>
  <si>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</si>
  <si>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</si>
  <si>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</si>
  <si>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</si>
  <si>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</si>
  <si>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</si>
  <si>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</si>
  <si>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</si>
  <si>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</si>
  <si>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</si>
  <si>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</si>
  <si>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</si>
  <si>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</si>
  <si>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</si>
  <si>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</si>
  <si>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</si>
  <si>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</si>
  <si>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</si>
  <si>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</si>
  <si>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</si>
  <si>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</si>
  <si>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</si>
  <si>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</si>
  <si>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</si>
  <si>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</si>
  <si>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</si>
  <si>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</si>
  <si>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</si>
  <si>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</si>
  <si>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</si>
  <si>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</si>
  <si>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</si>
  <si>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</si>
  <si>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</si>
  <si>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</si>
  <si>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</si>
  <si>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</si>
  <si>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</si>
  <si>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</si>
  <si>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</si>
  <si>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</si>
  <si>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</si>
  <si>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</si>
  <si>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</si>
  <si>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</si>
  <si>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</si>
  <si>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</si>
  <si>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</si>
  <si>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</si>
  <si>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</si>
  <si>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</si>
  <si>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</si>
  <si>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</si>
  <si>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</si>
  <si>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</si>
  <si>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</si>
  <si>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</si>
  <si>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</si>
  <si>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</si>
  <si>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</si>
  <si>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</si>
  <si>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</si>
  <si>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</si>
  <si>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</si>
  <si>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</si>
  <si>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</si>
  <si>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</si>
  <si>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</si>
  <si>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</si>
  <si>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</si>
  <si>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</si>
  <si>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</si>
  <si>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</si>
  <si>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</si>
  <si>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</si>
  <si>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</si>
  <si>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</si>
  <si>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</si>
  <si>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</si>
  <si>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</si>
  <si>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</si>
  <si>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</si>
  <si>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</si>
  <si>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</si>
  <si>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</si>
  <si>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</si>
  <si>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</si>
  <si>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</si>
  <si>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</si>
  <si>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</si>
  <si>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</si>
  <si>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</si>
  <si>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</si>
  <si>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</si>
  <si>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</si>
  <si>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</si>
  <si>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</si>
  <si>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</si>
  <si>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</si>
  <si>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</si>
  <si>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</si>
  <si>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</si>
  <si>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</si>
  <si>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</si>
  <si>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</si>
  <si>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</si>
  <si>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</si>
  <si>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</si>
  <si>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</si>
  <si>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</si>
  <si>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</si>
  <si>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</si>
  <si>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</si>
  <si>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</si>
  <si>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</si>
  <si>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</si>
  <si>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</si>
  <si>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</si>
  <si>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</si>
  <si>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</si>
  <si>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</si>
  <si>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</si>
  <si>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</si>
  <si>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</si>
  <si>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</si>
  <si>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</si>
  <si>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</si>
  <si>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</si>
  <si>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</si>
  <si>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</si>
  <si>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</si>
  <si>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</si>
  <si>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</si>
  <si>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</si>
  <si>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</si>
  <si>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</si>
  <si>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</si>
  <si>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</si>
  <si>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</si>
  <si>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</si>
  <si>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</si>
  <si>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</si>
  <si>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</si>
  <si>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</si>
  <si>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</si>
  <si>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</si>
  <si>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</si>
  <si>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</si>
  <si>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</si>
  <si>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</si>
  <si>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</si>
  <si>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</si>
  <si>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</si>
  <si>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</si>
  <si>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</si>
  <si>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</si>
  <si>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</si>
  <si>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</si>
  <si>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</si>
  <si>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</si>
  <si>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</si>
  <si>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</si>
  <si>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</si>
  <si>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</si>
  <si>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</si>
  <si>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</si>
  <si>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</si>
  <si>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</si>
  <si>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</si>
  <si>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</si>
  <si>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</si>
  <si>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</si>
  <si>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</si>
  <si>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</si>
  <si>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</si>
  <si>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</si>
  <si>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</si>
  <si>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</si>
  <si>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</si>
  <si>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</si>
  <si>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</si>
  <si>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</si>
  <si>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</si>
  <si>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</si>
  <si>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</si>
  <si>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</si>
  <si>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</si>
  <si>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</si>
  <si>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</si>
  <si>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</si>
  <si>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</si>
  <si>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</si>
  <si>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</si>
  <si>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</si>
  <si>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</si>
  <si>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</si>
  <si>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</si>
  <si>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</si>
  <si>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</si>
  <si>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</si>
  <si>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</si>
  <si>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</si>
  <si>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</si>
  <si>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</si>
  <si>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</si>
  <si>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</si>
  <si>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</si>
  <si>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</si>
  <si>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</si>
  <si>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</si>
  <si>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</si>
  <si>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</si>
  <si>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</si>
  <si>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</si>
  <si>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</si>
  <si>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</si>
  <si>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</si>
  <si>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</si>
  <si>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</si>
  <si>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</si>
  <si>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</si>
  <si>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</si>
  <si>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</si>
  <si>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</si>
  <si>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</si>
  <si>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</si>
  <si>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</si>
  <si>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</si>
  <si>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</si>
  <si>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</si>
  <si>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</si>
  <si>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</si>
  <si>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</si>
  <si>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</si>
  <si>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</si>
  <si>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</si>
  <si>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</si>
  <si>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</si>
  <si>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</si>
  <si>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</si>
  <si>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</si>
  <si>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</si>
  <si>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</si>
  <si>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</si>
  <si>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</si>
  <si>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</si>
  <si>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</si>
  <si>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</si>
  <si>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</si>
  <si>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</si>
  <si>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</si>
  <si>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</si>
  <si>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</si>
  <si>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</si>
  <si>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</si>
  <si>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</si>
  <si>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</si>
  <si>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</si>
  <si>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</si>
  <si>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</si>
  <si>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</si>
  <si>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</si>
  <si>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</si>
  <si>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</si>
  <si>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</si>
  <si>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</si>
  <si>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</si>
  <si>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</si>
  <si>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</si>
  <si>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</si>
  <si>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</si>
  <si>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</si>
  <si>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</si>
  <si>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</si>
  <si>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</si>
  <si>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</si>
  <si>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</si>
  <si>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</si>
  <si>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</si>
  <si>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</si>
  <si>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</si>
  <si>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</si>
  <si>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</si>
  <si>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</si>
  <si>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</si>
  <si>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</si>
  <si>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</si>
  <si>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</si>
  <si>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</si>
  <si>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</si>
  <si>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</si>
  <si>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</si>
  <si>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</si>
  <si>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</si>
  <si>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</si>
  <si>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</si>
  <si>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</si>
  <si>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</si>
  <si>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</si>
  <si>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</si>
  <si>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</si>
  <si>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</si>
  <si>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</si>
  <si>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</si>
  <si>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</si>
  <si>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</si>
  <si>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</si>
  <si>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</si>
  <si>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</si>
  <si>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</si>
  <si>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</si>
  <si>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</si>
  <si>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</si>
  <si>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</si>
  <si>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</si>
  <si>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</si>
  <si>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</si>
  <si>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</si>
  <si>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</si>
  <si>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</si>
  <si>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</si>
  <si>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</si>
  <si>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</si>
  <si>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</si>
  <si>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</si>
  <si>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</si>
  <si>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</si>
  <si>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</si>
  <si>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</si>
  <si>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</si>
  <si>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</si>
  <si>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</si>
  <si>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</si>
  <si>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</si>
  <si>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</si>
  <si>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</si>
  <si>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</si>
  <si>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</si>
  <si>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</si>
  <si>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</si>
  <si>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</si>
  <si>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</si>
  <si>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</si>
  <si>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</si>
  <si>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</si>
  <si>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</si>
  <si>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</si>
  <si>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</si>
  <si>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</si>
  <si>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</si>
  <si>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</si>
  <si>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</si>
  <si>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</si>
  <si>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</si>
  <si>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</si>
  <si>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</si>
  <si>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</si>
  <si>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</si>
  <si>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</si>
  <si>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</si>
  <si>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</si>
  <si>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</si>
  <si>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</si>
  <si>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</si>
  <si>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</si>
  <si>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</si>
  <si>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</si>
  <si>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</si>
  <si>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</si>
  <si>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</si>
  <si>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</si>
  <si>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</si>
  <si>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</si>
  <si>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</si>
  <si>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</si>
  <si>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</si>
  <si>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</si>
  <si>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</si>
  <si>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</si>
  <si>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</si>
  <si>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</si>
  <si>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</si>
  <si>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</si>
  <si>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</si>
  <si>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</si>
  <si>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</si>
  <si>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</si>
  <si>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</si>
  <si>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</si>
  <si>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</si>
  <si>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</si>
  <si>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</si>
  <si>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</si>
  <si>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</si>
  <si>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</si>
  <si>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</si>
  <si>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</si>
  <si>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</si>
  <si>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</si>
  <si>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</si>
  <si>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</si>
  <si>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</si>
  <si>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</si>
  <si>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</si>
  <si>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</si>
  <si>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</si>
  <si>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</si>
  <si>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</si>
  <si>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</si>
  <si>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</si>
  <si>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</si>
  <si>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</si>
  <si>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</si>
  <si>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</si>
  <si>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</si>
  <si>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</si>
  <si>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</si>
  <si>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</si>
  <si>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</si>
  <si>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</si>
  <si>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</si>
  <si>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</si>
  <si>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</si>
  <si>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</si>
  <si>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</si>
  <si>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</si>
  <si>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</si>
  <si>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</si>
  <si>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</si>
  <si>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</si>
  <si>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</si>
  <si>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</si>
  <si>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</si>
  <si>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</si>
  <si>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</si>
  <si>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</si>
  <si>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</si>
  <si>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</si>
  <si>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</si>
  <si>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</si>
  <si>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</si>
  <si>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</si>
  <si>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</si>
  <si>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</si>
  <si>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</si>
  <si>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</si>
  <si>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</si>
  <si>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</si>
  <si>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</si>
  <si>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</si>
  <si>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</si>
  <si>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</si>
  <si>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</si>
  <si>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</si>
  <si>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</si>
  <si>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</si>
  <si>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</si>
  <si>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</si>
  <si>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</si>
  <si>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</si>
  <si>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</si>
  <si>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</si>
  <si>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</si>
  <si>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</si>
  <si>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</si>
  <si>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</si>
  <si>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</si>
  <si>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</si>
  <si>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</si>
  <si>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</si>
  <si>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</si>
  <si>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</si>
  <si>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</si>
  <si>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</si>
  <si>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</si>
  <si>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</si>
  <si>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</si>
  <si>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</si>
  <si>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</si>
  <si>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</si>
  <si>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</si>
  <si>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</si>
  <si>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</si>
  <si>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</si>
  <si>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</si>
  <si>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</si>
  <si>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</si>
  <si>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</si>
  <si>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</si>
  <si>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</si>
  <si>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</si>
  <si>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</si>
  <si>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</si>
  <si>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</si>
  <si>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</si>
  <si>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</si>
  <si>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</si>
  <si>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</si>
  <si>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</si>
  <si>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</si>
  <si>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</si>
  <si>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</si>
  <si>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</si>
  <si>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</si>
  <si>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</si>
  <si>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</si>
  <si>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</si>
  <si>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</si>
  <si>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</si>
  <si>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</si>
  <si>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</si>
  <si>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</si>
  <si>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</si>
  <si>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</si>
  <si>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</si>
  <si>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</si>
  <si>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</si>
  <si>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</si>
  <si>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</si>
  <si>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</si>
  <si>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</si>
  <si>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</si>
  <si>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</si>
  <si>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</si>
  <si>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</si>
  <si>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</si>
  <si>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</si>
  <si>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</si>
  <si>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</si>
  <si>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</si>
  <si>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</si>
  <si>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</si>
  <si>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</si>
  <si>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</si>
  <si>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</si>
  <si>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</si>
  <si>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</si>
  <si>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</si>
  <si>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</si>
  <si>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</si>
  <si>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</si>
  <si>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</si>
  <si>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</si>
  <si>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</si>
  <si>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</si>
  <si>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</si>
  <si>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</si>
  <si>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</si>
  <si>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</si>
  <si>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</si>
  <si>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</si>
  <si>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</si>
  <si>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</si>
  <si>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</si>
  <si>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</si>
  <si>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</si>
  <si>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</si>
  <si>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</si>
  <si>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</si>
  <si>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</si>
  <si>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</si>
  <si>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</si>
  <si>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</si>
  <si>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</si>
  <si>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</si>
  <si>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</si>
  <si>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</si>
  <si>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</si>
  <si>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</si>
  <si>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</si>
  <si>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</si>
  <si>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</si>
  <si>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</si>
  <si>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</si>
  <si>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</si>
  <si>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</si>
  <si>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</si>
  <si>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</si>
  <si>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</si>
  <si>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</si>
  <si>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</si>
  <si>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</si>
  <si>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</si>
  <si>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</si>
  <si>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</si>
  <si>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</si>
  <si>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</si>
  <si>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</si>
  <si>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</si>
  <si>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</si>
  <si>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</si>
  <si>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</si>
  <si>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Sterling Community Unit School District No. 5</t>
  </si>
  <si>
    <t>Bi-County Special Education Cooperative</t>
  </si>
  <si>
    <t>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</si>
  <si>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The treasurer of the District is also employed by the District as Director of Fiscal Management and Personnel.</t>
  </si>
  <si>
    <t>All District accounting and financial records are primarily maintained by two individuals.</t>
  </si>
  <si>
    <t>Certain individuals have the ability to complete and record accounting functions which ideally would be segregated.</t>
  </si>
  <si>
    <t>The District is a small governmental entity which makes segregation of duties difficult.</t>
  </si>
  <si>
    <t>Segregation of duties is normally difficult to accomplish within a small governmental entity.  Management should be ever mindful of areas that could be improved including, but not limited to, hiring additional personnel.</t>
  </si>
  <si>
    <t xml:space="preserve">The District will take the auditor's recommendations under consideration. </t>
  </si>
  <si>
    <t>In accordance with prescribed definitions in AU-C 265, it is a strong indication of a material weakness in internal control if an entity lacks sufficient controls over the period-end financial reporting process.  The standard provides guidance regarding the extent to which the auditor may be involved in drafting an entity's financial statements.</t>
  </si>
  <si>
    <t>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</si>
  <si>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</si>
  <si>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t>
  </si>
  <si>
    <t>The District should review the additional cost it would incur to prepare the financial statements internally with the corresponding reduction of risk associated with material misstatement of the District's financial statements.</t>
  </si>
  <si>
    <t>In accordance with prescribed definitions in AU-C 265, it is a strong indication of  a material weakness in internal control if an entity lacks sufficient controls over a significant account or process. The District had not reconciled the accounting records to supporting documents on a timely basis.</t>
  </si>
  <si>
    <t>The District's bank account was not reconciled to the accounting records on a monthly basis.</t>
  </si>
  <si>
    <t>The District accounting records (cash accounts) were not reconciled to the financial institution's records (bank statements) on a timely basis.</t>
  </si>
  <si>
    <t>Loans under 105 ILCS 5/10-22.33 are to be approved by the school board prior to the funds being transferred.</t>
  </si>
  <si>
    <t>The Capital Projects Fund has carried a negative cash balance throughout the year. This negative balance was in a common checking account and covered by available monies in other funds. This loan was not authorized with a motion by the board of education.</t>
  </si>
  <si>
    <t>The District made loans to the Capital Projects Fund which were not formally approved by the Board of Education.</t>
  </si>
  <si>
    <t>The negative cash balances created inter-fund loans to the Capital Projects Fund which the board of education did not formally approve.</t>
  </si>
  <si>
    <t>The cash balances of the Capital Projects Fund were allowed to carry a negative balance during the year.</t>
  </si>
  <si>
    <t>The District should monitor the cash balances and make interfund loans, transfers or accounting corrections when needed.</t>
  </si>
  <si>
    <t>The District will monitor cash balances and make any required correcting accounting entries.  If required the board of education will approve interfund loans or transfers as needed.</t>
  </si>
  <si>
    <t xml:space="preserve">The District incurred and paid for expenditures in excess of the approved budget. </t>
  </si>
  <si>
    <t>Expenditures and/or transfers exceeded amounts budgeted for the following funds:</t>
  </si>
  <si>
    <t>Actual Expenditures</t>
  </si>
  <si>
    <t xml:space="preserve">Educational </t>
  </si>
  <si>
    <t>IMRF</t>
  </si>
  <si>
    <t xml:space="preserve">Working Cash </t>
  </si>
  <si>
    <t>Fire Safety</t>
  </si>
  <si>
    <t xml:space="preserve">105 ILCS 5/8-2 Bond of Treasurer requires that every school treasurer post a surety bond "before entering upon his/her duties". The bond must provide a penalty of 25% of "all bonds, notes, mortgage, moneys, and effects of which the treasurer has custody at any time". The bond must be approved by the governing school board and filed with the regional superintendent of schools. </t>
  </si>
  <si>
    <t>The District has implemented the auditor's recommendation.</t>
  </si>
  <si>
    <t>2017-001</t>
  </si>
  <si>
    <t>Lack of segregation of duties</t>
  </si>
  <si>
    <t>Unresolved - See Finding 2018-001</t>
  </si>
  <si>
    <t>2017-002</t>
  </si>
  <si>
    <t>Lack of expertise to prepare financial statements</t>
  </si>
  <si>
    <t>2017-003</t>
  </si>
  <si>
    <t>Failure to consistently reconcile bank accounts</t>
  </si>
  <si>
    <t>2017-004</t>
  </si>
  <si>
    <t xml:space="preserve">Unauthorized loans between funds </t>
  </si>
  <si>
    <t>Unresolved - See Finding 2018-004</t>
  </si>
  <si>
    <t>2017-006</t>
  </si>
  <si>
    <t>2017-005</t>
  </si>
  <si>
    <t>Failure to file payroll tax returns and pension reports</t>
  </si>
  <si>
    <t xml:space="preserve">Resolved </t>
  </si>
  <si>
    <t>Expenditures and transfers in excess of budget</t>
  </si>
  <si>
    <t>Unresolved - See Finding 2018-005</t>
  </si>
  <si>
    <t>2017-007</t>
  </si>
  <si>
    <t>Benefits recorded in functions without salaries</t>
  </si>
  <si>
    <t>2017-008</t>
  </si>
  <si>
    <t>Failure to hold Truth in Taxation hearing</t>
  </si>
  <si>
    <t>2017-009</t>
  </si>
  <si>
    <t>Failure to update Treasurer's Bond coverage</t>
  </si>
  <si>
    <t>Unresolved - See Finding 2018-006</t>
  </si>
  <si>
    <t>The District's cash balances were not reconciled to monthly bank statements on a timely basis. The Board of Education and management are making financial decisions based on inaccurate information.</t>
  </si>
  <si>
    <t xml:space="preserve">The District did not reconcile the bank account from July 2017 through April 2018 in a timely mannner. After April 2018, the bank account was reconciled retroactively once there was a turnover of bookkeeping staff. </t>
  </si>
  <si>
    <t>The District's cash balances should be reconciled to the bank statements on a monthly basis.  Any discrepancies should be identified and any resulting entry to the accounting records should be entered on a timely basis.</t>
  </si>
  <si>
    <t>The District will review the procedures for reconciling the accounting records for cash to the monthly bank statements on a monthly basis.</t>
  </si>
  <si>
    <t>Partially Resolved - See Finding 2018-002</t>
  </si>
  <si>
    <t>643 Genesee Avenue</t>
  </si>
  <si>
    <t>Morrison</t>
  </si>
  <si>
    <t>scott.vance@morrisonschools.org</t>
  </si>
  <si>
    <t>Whiteside</t>
  </si>
  <si>
    <t>Scott Vance</t>
  </si>
  <si>
    <t>815-772-2064</t>
  </si>
  <si>
    <t>815-772-3152</t>
  </si>
  <si>
    <t>61270-2999</t>
  </si>
  <si>
    <t>Russell J. Rumbold II, CPA</t>
  </si>
  <si>
    <t>rrumbold@gorenzcpa.com</t>
  </si>
  <si>
    <t>Adverse due to the use of the Regulatory Basis of Accounting.</t>
  </si>
  <si>
    <t>General Obligation Working Cash Bonds, Series 2010</t>
  </si>
  <si>
    <t>General Obligation Working Cash/Refunding Bonds 2013</t>
  </si>
  <si>
    <t>1&amp;3</t>
  </si>
  <si>
    <t>General Obligation Working Cash Bonds, Series 2017A</t>
  </si>
  <si>
    <t>General Obligation Working Cash Bonds, Series 2017B</t>
  </si>
  <si>
    <t>Pupil Transportation - Trans Fund - Purchased Services</t>
  </si>
  <si>
    <t>40-2550-300</t>
  </si>
  <si>
    <t>RC Smith Transportation</t>
  </si>
  <si>
    <t>Page 9, Line 17 - Waste Management Settlement</t>
  </si>
  <si>
    <t>Page 10, Line 74 - RevTrak and Schwann Revenue</t>
  </si>
  <si>
    <t>Page 10, Line 81 - Extra Curricular Participation Fee, Chromebook Insurance, and Music Cleaning Fees</t>
  </si>
  <si>
    <t xml:space="preserve">Page 11, Line 107 - </t>
  </si>
  <si>
    <t>Education - Booster Reimbursements, Retiree Insurance Reimbursements</t>
  </si>
  <si>
    <t>Operations and Maintenance - Stop Pay Reimbursement</t>
  </si>
  <si>
    <t>Debt Services - Bond Contingency Funds</t>
  </si>
  <si>
    <t>Page 11, Line 139 - Career Grant and Forwarding Fund</t>
  </si>
  <si>
    <t>Page 12, Line 171 - Back to Books Grant</t>
  </si>
  <si>
    <t>Page 15, Line 41 - Study Hall Supervisor</t>
  </si>
  <si>
    <t>Page 18, Line 171 - 2013 Bond Paying Agent Fee, Service Charge</t>
  </si>
  <si>
    <t>Page 19, Line 237 - Study Hall Supervisor</t>
  </si>
  <si>
    <t>Page 24, Line 32 and 34 - Issued $305,000 in Bonds to Refund $280,000 of the 2013 Bond Issuance.</t>
  </si>
  <si>
    <t>The Remaining $25,000 is Interest and Issuance Costs</t>
  </si>
  <si>
    <t>Transportation - Cheer Transportation Reimbuse Fuel</t>
  </si>
  <si>
    <t>066-005027</t>
  </si>
  <si>
    <t xml:space="preserve">
Part A - 2 - See Finding 2018-006
Part A - 9 - See Finding 2018-004
Part C - 20 - See Findings 2018-001, 2018-002, 2018-003, 2018-005</t>
  </si>
  <si>
    <t xml:space="preserve">The District has historically not retained an individual to specifically monitor standards promulgated by the American Institute of Certified Public Accountants as they relate to full disclosure financial reporting.  The District did hire a new bookkeeper during the year with the skills and expertise to review the financial statements. </t>
  </si>
  <si>
    <t>The District has hired a new individual they believe to be qualified in reviewing the District's financial statements. Management will review, approve, and take responsibility for the financial statements.</t>
  </si>
  <si>
    <t>The approved budget did not defray all necessary expenses and liabilities of the district.</t>
  </si>
  <si>
    <t xml:space="preserve">Actual expenditures exceeded amounts  budgeted. </t>
  </si>
  <si>
    <t>In the future the Board of Education and management should review actual versus budgeted expenditures comparisons on a monthly basis.  The Board of Education should consider adopting amended budgets when necessary.</t>
  </si>
  <si>
    <t>The District will take the auditor's recommendation for consideration.</t>
  </si>
  <si>
    <t>The Illinois Compiled Statutes, Chapter 105, Section 5, Paragraph 17-1, contains the budgetary requirements for Illinois School Districts.  These statutes required a district to  adopted an annual balanced budget  which it deems necessary to defray all necessary expense and liabilities of the district.</t>
  </si>
  <si>
    <t xml:space="preserve">The District should contact the insurance company and update the person covered by the treasurer's bond. </t>
  </si>
  <si>
    <t>During a portion of and at the end of the fiscal year the individual insured by the treasurer's bond was not the current treasurer.</t>
  </si>
  <si>
    <t>For a portion of the year ended June 30, 2018 the treasurer was not covered by a treasurer's bond.</t>
  </si>
  <si>
    <t xml:space="preserve">During the ended June 30, 2018 the board appointed a new treasurer.  The individual insured by the treasurers bond did not reflect this change. </t>
  </si>
  <si>
    <t>Due to an oversight the individual insured by the treasurer's bond was not changed when a new treasurer was appointed by the Board of Education.</t>
  </si>
  <si>
    <t>Partially Resolved - See Finding 2018-003</t>
  </si>
  <si>
    <t>see embedded PDF version</t>
  </si>
  <si>
    <t>Morrison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</si>
</sst>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1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8" fillId="0" borderId="0" xfId="3" applyFont="1" applyAlignment="1" applyProtection="1">
      <alignment vertical="top"/>
      <protection locked="0"/>
    </xf>
    <xf numFmtId="0" fontId="8" fillId="0" borderId="0" xfId="3" quotePrefix="1" applyFont="1" applyBorder="1" applyAlignment="1" applyProtection="1">
      <alignment horizontal="left"/>
    </xf>
    <xf numFmtId="0" fontId="8" fillId="0" borderId="0" xfId="3" applyFont="1" applyBorder="1" applyProtection="1"/>
    <xf numFmtId="0" fontId="8" fillId="0" borderId="0" xfId="3" applyFont="1" applyBorder="1" applyAlignment="1" applyProtection="1">
      <alignment horizontal="center"/>
    </xf>
    <xf numFmtId="181" fontId="8" fillId="0" borderId="0" xfId="1" applyNumberFormat="1" applyFont="1" applyBorder="1" applyProtection="1"/>
    <xf numFmtId="181" fontId="8" fillId="0" borderId="0" xfId="1" applyNumberFormat="1" applyFont="1" applyAlignment="1" applyProtection="1">
      <alignment vertical="top"/>
      <protection locked="0"/>
    </xf>
    <xf numFmtId="42" fontId="8" fillId="0" borderId="0" xfId="19" applyNumberFormat="1" applyFont="1" applyBorder="1" applyAlignment="1" applyProtection="1">
      <alignment horizontal="center"/>
    </xf>
    <xf numFmtId="182" fontId="8" fillId="0" borderId="0" xfId="19" applyNumberFormat="1" applyFont="1" applyBorder="1" applyProtection="1"/>
    <xf numFmtId="181" fontId="8" fillId="0" borderId="0" xfId="1" applyNumberFormat="1" applyFont="1" applyBorder="1" applyAlignment="1" applyProtection="1">
      <alignment horizontal="center"/>
    </xf>
    <xf numFmtId="181" fontId="8" fillId="0" borderId="0" xfId="1" applyNumberFormat="1" applyFont="1" applyAlignment="1" applyProtection="1">
      <alignment horizontal="center" vertical="top"/>
      <protection locked="0"/>
    </xf>
    <xf numFmtId="0" fontId="34" fillId="0" borderId="0" xfId="3" applyFont="1" applyBorder="1" applyAlignment="1" applyProtection="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4" t="s">
        <v>425</v>
      </c>
      <c r="J1" s="2045"/>
      <c r="K1" s="2045"/>
      <c r="L1" s="2045"/>
      <c r="M1" s="2045"/>
      <c r="N1" s="2045"/>
      <c r="O1" s="2045"/>
      <c r="P1" s="2045"/>
      <c r="Q1" s="2045"/>
      <c r="R1" s="2045"/>
      <c r="S1" s="2045"/>
    </row>
    <row r="2" spans="1:28" ht="12" customHeight="1" x14ac:dyDescent="0.2">
      <c r="A2" s="47" t="s">
        <v>1684</v>
      </c>
      <c r="D2" s="48"/>
      <c r="I2" s="2046" t="s">
        <v>1036</v>
      </c>
      <c r="J2" s="2045"/>
      <c r="K2" s="2045"/>
      <c r="L2" s="2045"/>
      <c r="M2" s="2045"/>
      <c r="N2" s="2045"/>
      <c r="O2" s="2045"/>
      <c r="P2" s="2045"/>
      <c r="Q2" s="2045"/>
      <c r="R2" s="2045"/>
      <c r="S2" s="2045"/>
    </row>
    <row r="3" spans="1:28" ht="12" customHeight="1" x14ac:dyDescent="0.2">
      <c r="A3" s="155" t="s">
        <v>1685</v>
      </c>
      <c r="B3" s="156"/>
      <c r="C3" s="156"/>
      <c r="D3" s="157"/>
      <c r="I3" s="2046" t="s">
        <v>54</v>
      </c>
      <c r="J3" s="2045"/>
      <c r="K3" s="2045"/>
      <c r="L3" s="2045"/>
      <c r="M3" s="2045"/>
      <c r="N3" s="2045"/>
      <c r="O3" s="2045"/>
      <c r="P3" s="2045"/>
      <c r="Q3" s="2045"/>
      <c r="R3" s="2045"/>
      <c r="S3" s="2045"/>
    </row>
    <row r="4" spans="1:28" ht="12" customHeight="1" x14ac:dyDescent="0.2">
      <c r="A4" s="37"/>
      <c r="I4" s="2046" t="s">
        <v>545</v>
      </c>
      <c r="J4" s="2045"/>
      <c r="K4" s="2045"/>
      <c r="L4" s="2045"/>
      <c r="M4" s="2045"/>
      <c r="N4" s="2045"/>
      <c r="O4" s="2045"/>
      <c r="P4" s="2045"/>
      <c r="Q4" s="2045"/>
      <c r="R4" s="2045"/>
      <c r="S4" s="2045"/>
    </row>
    <row r="5" spans="1:28" ht="14.1" customHeight="1" x14ac:dyDescent="0.2">
      <c r="B5" s="104" t="s">
        <v>2076</v>
      </c>
      <c r="C5" s="26" t="s">
        <v>966</v>
      </c>
      <c r="D5" s="84"/>
      <c r="E5" s="84"/>
      <c r="H5" s="38"/>
      <c r="I5" s="2053" t="s">
        <v>701</v>
      </c>
      <c r="J5" s="1998"/>
      <c r="K5" s="1998"/>
      <c r="L5" s="1998"/>
      <c r="M5" s="1998"/>
      <c r="N5" s="1998"/>
      <c r="O5" s="1998"/>
      <c r="P5" s="1998"/>
      <c r="Q5" s="1998"/>
      <c r="R5" s="1998"/>
      <c r="S5" s="1998"/>
    </row>
    <row r="6" spans="1:28" ht="14.1" customHeight="1" x14ac:dyDescent="0.2">
      <c r="B6" s="104"/>
      <c r="C6" s="26" t="s">
        <v>967</v>
      </c>
      <c r="D6" s="84"/>
      <c r="E6" s="84"/>
      <c r="I6" s="2052" t="s">
        <v>938</v>
      </c>
      <c r="J6" s="1998"/>
      <c r="K6" s="1998"/>
      <c r="L6" s="1998"/>
      <c r="M6" s="1998"/>
      <c r="N6" s="1998"/>
      <c r="O6" s="1998"/>
      <c r="P6" s="1998"/>
      <c r="Q6" s="1998"/>
      <c r="R6" s="1998"/>
      <c r="S6" s="1998"/>
    </row>
    <row r="7" spans="1:28" ht="12.2" customHeight="1" x14ac:dyDescent="0.2">
      <c r="I7" s="2047">
        <v>43281</v>
      </c>
      <c r="J7" s="2048"/>
      <c r="K7" s="2048"/>
      <c r="L7" s="2048"/>
      <c r="M7" s="2048"/>
      <c r="N7" s="2048"/>
      <c r="O7" s="2048"/>
      <c r="P7" s="2048"/>
      <c r="Q7" s="2048"/>
      <c r="R7" s="2048"/>
      <c r="S7" s="204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9" t="s">
        <v>695</v>
      </c>
      <c r="J9" s="2050"/>
      <c r="K9" s="2050"/>
      <c r="L9" s="2050"/>
      <c r="M9" s="2050"/>
      <c r="N9" s="2050"/>
      <c r="O9" s="2050"/>
      <c r="P9" s="2050"/>
      <c r="Q9" s="2050"/>
      <c r="R9" s="2050"/>
      <c r="S9" s="2051"/>
      <c r="T9" s="1994" t="s">
        <v>554</v>
      </c>
      <c r="U9" s="1995"/>
      <c r="V9" s="1995"/>
      <c r="W9" s="1995"/>
      <c r="X9" s="1995"/>
      <c r="Y9" s="1995"/>
      <c r="Z9" s="1995"/>
      <c r="AA9" s="1996"/>
    </row>
    <row r="10" spans="1:28" ht="13.5" customHeight="1" x14ac:dyDescent="0.2">
      <c r="A10" s="2003" t="s">
        <v>696</v>
      </c>
      <c r="B10" s="2004"/>
      <c r="C10" s="2004"/>
      <c r="D10" s="2004"/>
      <c r="E10" s="2004"/>
      <c r="F10" s="2004"/>
      <c r="G10" s="2004"/>
      <c r="H10" s="2005"/>
      <c r="I10" s="29"/>
      <c r="J10" s="30"/>
      <c r="K10" s="28"/>
      <c r="R10" s="30"/>
      <c r="S10" s="30"/>
      <c r="T10" s="1997"/>
      <c r="U10" s="1998"/>
      <c r="V10" s="1998"/>
      <c r="W10" s="1998"/>
      <c r="X10" s="1998"/>
      <c r="Y10" s="1998"/>
      <c r="Z10" s="1998"/>
      <c r="AA10" s="1999"/>
    </row>
    <row r="11" spans="1:28" ht="14.25" customHeight="1" x14ac:dyDescent="0.2">
      <c r="A11" s="2006" t="s">
        <v>1012</v>
      </c>
      <c r="B11" s="2007"/>
      <c r="C11" s="2007"/>
      <c r="D11" s="2007"/>
      <c r="E11" s="2007"/>
      <c r="F11" s="2007"/>
      <c r="G11" s="2007"/>
      <c r="H11" s="2008"/>
      <c r="I11" s="27"/>
      <c r="J11" s="74"/>
      <c r="K11" s="27"/>
      <c r="O11" s="148" t="s">
        <v>2076</v>
      </c>
      <c r="P11" s="100" t="s">
        <v>210</v>
      </c>
      <c r="Q11" s="30"/>
      <c r="R11" s="28"/>
      <c r="S11" s="27"/>
      <c r="T11" s="2000"/>
      <c r="U11" s="2001"/>
      <c r="V11" s="2001"/>
      <c r="W11" s="2001"/>
      <c r="X11" s="2001"/>
      <c r="Y11" s="2001"/>
      <c r="Z11" s="2001"/>
      <c r="AA11" s="200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4">
        <v>47098006026</v>
      </c>
      <c r="B13" s="2015"/>
      <c r="C13" s="2015"/>
      <c r="D13" s="2015"/>
      <c r="E13" s="2015"/>
      <c r="F13" s="2015"/>
      <c r="G13" s="2015"/>
      <c r="H13" s="2016"/>
      <c r="I13" s="31"/>
      <c r="J13" s="30"/>
      <c r="K13" s="28"/>
      <c r="L13" s="30"/>
      <c r="M13" s="30"/>
      <c r="N13" s="30"/>
      <c r="O13" s="30"/>
      <c r="P13" s="30"/>
      <c r="Q13" s="30"/>
      <c r="R13" s="30"/>
      <c r="S13" s="30"/>
      <c r="T13" s="2019" t="s">
        <v>2077</v>
      </c>
      <c r="U13" s="2020"/>
      <c r="V13" s="2020"/>
      <c r="W13" s="2020"/>
      <c r="X13" s="2020"/>
      <c r="Y13" s="2021"/>
      <c r="Z13" s="2021"/>
      <c r="AA13" s="202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2" t="s">
        <v>2150</v>
      </c>
      <c r="B15" s="2017"/>
      <c r="C15" s="2017"/>
      <c r="D15" s="2017"/>
      <c r="E15" s="2017"/>
      <c r="F15" s="2017"/>
      <c r="G15" s="2017"/>
      <c r="H15" s="2018"/>
      <c r="T15" s="1980" t="s">
        <v>2155</v>
      </c>
      <c r="U15" s="1981"/>
      <c r="V15" s="1981"/>
      <c r="W15" s="1981"/>
      <c r="X15" s="1981"/>
      <c r="Y15" s="2023"/>
      <c r="Z15" s="2023"/>
      <c r="AA15" s="202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2" t="s">
        <v>2197</v>
      </c>
      <c r="B17" s="2042"/>
      <c r="C17" s="2042"/>
      <c r="D17" s="2042"/>
      <c r="E17" s="2042"/>
      <c r="F17" s="2042"/>
      <c r="G17" s="2042"/>
      <c r="H17" s="2043"/>
      <c r="T17" s="2029" t="s">
        <v>2078</v>
      </c>
      <c r="U17" s="2030"/>
      <c r="V17" s="2030"/>
      <c r="W17" s="2030"/>
      <c r="X17" s="2030"/>
      <c r="Y17" s="2030"/>
      <c r="Z17" s="2030"/>
      <c r="AA17" s="2031"/>
    </row>
    <row r="18" spans="1:27" ht="13.5" customHeight="1" x14ac:dyDescent="0.2">
      <c r="A18" s="85" t="s">
        <v>551</v>
      </c>
      <c r="B18" s="76"/>
      <c r="C18" s="72"/>
      <c r="D18" s="76"/>
      <c r="E18" s="76"/>
      <c r="F18" s="76"/>
      <c r="G18" s="76"/>
      <c r="H18" s="56"/>
      <c r="I18" s="2039" t="s">
        <v>697</v>
      </c>
      <c r="J18" s="2040"/>
      <c r="K18" s="2040"/>
      <c r="L18" s="2040"/>
      <c r="M18" s="2040"/>
      <c r="N18" s="2040"/>
      <c r="O18" s="2040"/>
      <c r="P18" s="2040"/>
      <c r="Q18" s="2040"/>
      <c r="R18" s="2040"/>
      <c r="S18" s="2041"/>
      <c r="T18" s="85" t="s">
        <v>735</v>
      </c>
      <c r="U18" s="51"/>
      <c r="V18" s="72"/>
      <c r="W18" s="50"/>
      <c r="X18" s="85" t="s">
        <v>284</v>
      </c>
      <c r="Y18" s="81"/>
      <c r="Z18" s="159" t="s">
        <v>698</v>
      </c>
      <c r="AA18" s="46"/>
    </row>
    <row r="19" spans="1:27" ht="13.5" customHeight="1" x14ac:dyDescent="0.2">
      <c r="A19" s="2012" t="s">
        <v>2147</v>
      </c>
      <c r="B19" s="2013"/>
      <c r="C19" s="2013"/>
      <c r="D19" s="2013"/>
      <c r="E19" s="2013"/>
      <c r="F19" s="2013"/>
      <c r="G19" s="2013"/>
      <c r="H19" s="2011"/>
      <c r="I19" s="30"/>
      <c r="J19" s="99"/>
      <c r="K19" s="40"/>
      <c r="L19" s="38"/>
      <c r="M19" s="112" t="s">
        <v>333</v>
      </c>
      <c r="P19" s="27"/>
      <c r="Q19" s="27"/>
      <c r="R19" s="27"/>
      <c r="S19" s="31"/>
      <c r="T19" s="2012" t="s">
        <v>2079</v>
      </c>
      <c r="U19" s="2010"/>
      <c r="V19" s="2010"/>
      <c r="W19" s="2011"/>
      <c r="X19" s="2027" t="s">
        <v>2080</v>
      </c>
      <c r="Y19" s="2028"/>
      <c r="Z19" s="2025">
        <v>61614</v>
      </c>
      <c r="AA19" s="202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9" t="s">
        <v>2148</v>
      </c>
      <c r="B21" s="2010"/>
      <c r="C21" s="2010"/>
      <c r="D21" s="2010"/>
      <c r="E21" s="2010"/>
      <c r="F21" s="2010"/>
      <c r="G21" s="2010"/>
      <c r="H21" s="2011"/>
      <c r="I21" s="2035" t="s">
        <v>699</v>
      </c>
      <c r="J21" s="1998"/>
      <c r="K21" s="1998"/>
      <c r="L21" s="1998"/>
      <c r="M21" s="1998"/>
      <c r="N21" s="1998"/>
      <c r="O21" s="1998"/>
      <c r="P21" s="1998"/>
      <c r="Q21" s="1998"/>
      <c r="R21" s="1998"/>
      <c r="S21" s="1999"/>
      <c r="T21" s="1977" t="s">
        <v>2081</v>
      </c>
      <c r="U21" s="1978"/>
      <c r="V21" s="1978"/>
      <c r="W21" s="1978"/>
      <c r="X21" s="1991" t="s">
        <v>2082</v>
      </c>
      <c r="Y21" s="1992"/>
      <c r="Z21" s="1992"/>
      <c r="AA21" s="1993"/>
    </row>
    <row r="22" spans="1:27" ht="13.5" customHeight="1" x14ac:dyDescent="0.2">
      <c r="A22" s="87" t="s">
        <v>552</v>
      </c>
      <c r="B22" s="59"/>
      <c r="C22" s="59"/>
      <c r="D22" s="59"/>
      <c r="E22" s="59"/>
      <c r="F22" s="59"/>
      <c r="G22" s="59"/>
      <c r="H22" s="60"/>
      <c r="I22" s="2036" t="s">
        <v>1504</v>
      </c>
      <c r="J22" s="2037"/>
      <c r="K22" s="2037"/>
      <c r="L22" s="2037"/>
      <c r="M22" s="2037"/>
      <c r="N22" s="2037"/>
      <c r="O22" s="2037"/>
      <c r="P22" s="2037"/>
      <c r="Q22" s="2037"/>
      <c r="R22" s="2037"/>
      <c r="S22" s="2038"/>
      <c r="T22" s="85" t="s">
        <v>1596</v>
      </c>
      <c r="U22" s="51"/>
      <c r="V22" s="72"/>
      <c r="W22" s="51"/>
      <c r="X22" s="160" t="s">
        <v>1385</v>
      </c>
      <c r="Z22" s="45"/>
      <c r="AA22" s="46"/>
    </row>
    <row r="23" spans="1:27" ht="13.5" customHeight="1" x14ac:dyDescent="0.2">
      <c r="A23" s="2032" t="s">
        <v>2149</v>
      </c>
      <c r="B23" s="2033"/>
      <c r="C23" s="2033"/>
      <c r="D23" s="2033"/>
      <c r="E23" s="2033"/>
      <c r="F23" s="2033"/>
      <c r="G23" s="2033"/>
      <c r="H23" s="2034"/>
      <c r="T23" s="1972" t="s">
        <v>2181</v>
      </c>
      <c r="U23" s="1973"/>
      <c r="V23" s="1973"/>
      <c r="W23" s="1973"/>
      <c r="X23" s="1988">
        <v>44530</v>
      </c>
      <c r="Y23" s="1989"/>
      <c r="Z23" s="1989"/>
      <c r="AA23" s="1990"/>
    </row>
    <row r="24" spans="1:27" ht="14.1" customHeight="1" x14ac:dyDescent="0.2">
      <c r="A24" s="88" t="s">
        <v>698</v>
      </c>
      <c r="B24" s="49"/>
      <c r="C24" s="49"/>
      <c r="D24" s="49"/>
      <c r="E24" s="49"/>
      <c r="F24" s="49"/>
      <c r="G24" s="49"/>
      <c r="H24" s="61"/>
      <c r="J24" s="2074">
        <f>IF(B5="x",IF(AUDITCHECK!D29="AFR form Incomplete.","",IF(AUDITCHECK!D29="Deficit reduction plan is required.","School District must complete a deficit reduction plan in the 2018-2019 Budget",)),"")</f>
        <v>0</v>
      </c>
      <c r="K24" s="2074"/>
      <c r="L24" s="2074"/>
      <c r="M24" s="2074"/>
      <c r="N24" s="2074"/>
      <c r="O24" s="2074"/>
      <c r="P24" s="2074"/>
      <c r="Q24" s="2074"/>
      <c r="R24" s="2074"/>
      <c r="S24" s="2075"/>
      <c r="T24" s="105" t="s">
        <v>552</v>
      </c>
      <c r="U24" s="106"/>
      <c r="V24" s="106"/>
      <c r="W24" s="106"/>
      <c r="X24" s="107"/>
      <c r="Y24" s="107"/>
      <c r="Z24" s="107"/>
      <c r="AA24" s="108"/>
    </row>
    <row r="25" spans="1:27" ht="14.1" customHeight="1" x14ac:dyDescent="0.2">
      <c r="A25" s="2009" t="s">
        <v>2154</v>
      </c>
      <c r="B25" s="2010"/>
      <c r="C25" s="2010"/>
      <c r="D25" s="2010"/>
      <c r="E25" s="2010"/>
      <c r="F25" s="2010"/>
      <c r="G25" s="2010"/>
      <c r="H25" s="2011"/>
      <c r="I25" s="113"/>
      <c r="J25" s="2076"/>
      <c r="K25" s="2076"/>
      <c r="L25" s="2076"/>
      <c r="M25" s="2076"/>
      <c r="N25" s="2076"/>
      <c r="O25" s="2076"/>
      <c r="P25" s="2076"/>
      <c r="Q25" s="2076"/>
      <c r="R25" s="2076"/>
      <c r="S25" s="2077"/>
      <c r="T25" s="1969" t="s">
        <v>2156</v>
      </c>
      <c r="U25" s="1970"/>
      <c r="V25" s="1970"/>
      <c r="W25" s="1970"/>
      <c r="X25" s="1970"/>
      <c r="Y25" s="1970"/>
      <c r="Z25" s="1970"/>
      <c r="AA25" s="19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7" t="s">
        <v>1591</v>
      </c>
      <c r="J27" s="2040"/>
      <c r="K27" s="2040"/>
      <c r="L27" s="2040"/>
      <c r="M27" s="2040"/>
      <c r="N27" s="2040"/>
      <c r="O27" s="2040"/>
      <c r="P27" s="2040"/>
      <c r="Q27" s="2040"/>
      <c r="R27" s="2040"/>
      <c r="S27" s="204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3"/>
      <c r="Q35" s="2010"/>
      <c r="R35" s="201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2" t="s">
        <v>2151</v>
      </c>
      <c r="B38" s="2042"/>
      <c r="C38" s="2042"/>
      <c r="D38" s="2042"/>
      <c r="E38" s="2042"/>
      <c r="F38" s="2010"/>
      <c r="G38" s="2010"/>
      <c r="H38" s="2011"/>
      <c r="I38" s="2061"/>
      <c r="J38" s="1981"/>
      <c r="K38" s="1981"/>
      <c r="L38" s="1981"/>
      <c r="M38" s="1981"/>
      <c r="N38" s="1981"/>
      <c r="O38" s="1981"/>
      <c r="P38" s="1982"/>
      <c r="Q38" s="1982"/>
      <c r="R38" s="1982"/>
      <c r="S38" s="1983"/>
      <c r="T38" s="1980"/>
      <c r="U38" s="1981"/>
      <c r="V38" s="1981"/>
      <c r="W38" s="1981"/>
      <c r="X38" s="1982"/>
      <c r="Y38" s="1982"/>
      <c r="Z38" s="1982"/>
      <c r="AA38" s="1983"/>
    </row>
    <row r="39" spans="1:27" ht="12" customHeight="1" x14ac:dyDescent="0.2">
      <c r="A39" s="2065" t="s">
        <v>552</v>
      </c>
      <c r="B39" s="2066"/>
      <c r="C39" s="72"/>
      <c r="D39" s="69"/>
      <c r="E39" s="69"/>
      <c r="F39" s="79"/>
      <c r="G39" s="69"/>
      <c r="H39" s="56"/>
      <c r="I39" s="2065" t="s">
        <v>552</v>
      </c>
      <c r="J39" s="2066"/>
      <c r="K39" s="2066"/>
      <c r="L39" s="2066"/>
      <c r="M39" s="2066"/>
      <c r="N39" s="67"/>
      <c r="O39" s="72"/>
      <c r="P39" s="72"/>
      <c r="Q39" s="78"/>
      <c r="R39" s="72"/>
      <c r="S39" s="56"/>
      <c r="T39" s="72" t="s">
        <v>552</v>
      </c>
      <c r="U39" s="51"/>
      <c r="V39" s="72"/>
      <c r="W39" s="50"/>
      <c r="X39" s="78"/>
      <c r="Y39" s="45"/>
      <c r="Z39" s="45"/>
      <c r="AA39" s="46"/>
    </row>
    <row r="40" spans="1:27" ht="13.5" customHeight="1" x14ac:dyDescent="0.2">
      <c r="A40" s="2068" t="s">
        <v>2149</v>
      </c>
      <c r="B40" s="2069"/>
      <c r="C40" s="2070"/>
      <c r="D40" s="2070"/>
      <c r="E40" s="2070"/>
      <c r="F40" s="2071"/>
      <c r="G40" s="2071"/>
      <c r="H40" s="2072"/>
      <c r="I40" s="1984"/>
      <c r="J40" s="1986"/>
      <c r="K40" s="1986"/>
      <c r="L40" s="1986"/>
      <c r="M40" s="1986"/>
      <c r="N40" s="1986"/>
      <c r="O40" s="1986"/>
      <c r="P40" s="1986"/>
      <c r="Q40" s="1986"/>
      <c r="R40" s="1986"/>
      <c r="S40" s="1987"/>
      <c r="T40" s="1984"/>
      <c r="U40" s="1985"/>
      <c r="V40" s="1986"/>
      <c r="W40" s="1986"/>
      <c r="X40" s="1986"/>
      <c r="Y40" s="1986"/>
      <c r="Z40" s="1986"/>
      <c r="AA40" s="198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8" t="s">
        <v>2152</v>
      </c>
      <c r="B42" s="2059"/>
      <c r="C42" s="2060"/>
      <c r="D42" s="2073" t="s">
        <v>2153</v>
      </c>
      <c r="E42" s="2059"/>
      <c r="F42" s="2059"/>
      <c r="G42" s="2059"/>
      <c r="H42" s="2060"/>
      <c r="I42" s="1979"/>
      <c r="J42" s="1975"/>
      <c r="K42" s="1975"/>
      <c r="L42" s="1975"/>
      <c r="M42" s="1975"/>
      <c r="N42" s="1975"/>
      <c r="O42" s="1976"/>
      <c r="P42" s="1974"/>
      <c r="Q42" s="1975"/>
      <c r="R42" s="1975"/>
      <c r="S42" s="1976"/>
      <c r="T42" s="1979"/>
      <c r="U42" s="1975"/>
      <c r="V42" s="1975"/>
      <c r="W42" s="1976"/>
      <c r="X42" s="1974"/>
      <c r="Y42" s="1975"/>
      <c r="Z42" s="1975"/>
      <c r="AA42" s="197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2"/>
      <c r="B44" s="2063"/>
      <c r="C44" s="2063"/>
      <c r="D44" s="2063"/>
      <c r="E44" s="2063"/>
      <c r="F44" s="2063"/>
      <c r="G44" s="2063"/>
      <c r="H44" s="2064"/>
      <c r="I44" s="2054"/>
      <c r="J44" s="2056"/>
      <c r="K44" s="2056"/>
      <c r="L44" s="2056"/>
      <c r="M44" s="2056"/>
      <c r="N44" s="2056"/>
      <c r="O44" s="2056"/>
      <c r="P44" s="2056"/>
      <c r="Q44" s="2056"/>
      <c r="R44" s="2056"/>
      <c r="S44" s="2057"/>
      <c r="T44" s="2054"/>
      <c r="U44" s="2055"/>
      <c r="V44" s="2055"/>
      <c r="W44" s="2055"/>
      <c r="X44" s="2055"/>
      <c r="Y44" s="2055"/>
      <c r="Z44" s="2056"/>
      <c r="AA44" s="205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1" t="s">
        <v>1904</v>
      </c>
      <c r="B2" s="1548" t="s">
        <v>2036</v>
      </c>
      <c r="C2" s="713" t="s">
        <v>1909</v>
      </c>
      <c r="D2" s="713" t="s">
        <v>1910</v>
      </c>
      <c r="E2" s="713" t="s">
        <v>1911</v>
      </c>
      <c r="F2" s="713" t="s">
        <v>1912</v>
      </c>
    </row>
    <row r="3" spans="1:6" ht="12" customHeight="1" x14ac:dyDescent="0.2">
      <c r="A3" s="2212"/>
      <c r="B3" s="1545"/>
      <c r="C3" s="1546"/>
      <c r="D3" s="1547" t="s">
        <v>274</v>
      </c>
      <c r="E3" s="1546"/>
      <c r="F3" s="1547" t="s">
        <v>275</v>
      </c>
    </row>
    <row r="4" spans="1:6" ht="13.7" customHeight="1" x14ac:dyDescent="0.2">
      <c r="A4" s="714" t="s">
        <v>1217</v>
      </c>
      <c r="B4" s="1769">
        <f>'Revenues 9-14'!C5</f>
        <v>3194278</v>
      </c>
      <c r="C4" s="1544">
        <v>1882664</v>
      </c>
      <c r="D4" s="1772">
        <f>B4-C4</f>
        <v>1311614</v>
      </c>
      <c r="E4" s="1544">
        <v>3185244</v>
      </c>
      <c r="F4" s="1772">
        <f>E4-C4</f>
        <v>1302580</v>
      </c>
    </row>
    <row r="5" spans="1:6" ht="13.7" customHeight="1" x14ac:dyDescent="0.2">
      <c r="A5" s="714" t="s">
        <v>925</v>
      </c>
      <c r="B5" s="1770">
        <f>'Revenues 9-14'!D5</f>
        <v>604978</v>
      </c>
      <c r="C5" s="583">
        <v>356566</v>
      </c>
      <c r="D5" s="1773">
        <f t="shared" ref="D5:D18" si="0">B5-C5</f>
        <v>248412</v>
      </c>
      <c r="E5" s="583">
        <v>603266</v>
      </c>
      <c r="F5" s="1773">
        <f>E5-C5</f>
        <v>246700</v>
      </c>
    </row>
    <row r="6" spans="1:6" ht="13.7" customHeight="1" x14ac:dyDescent="0.2">
      <c r="A6" s="714" t="s">
        <v>431</v>
      </c>
      <c r="B6" s="1770">
        <f>'Revenues 9-14'!E5</f>
        <v>941063</v>
      </c>
      <c r="C6" s="583">
        <v>559238</v>
      </c>
      <c r="D6" s="1773">
        <f t="shared" si="0"/>
        <v>381825</v>
      </c>
      <c r="E6" s="583">
        <v>946162</v>
      </c>
      <c r="F6" s="1773">
        <f t="shared" ref="F6:F18" si="1">E6-C6</f>
        <v>386924</v>
      </c>
    </row>
    <row r="7" spans="1:6" ht="13.7" customHeight="1" x14ac:dyDescent="0.2">
      <c r="A7" s="714" t="s">
        <v>157</v>
      </c>
      <c r="B7" s="1770">
        <f>'Revenues 9-14'!F5</f>
        <v>241991</v>
      </c>
      <c r="C7" s="583">
        <v>142626</v>
      </c>
      <c r="D7" s="1773">
        <f t="shared" si="0"/>
        <v>99365</v>
      </c>
      <c r="E7" s="583">
        <v>241306</v>
      </c>
      <c r="F7" s="1773">
        <f t="shared" si="1"/>
        <v>98680</v>
      </c>
    </row>
    <row r="8" spans="1:6" ht="13.7" customHeight="1" x14ac:dyDescent="0.2">
      <c r="A8" s="714" t="s">
        <v>1241</v>
      </c>
      <c r="B8" s="1770">
        <f>'Revenues 9-14'!G5</f>
        <v>0</v>
      </c>
      <c r="C8" s="583">
        <v>0</v>
      </c>
      <c r="D8" s="1773">
        <f t="shared" si="0"/>
        <v>0</v>
      </c>
      <c r="E8" s="583">
        <v>0</v>
      </c>
      <c r="F8" s="1773">
        <f t="shared" si="1"/>
        <v>0</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60498</v>
      </c>
      <c r="C10" s="583">
        <v>35657</v>
      </c>
      <c r="D10" s="1773">
        <f t="shared" si="0"/>
        <v>24841</v>
      </c>
      <c r="E10" s="583">
        <v>60327</v>
      </c>
      <c r="F10" s="1773">
        <f t="shared" si="1"/>
        <v>24670</v>
      </c>
    </row>
    <row r="11" spans="1:6" x14ac:dyDescent="0.2">
      <c r="A11" s="714" t="s">
        <v>429</v>
      </c>
      <c r="B11" s="1770">
        <f>'Revenues 9-14'!J5</f>
        <v>307038</v>
      </c>
      <c r="C11" s="583">
        <v>177356</v>
      </c>
      <c r="D11" s="1773">
        <f t="shared" si="0"/>
        <v>129682</v>
      </c>
      <c r="E11" s="583">
        <v>300064</v>
      </c>
      <c r="F11" s="1773">
        <f t="shared" si="1"/>
        <v>122708</v>
      </c>
    </row>
    <row r="12" spans="1:6" ht="13.7" customHeight="1" x14ac:dyDescent="0.2">
      <c r="A12" s="714" t="s">
        <v>159</v>
      </c>
      <c r="B12" s="1770">
        <f>'Revenues 9-14'!K5</f>
        <v>60498</v>
      </c>
      <c r="C12" s="583">
        <v>35657</v>
      </c>
      <c r="D12" s="1773">
        <f t="shared" si="0"/>
        <v>24841</v>
      </c>
      <c r="E12" s="583">
        <v>60327</v>
      </c>
      <c r="F12" s="1773">
        <f t="shared" si="1"/>
        <v>24670</v>
      </c>
    </row>
    <row r="13" spans="1:6" ht="13.7" customHeight="1" x14ac:dyDescent="0.2">
      <c r="A13" s="714" t="s">
        <v>993</v>
      </c>
      <c r="B13" s="1770">
        <f>SUM('Revenues 9-14'!C6:D6)</f>
        <v>60498</v>
      </c>
      <c r="C13" s="583">
        <v>35657</v>
      </c>
      <c r="D13" s="1773">
        <f t="shared" si="0"/>
        <v>24841</v>
      </c>
      <c r="E13" s="583">
        <v>60327</v>
      </c>
      <c r="F13" s="1773">
        <f t="shared" si="1"/>
        <v>24670</v>
      </c>
    </row>
    <row r="14" spans="1:6" ht="13.7" customHeight="1" x14ac:dyDescent="0.2">
      <c r="A14" s="714" t="s">
        <v>430</v>
      </c>
      <c r="B14" s="1770">
        <f>SUM('Revenues 9-14'!C7:D7,'Revenues 9-14'!F7:H7)</f>
        <v>48398</v>
      </c>
      <c r="C14" s="583">
        <v>28525</v>
      </c>
      <c r="D14" s="1773">
        <f t="shared" si="0"/>
        <v>19873</v>
      </c>
      <c r="E14" s="583">
        <v>48261</v>
      </c>
      <c r="F14" s="1773">
        <f t="shared" si="1"/>
        <v>19736</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153660</v>
      </c>
      <c r="C16" s="583">
        <v>88714</v>
      </c>
      <c r="D16" s="1773">
        <f t="shared" si="0"/>
        <v>64946</v>
      </c>
      <c r="E16" s="583">
        <v>150093</v>
      </c>
      <c r="F16" s="1773">
        <f t="shared" si="1"/>
        <v>61379</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5672900</v>
      </c>
      <c r="C19" s="1771">
        <f>SUM(C4:C18)</f>
        <v>3342660</v>
      </c>
      <c r="D19" s="1771">
        <f>SUM(D4:D18)</f>
        <v>2330240</v>
      </c>
      <c r="E19" s="1771">
        <f>SUM(E4:E18)</f>
        <v>5655377</v>
      </c>
      <c r="F19" s="1771">
        <f>SUM(F4:F18)</f>
        <v>2312717</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7" t="s">
        <v>650</v>
      </c>
      <c r="B1" s="2218"/>
      <c r="C1" s="720"/>
    </row>
    <row r="2" spans="1:7" ht="33.75" x14ac:dyDescent="0.2">
      <c r="A2" s="2226" t="s">
        <v>1904</v>
      </c>
      <c r="B2" s="2227"/>
      <c r="C2" s="1907" t="s">
        <v>2037</v>
      </c>
      <c r="D2" s="722" t="s">
        <v>2044</v>
      </c>
      <c r="E2" s="722" t="s">
        <v>2045</v>
      </c>
      <c r="F2" s="1907" t="s">
        <v>2038</v>
      </c>
    </row>
    <row r="3" spans="1:7" ht="15.75" customHeight="1" x14ac:dyDescent="0.2">
      <c r="A3" s="2230" t="s">
        <v>1176</v>
      </c>
      <c r="B3" s="2231"/>
      <c r="C3" s="2219"/>
      <c r="D3" s="2220"/>
      <c r="E3" s="2220"/>
      <c r="F3" s="2221"/>
    </row>
    <row r="4" spans="1:7" ht="12.75" customHeight="1" thickBot="1" x14ac:dyDescent="0.25">
      <c r="A4" s="2228" t="s">
        <v>651</v>
      </c>
      <c r="B4" s="2229"/>
      <c r="C4" s="579"/>
      <c r="D4" s="579"/>
      <c r="E4" s="579"/>
      <c r="F4" s="1775">
        <f>SUM(C4+D4)-E4</f>
        <v>0</v>
      </c>
    </row>
    <row r="5" spans="1:7" ht="15.75" customHeight="1" thickTop="1" x14ac:dyDescent="0.2">
      <c r="A5" s="2213" t="s">
        <v>1172</v>
      </c>
      <c r="B5" s="2214"/>
      <c r="C5" s="2222"/>
      <c r="D5" s="2223"/>
      <c r="E5" s="2223"/>
      <c r="F5" s="2224"/>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5" t="s">
        <v>652</v>
      </c>
      <c r="B15" s="2216"/>
      <c r="C15" s="1775">
        <f>SUM(C6:C14)</f>
        <v>0</v>
      </c>
      <c r="D15" s="1775">
        <f>SUM(D6:D14)</f>
        <v>0</v>
      </c>
      <c r="E15" s="1775">
        <f>SUM(E6:E14)</f>
        <v>0</v>
      </c>
      <c r="F15" s="1775">
        <f>SUM(F6:F14)</f>
        <v>0</v>
      </c>
      <c r="G15" s="550"/>
    </row>
    <row r="16" spans="1:7" s="202" customFormat="1" ht="15.75" customHeight="1" thickTop="1" x14ac:dyDescent="0.2">
      <c r="A16" s="2225" t="s">
        <v>1173</v>
      </c>
      <c r="B16" s="2214"/>
      <c r="C16" s="2222"/>
      <c r="D16" s="2223"/>
      <c r="E16" s="2223"/>
      <c r="F16" s="2224"/>
    </row>
    <row r="17" spans="1:11" ht="12.75" customHeight="1" thickBot="1" x14ac:dyDescent="0.25">
      <c r="A17" s="2238" t="s">
        <v>66</v>
      </c>
      <c r="B17" s="2239"/>
      <c r="C17" s="725"/>
      <c r="D17" s="583"/>
      <c r="E17" s="725"/>
      <c r="F17" s="1775">
        <f>SUM(C17+D17)-E17</f>
        <v>0</v>
      </c>
    </row>
    <row r="18" spans="1:11" ht="12.75" customHeight="1" thickTop="1" thickBot="1" x14ac:dyDescent="0.25">
      <c r="A18" s="2238" t="s">
        <v>6</v>
      </c>
      <c r="B18" s="2239"/>
      <c r="C18" s="725"/>
      <c r="D18" s="583"/>
      <c r="E18" s="725"/>
      <c r="F18" s="1775">
        <f>SUM(C18+D18)-E18</f>
        <v>0</v>
      </c>
    </row>
    <row r="19" spans="1:11" ht="12.75" customHeight="1" thickTop="1" thickBot="1" x14ac:dyDescent="0.25">
      <c r="A19" s="2238" t="s">
        <v>406</v>
      </c>
      <c r="B19" s="2239"/>
      <c r="C19" s="725"/>
      <c r="D19" s="583"/>
      <c r="E19" s="725"/>
      <c r="F19" s="1775">
        <f>SUM(C19+D19)-E19</f>
        <v>0</v>
      </c>
    </row>
    <row r="20" spans="1:11" ht="12.75" customHeight="1" thickTop="1" thickBot="1" x14ac:dyDescent="0.25">
      <c r="A20" s="2238" t="s">
        <v>468</v>
      </c>
      <c r="B20" s="2239"/>
      <c r="C20" s="725"/>
      <c r="D20" s="583"/>
      <c r="E20" s="725"/>
      <c r="F20" s="1775">
        <f>SUM(C20+D20)-E20</f>
        <v>0</v>
      </c>
    </row>
    <row r="21" spans="1:11" ht="14.25" thickTop="1" thickBot="1" x14ac:dyDescent="0.25">
      <c r="A21" s="2215" t="s">
        <v>653</v>
      </c>
      <c r="B21" s="2216"/>
      <c r="C21" s="1775">
        <f>SUM(C17:C20)</f>
        <v>0</v>
      </c>
      <c r="D21" s="1775">
        <f>SUM(D17:D20)</f>
        <v>0</v>
      </c>
      <c r="E21" s="1775">
        <f>SUM(E17:E20)</f>
        <v>0</v>
      </c>
      <c r="F21" s="1775">
        <f>SUM(F17:F20)</f>
        <v>0</v>
      </c>
      <c r="G21" s="550"/>
    </row>
    <row r="22" spans="1:11" ht="15.75" customHeight="1" thickTop="1" x14ac:dyDescent="0.2">
      <c r="A22" s="2240" t="s">
        <v>1174</v>
      </c>
      <c r="B22" s="2214"/>
      <c r="C22" s="2222"/>
      <c r="D22" s="2223"/>
      <c r="E22" s="2223"/>
      <c r="F22" s="2224"/>
    </row>
    <row r="23" spans="1:11" ht="13.5" thickBot="1" x14ac:dyDescent="0.25">
      <c r="A23" s="2228" t="s">
        <v>654</v>
      </c>
      <c r="B23" s="2229"/>
      <c r="C23" s="579"/>
      <c r="D23" s="579"/>
      <c r="E23" s="579"/>
      <c r="F23" s="1775">
        <f>SUM(C23+D23)-E23</f>
        <v>0</v>
      </c>
      <c r="G23" s="550"/>
    </row>
    <row r="24" spans="1:11" ht="15.75" customHeight="1" thickTop="1" x14ac:dyDescent="0.2">
      <c r="A24" s="2240" t="s">
        <v>1175</v>
      </c>
      <c r="B24" s="2214"/>
      <c r="C24" s="2222"/>
      <c r="D24" s="2223"/>
      <c r="E24" s="2223"/>
      <c r="F24" s="2224"/>
    </row>
    <row r="25" spans="1:11" ht="13.5" thickBot="1" x14ac:dyDescent="0.25">
      <c r="A25" s="2228" t="s">
        <v>655</v>
      </c>
      <c r="B25" s="2229"/>
      <c r="C25" s="579"/>
      <c r="D25" s="579"/>
      <c r="E25" s="579"/>
      <c r="F25" s="1775">
        <f>SUM(C25+D25)-E25</f>
        <v>0</v>
      </c>
      <c r="G25" s="550"/>
    </row>
    <row r="26" spans="1:11" ht="15.75" customHeight="1" thickTop="1" x14ac:dyDescent="0.2">
      <c r="A26" s="2213" t="s">
        <v>678</v>
      </c>
      <c r="B26" s="2214"/>
      <c r="C26" s="726"/>
      <c r="D26" s="726"/>
      <c r="E26" s="726"/>
      <c r="F26" s="727"/>
    </row>
    <row r="27" spans="1:11" ht="13.5" thickBot="1" x14ac:dyDescent="0.25">
      <c r="A27" s="2215" t="s">
        <v>1130</v>
      </c>
      <c r="B27" s="2216"/>
      <c r="C27" s="583"/>
      <c r="D27" s="583"/>
      <c r="E27" s="583"/>
      <c r="F27" s="1775">
        <f>SUM(C27+D27)-E27</f>
        <v>0</v>
      </c>
      <c r="G27" s="550"/>
    </row>
    <row r="28" spans="1:11" ht="7.5" customHeight="1" thickTop="1" x14ac:dyDescent="0.2">
      <c r="A28" s="592"/>
    </row>
    <row r="29" spans="1:11" ht="23.25" customHeight="1" x14ac:dyDescent="0.2">
      <c r="A29" s="2241" t="s">
        <v>603</v>
      </c>
      <c r="B29" s="2218"/>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t="s">
        <v>2158</v>
      </c>
      <c r="B31" s="732">
        <v>40241</v>
      </c>
      <c r="C31" s="733">
        <v>1570000</v>
      </c>
      <c r="D31" s="734">
        <v>1</v>
      </c>
      <c r="E31" s="733">
        <v>70000</v>
      </c>
      <c r="F31" s="733"/>
      <c r="G31" s="733"/>
      <c r="H31" s="733">
        <v>70000</v>
      </c>
      <c r="I31" s="1776">
        <f>((E31+F31)-H31)+G31</f>
        <v>0</v>
      </c>
      <c r="J31" s="733">
        <f>I31-208043</f>
        <v>-208043</v>
      </c>
      <c r="K31" s="735"/>
    </row>
    <row r="32" spans="1:11" ht="12" customHeight="1" x14ac:dyDescent="0.2">
      <c r="A32" s="731" t="s">
        <v>2159</v>
      </c>
      <c r="B32" s="732">
        <v>41518</v>
      </c>
      <c r="C32" s="733">
        <v>2915000</v>
      </c>
      <c r="D32" s="734" t="s">
        <v>2160</v>
      </c>
      <c r="E32" s="733">
        <v>2890000</v>
      </c>
      <c r="F32" s="733"/>
      <c r="G32" s="733">
        <v>-280000</v>
      </c>
      <c r="H32" s="733">
        <f>1240000+G32</f>
        <v>960000</v>
      </c>
      <c r="I32" s="1776">
        <f>((E32+F32)-H32)+G32</f>
        <v>1650000</v>
      </c>
      <c r="J32" s="733">
        <f>I32-522045</f>
        <v>1127955</v>
      </c>
      <c r="K32" s="735"/>
    </row>
    <row r="33" spans="1:11" ht="12" customHeight="1" x14ac:dyDescent="0.2">
      <c r="A33" s="731" t="s">
        <v>2161</v>
      </c>
      <c r="B33" s="732">
        <v>42927</v>
      </c>
      <c r="C33" s="733">
        <v>7915000</v>
      </c>
      <c r="D33" s="734">
        <v>1</v>
      </c>
      <c r="E33" s="733"/>
      <c r="F33" s="733">
        <v>7915000</v>
      </c>
      <c r="G33" s="733"/>
      <c r="H33" s="733"/>
      <c r="I33" s="1776">
        <f t="shared" ref="I33:I48" si="1">((E33+F33)-H33)+G33</f>
        <v>7915000</v>
      </c>
      <c r="J33" s="733">
        <f>I33-208341</f>
        <v>7706659</v>
      </c>
      <c r="K33" s="735"/>
    </row>
    <row r="34" spans="1:11" ht="12" customHeight="1" x14ac:dyDescent="0.2">
      <c r="A34" s="731" t="s">
        <v>2162</v>
      </c>
      <c r="B34" s="732">
        <v>42927</v>
      </c>
      <c r="C34" s="733">
        <v>305000</v>
      </c>
      <c r="D34" s="734">
        <v>1</v>
      </c>
      <c r="E34" s="733"/>
      <c r="F34" s="733"/>
      <c r="G34" s="733">
        <v>305000</v>
      </c>
      <c r="H34" s="733"/>
      <c r="I34" s="1776">
        <f t="shared" si="1"/>
        <v>305000</v>
      </c>
      <c r="J34" s="733">
        <f>I34-6316</f>
        <v>298684</v>
      </c>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12705000</v>
      </c>
      <c r="D49" s="744"/>
      <c r="E49" s="1776">
        <f t="shared" ref="E49:J49" si="2">SUM(E31:E48)</f>
        <v>2960000</v>
      </c>
      <c r="F49" s="1776">
        <f t="shared" si="2"/>
        <v>7915000</v>
      </c>
      <c r="G49" s="1776">
        <f t="shared" si="2"/>
        <v>25000</v>
      </c>
      <c r="H49" s="1776">
        <f t="shared" si="2"/>
        <v>1030000</v>
      </c>
      <c r="I49" s="1776">
        <f t="shared" si="2"/>
        <v>9870000</v>
      </c>
      <c r="J49" s="1776">
        <f t="shared" si="2"/>
        <v>8925255</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32" t="s">
        <v>605</v>
      </c>
      <c r="C52" s="2233"/>
      <c r="D52" s="2233"/>
      <c r="E52" s="748" t="s">
        <v>900</v>
      </c>
      <c r="F52" s="2234"/>
      <c r="G52" s="2235"/>
      <c r="H52" s="735"/>
      <c r="I52" s="735"/>
      <c r="J52" s="745"/>
    </row>
    <row r="53" spans="1:11" ht="11.25" customHeight="1" x14ac:dyDescent="0.2">
      <c r="A53" s="749" t="s">
        <v>969</v>
      </c>
      <c r="B53" s="750" t="s">
        <v>1008</v>
      </c>
      <c r="C53" s="745"/>
      <c r="D53" s="736"/>
      <c r="E53" s="748" t="s">
        <v>518</v>
      </c>
      <c r="F53" s="2236"/>
      <c r="G53" s="2237"/>
      <c r="H53" s="735"/>
      <c r="I53" s="735"/>
      <c r="J53" s="745"/>
    </row>
    <row r="54" spans="1:11" ht="11.25" customHeight="1" x14ac:dyDescent="0.2">
      <c r="A54" s="751" t="s">
        <v>970</v>
      </c>
      <c r="B54" s="746" t="s">
        <v>1009</v>
      </c>
      <c r="C54" s="745"/>
      <c r="D54" s="736"/>
      <c r="E54" s="748" t="s">
        <v>519</v>
      </c>
      <c r="F54" s="2236"/>
      <c r="G54" s="223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6" t="s">
        <v>911</v>
      </c>
      <c r="B1" s="2267"/>
      <c r="C1" s="2267"/>
      <c r="D1" s="2267"/>
      <c r="E1" s="2267"/>
      <c r="F1" s="2267"/>
      <c r="G1" s="2268"/>
      <c r="H1" s="1550"/>
      <c r="I1" s="759"/>
      <c r="J1" s="433"/>
    </row>
    <row r="2" spans="1:11" ht="26.25" x14ac:dyDescent="0.2">
      <c r="A2" s="2245" t="s">
        <v>1776</v>
      </c>
      <c r="B2" s="2246"/>
      <c r="C2" s="2246"/>
      <c r="D2" s="2246"/>
      <c r="E2" s="2247"/>
      <c r="F2" s="760" t="s">
        <v>960</v>
      </c>
      <c r="G2" s="761" t="s">
        <v>1773</v>
      </c>
      <c r="H2" s="761" t="s">
        <v>430</v>
      </c>
      <c r="I2" s="761" t="s">
        <v>1220</v>
      </c>
      <c r="J2" s="761" t="s">
        <v>1918</v>
      </c>
      <c r="K2" s="761" t="s">
        <v>140</v>
      </c>
    </row>
    <row r="3" spans="1:11" x14ac:dyDescent="0.2">
      <c r="A3" s="2248" t="s">
        <v>1698</v>
      </c>
      <c r="B3" s="2249"/>
      <c r="C3" s="2249"/>
      <c r="D3" s="2249"/>
      <c r="E3" s="2250"/>
      <c r="F3" s="762"/>
      <c r="G3" s="763"/>
      <c r="H3" s="763"/>
      <c r="I3" s="763"/>
      <c r="J3" s="764">
        <v>3988</v>
      </c>
      <c r="K3" s="764"/>
    </row>
    <row r="4" spans="1:11" x14ac:dyDescent="0.2">
      <c r="A4" s="2251" t="s">
        <v>387</v>
      </c>
      <c r="B4" s="2252"/>
      <c r="C4" s="2252"/>
      <c r="D4" s="2252"/>
      <c r="E4" s="2233"/>
      <c r="F4" s="765"/>
      <c r="G4" s="766"/>
      <c r="H4" s="767"/>
      <c r="I4" s="766"/>
      <c r="J4" s="768"/>
      <c r="K4" s="768"/>
    </row>
    <row r="5" spans="1:11" x14ac:dyDescent="0.2">
      <c r="A5" s="2269" t="s">
        <v>1129</v>
      </c>
      <c r="B5" s="2242"/>
      <c r="C5" s="2242"/>
      <c r="D5" s="2242"/>
      <c r="E5" s="2270"/>
      <c r="F5" s="769" t="s">
        <v>903</v>
      </c>
      <c r="G5" s="770"/>
      <c r="H5" s="763">
        <v>48398</v>
      </c>
      <c r="I5" s="771"/>
      <c r="J5" s="772"/>
      <c r="K5" s="772"/>
    </row>
    <row r="6" spans="1:11" x14ac:dyDescent="0.2">
      <c r="A6" s="773" t="s">
        <v>744</v>
      </c>
      <c r="B6" s="774"/>
      <c r="C6" s="774"/>
      <c r="D6" s="774"/>
      <c r="E6" s="775"/>
      <c r="F6" s="776" t="s">
        <v>904</v>
      </c>
      <c r="G6" s="763"/>
      <c r="H6" s="763">
        <v>34</v>
      </c>
      <c r="I6" s="763"/>
      <c r="J6" s="764"/>
      <c r="K6" s="764"/>
    </row>
    <row r="7" spans="1:11" x14ac:dyDescent="0.2">
      <c r="A7" s="777" t="s">
        <v>264</v>
      </c>
      <c r="B7" s="778"/>
      <c r="C7" s="778"/>
      <c r="D7" s="778"/>
      <c r="E7" s="779"/>
      <c r="F7" s="769" t="s">
        <v>905</v>
      </c>
      <c r="G7" s="766"/>
      <c r="H7" s="766"/>
      <c r="I7" s="766"/>
      <c r="J7" s="780"/>
      <c r="K7" s="764">
        <v>3496</v>
      </c>
    </row>
    <row r="8" spans="1:11" x14ac:dyDescent="0.2">
      <c r="A8" s="777" t="s">
        <v>363</v>
      </c>
      <c r="B8" s="778"/>
      <c r="C8" s="778"/>
      <c r="D8" s="778"/>
      <c r="E8" s="779"/>
      <c r="F8" s="769" t="s">
        <v>906</v>
      </c>
      <c r="G8" s="781"/>
      <c r="H8" s="781"/>
      <c r="I8" s="781"/>
      <c r="J8" s="764">
        <f>206000+299132</f>
        <v>505132</v>
      </c>
      <c r="K8" s="768"/>
    </row>
    <row r="9" spans="1:11" x14ac:dyDescent="0.2">
      <c r="A9" s="777" t="s">
        <v>140</v>
      </c>
      <c r="B9" s="778"/>
      <c r="C9" s="778"/>
      <c r="D9" s="778"/>
      <c r="E9" s="779"/>
      <c r="F9" s="776" t="s">
        <v>908</v>
      </c>
      <c r="G9" s="781"/>
      <c r="H9" s="770"/>
      <c r="I9" s="770"/>
      <c r="J9" s="780"/>
      <c r="K9" s="764">
        <v>11175</v>
      </c>
    </row>
    <row r="10" spans="1:11" x14ac:dyDescent="0.2">
      <c r="A10" s="2269" t="s">
        <v>1919</v>
      </c>
      <c r="B10" s="2242"/>
      <c r="C10" s="2242"/>
      <c r="D10" s="2242"/>
      <c r="E10" s="2271"/>
      <c r="F10" s="782" t="s">
        <v>917</v>
      </c>
      <c r="G10" s="781"/>
      <c r="H10" s="783"/>
      <c r="I10" s="763"/>
      <c r="J10" s="764"/>
      <c r="K10" s="764"/>
    </row>
    <row r="11" spans="1:11" x14ac:dyDescent="0.2">
      <c r="A11" s="2269" t="s">
        <v>162</v>
      </c>
      <c r="B11" s="2242"/>
      <c r="C11" s="2242"/>
      <c r="D11" s="2242"/>
      <c r="E11" s="2270"/>
      <c r="F11" s="769" t="s">
        <v>907</v>
      </c>
      <c r="G11" s="770"/>
      <c r="H11" s="763"/>
      <c r="I11" s="763"/>
      <c r="J11" s="764"/>
      <c r="K11" s="772"/>
    </row>
    <row r="12" spans="1:11" ht="13.5" thickBot="1" x14ac:dyDescent="0.25">
      <c r="A12" s="2259" t="s">
        <v>961</v>
      </c>
      <c r="B12" s="2260"/>
      <c r="C12" s="2260"/>
      <c r="D12" s="2260"/>
      <c r="E12" s="2261"/>
      <c r="F12" s="1777"/>
      <c r="G12" s="1778">
        <f>SUM(G5:G11)</f>
        <v>0</v>
      </c>
      <c r="H12" s="1778">
        <f>SUM(H5:H11)</f>
        <v>48432</v>
      </c>
      <c r="I12" s="1778">
        <f>SUM(I5:I11)</f>
        <v>0</v>
      </c>
      <c r="J12" s="1778">
        <f>SUM(J5:J11)</f>
        <v>505132</v>
      </c>
      <c r="K12" s="1778">
        <f>SUM(K5:K11)</f>
        <v>14671</v>
      </c>
    </row>
    <row r="13" spans="1:11" ht="13.5" thickTop="1" x14ac:dyDescent="0.2">
      <c r="A13" s="2253" t="s">
        <v>388</v>
      </c>
      <c r="B13" s="2254"/>
      <c r="C13" s="2254"/>
      <c r="D13" s="2254"/>
      <c r="E13" s="2255"/>
      <c r="F13" s="784"/>
      <c r="G13" s="785"/>
      <c r="H13" s="786"/>
      <c r="I13" s="787"/>
      <c r="J13" s="787"/>
      <c r="K13" s="787"/>
    </row>
    <row r="14" spans="1:11" x14ac:dyDescent="0.2">
      <c r="A14" s="2275" t="s">
        <v>476</v>
      </c>
      <c r="B14" s="2275"/>
      <c r="C14" s="2275"/>
      <c r="D14" s="2275"/>
      <c r="E14" s="2276"/>
      <c r="F14" s="788" t="s">
        <v>909</v>
      </c>
      <c r="G14" s="781"/>
      <c r="H14" s="763">
        <v>48432</v>
      </c>
      <c r="I14" s="770"/>
      <c r="J14" s="772"/>
      <c r="K14" s="764">
        <v>14671</v>
      </c>
    </row>
    <row r="15" spans="1:11" x14ac:dyDescent="0.2">
      <c r="A15" s="2242" t="s">
        <v>4</v>
      </c>
      <c r="B15" s="2242"/>
      <c r="C15" s="2242"/>
      <c r="D15" s="2242"/>
      <c r="E15" s="2270"/>
      <c r="F15" s="788" t="s">
        <v>910</v>
      </c>
      <c r="G15" s="770"/>
      <c r="H15" s="763"/>
      <c r="I15" s="763"/>
      <c r="J15" s="764">
        <v>27796</v>
      </c>
      <c r="K15" s="764"/>
    </row>
    <row r="16" spans="1:11" x14ac:dyDescent="0.2">
      <c r="A16" s="2242" t="s">
        <v>316</v>
      </c>
      <c r="B16" s="2242"/>
      <c r="C16" s="2242"/>
      <c r="D16" s="2242"/>
      <c r="E16" s="2270"/>
      <c r="F16" s="788" t="s">
        <v>980</v>
      </c>
      <c r="G16" s="771"/>
      <c r="H16" s="766"/>
      <c r="I16" s="766"/>
      <c r="J16" s="768"/>
      <c r="K16" s="768"/>
    </row>
    <row r="17" spans="1:11" x14ac:dyDescent="0.2">
      <c r="A17" s="2264" t="s">
        <v>992</v>
      </c>
      <c r="B17" s="2264"/>
      <c r="C17" s="2264"/>
      <c r="D17" s="2264"/>
      <c r="E17" s="2265"/>
      <c r="F17" s="789"/>
      <c r="G17" s="790"/>
      <c r="H17" s="791"/>
      <c r="I17" s="791"/>
      <c r="J17" s="792"/>
      <c r="K17" s="793"/>
    </row>
    <row r="18" spans="1:11" x14ac:dyDescent="0.2">
      <c r="A18" s="2256" t="s">
        <v>386</v>
      </c>
      <c r="B18" s="2257"/>
      <c r="C18" s="2257"/>
      <c r="D18" s="2257"/>
      <c r="E18" s="2258"/>
      <c r="F18" s="788" t="s">
        <v>989</v>
      </c>
      <c r="G18" s="781"/>
      <c r="H18" s="781"/>
      <c r="I18" s="781"/>
      <c r="J18" s="764"/>
      <c r="K18" s="794"/>
    </row>
    <row r="19" spans="1:11" ht="21.75" customHeight="1" x14ac:dyDescent="0.2">
      <c r="A19" s="2277" t="s">
        <v>1915</v>
      </c>
      <c r="B19" s="2277"/>
      <c r="C19" s="2277"/>
      <c r="D19" s="2277"/>
      <c r="E19" s="2278"/>
      <c r="F19" s="788" t="s">
        <v>990</v>
      </c>
      <c r="G19" s="781"/>
      <c r="H19" s="781"/>
      <c r="I19" s="781"/>
      <c r="J19" s="764">
        <v>206000</v>
      </c>
      <c r="K19" s="794"/>
    </row>
    <row r="20" spans="1:11" x14ac:dyDescent="0.2">
      <c r="A20" s="2256" t="s">
        <v>1920</v>
      </c>
      <c r="B20" s="2257"/>
      <c r="C20" s="2257"/>
      <c r="D20" s="2257"/>
      <c r="E20" s="2258"/>
      <c r="F20" s="788" t="s">
        <v>991</v>
      </c>
      <c r="G20" s="781"/>
      <c r="H20" s="781"/>
      <c r="I20" s="781"/>
      <c r="J20" s="764"/>
      <c r="K20" s="794"/>
    </row>
    <row r="21" spans="1:11" ht="13.5" thickBot="1" x14ac:dyDescent="0.25">
      <c r="A21" s="2262" t="s">
        <v>659</v>
      </c>
      <c r="B21" s="2262"/>
      <c r="C21" s="2262"/>
      <c r="D21" s="2262"/>
      <c r="E21" s="2262"/>
      <c r="F21" s="1779"/>
      <c r="G21" s="791"/>
      <c r="H21" s="795"/>
      <c r="I21" s="795"/>
      <c r="J21" s="1780">
        <f>SUM(J18:J20)</f>
        <v>206000</v>
      </c>
      <c r="K21" s="792"/>
    </row>
    <row r="22" spans="1:11" ht="13.5" thickTop="1" x14ac:dyDescent="0.2">
      <c r="A22" s="2242" t="s">
        <v>1921</v>
      </c>
      <c r="B22" s="2242"/>
      <c r="C22" s="2242"/>
      <c r="D22" s="2242"/>
      <c r="E22" s="2270"/>
      <c r="F22" s="788" t="s">
        <v>917</v>
      </c>
      <c r="G22" s="781"/>
      <c r="H22" s="763"/>
      <c r="I22" s="763"/>
      <c r="J22" s="796"/>
      <c r="K22" s="764"/>
    </row>
    <row r="23" spans="1:11" ht="13.5" thickBot="1" x14ac:dyDescent="0.25">
      <c r="A23" s="2263" t="s">
        <v>962</v>
      </c>
      <c r="B23" s="2262"/>
      <c r="C23" s="2262"/>
      <c r="D23" s="2262"/>
      <c r="E23" s="2262"/>
      <c r="F23" s="1781"/>
      <c r="G23" s="1778">
        <f>SUM(G14:G16,G21,G22)</f>
        <v>0</v>
      </c>
      <c r="H23" s="1778">
        <f>SUM(H14:H16,H21,H22)</f>
        <v>48432</v>
      </c>
      <c r="I23" s="1778">
        <f>SUM(I14:I16,I21,I22)</f>
        <v>0</v>
      </c>
      <c r="J23" s="1778">
        <f>SUM(J14:J16,J21,J22)</f>
        <v>233796</v>
      </c>
      <c r="K23" s="1778">
        <f>SUM(K14:K16,K21,K22)</f>
        <v>14671</v>
      </c>
    </row>
    <row r="24" spans="1:11" ht="14.25" thickTop="1" thickBot="1" x14ac:dyDescent="0.25">
      <c r="A24" s="2263" t="s">
        <v>2025</v>
      </c>
      <c r="B24" s="2262"/>
      <c r="C24" s="2262"/>
      <c r="D24" s="2262"/>
      <c r="E24" s="2262"/>
      <c r="F24" s="1782"/>
      <c r="G24" s="1783">
        <f>SUM(G3,G12)-G23</f>
        <v>0</v>
      </c>
      <c r="H24" s="1783">
        <f>SUM(H3,H12)-H23</f>
        <v>0</v>
      </c>
      <c r="I24" s="1783">
        <f>SUM(I3,I12)-I23</f>
        <v>0</v>
      </c>
      <c r="J24" s="1783">
        <f>SUM(J3,J12)-J23</f>
        <v>275324</v>
      </c>
      <c r="K24" s="1783">
        <f>SUM(K3,K12)-K23</f>
        <v>0</v>
      </c>
    </row>
    <row r="25" spans="1:11" ht="13.5" thickTop="1" x14ac:dyDescent="0.2">
      <c r="A25" s="797" t="s">
        <v>440</v>
      </c>
      <c r="B25" s="798"/>
      <c r="C25" s="798"/>
      <c r="D25" s="798"/>
      <c r="E25" s="799"/>
      <c r="F25" s="800">
        <v>714</v>
      </c>
      <c r="G25" s="801"/>
      <c r="H25" s="801"/>
      <c r="I25" s="801"/>
      <c r="J25" s="796">
        <v>275324</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72"/>
      <c r="I31" s="2273"/>
      <c r="J31" s="2273"/>
      <c r="K31" s="2273"/>
    </row>
    <row r="32" spans="1:11" x14ac:dyDescent="0.2">
      <c r="A32" s="808"/>
      <c r="B32" s="237"/>
      <c r="C32" s="237"/>
      <c r="D32" s="237"/>
      <c r="E32" s="804"/>
      <c r="F32" s="810" t="s">
        <v>561</v>
      </c>
      <c r="G32" s="763"/>
      <c r="H32" s="2274"/>
      <c r="I32" s="2273"/>
      <c r="J32" s="2273"/>
      <c r="K32" s="2273"/>
    </row>
    <row r="33" spans="1:11" ht="1.5" customHeight="1" x14ac:dyDescent="0.2">
      <c r="A33" s="811" t="s">
        <v>1231</v>
      </c>
      <c r="B33" s="364"/>
      <c r="C33" s="364"/>
      <c r="D33" s="364"/>
      <c r="E33" s="364"/>
      <c r="F33" s="364"/>
      <c r="G33" s="812"/>
      <c r="H33" s="2274"/>
      <c r="I33" s="2273"/>
      <c r="J33" s="2273"/>
      <c r="K33" s="2273"/>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2" t="s">
        <v>562</v>
      </c>
      <c r="B41" s="2243"/>
      <c r="C41" s="2243"/>
      <c r="D41" s="2243"/>
      <c r="E41" s="2243"/>
      <c r="F41" s="224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2034</v>
      </c>
      <c r="B1" s="2282"/>
      <c r="C1" s="2283"/>
      <c r="D1" s="825"/>
      <c r="E1" s="826"/>
      <c r="F1" s="826"/>
      <c r="G1" s="827"/>
      <c r="H1" s="828"/>
      <c r="I1" s="829"/>
      <c r="J1" s="2279"/>
      <c r="K1" s="2280"/>
      <c r="L1" s="2280"/>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241825</v>
      </c>
      <c r="D5" s="840">
        <v>0</v>
      </c>
      <c r="E5" s="840">
        <v>0</v>
      </c>
      <c r="F5" s="1780">
        <f>(C5+D5)-E5</f>
        <v>241825</v>
      </c>
      <c r="G5" s="836"/>
      <c r="H5" s="841"/>
      <c r="I5" s="841"/>
      <c r="J5" s="841"/>
      <c r="K5" s="792"/>
      <c r="L5" s="1789">
        <f>F5-K5</f>
        <v>241825</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16608414</v>
      </c>
      <c r="D8" s="843">
        <v>0</v>
      </c>
      <c r="E8" s="843">
        <v>0</v>
      </c>
      <c r="F8" s="1780">
        <f>(C8+D8)-E8</f>
        <v>16608414</v>
      </c>
      <c r="G8" s="842">
        <v>50</v>
      </c>
      <c r="H8" s="764">
        <v>7841423</v>
      </c>
      <c r="I8" s="764">
        <v>332169</v>
      </c>
      <c r="J8" s="764">
        <v>0</v>
      </c>
      <c r="K8" s="1789">
        <f>(H8+I8)-J8</f>
        <v>8173592</v>
      </c>
      <c r="L8" s="1789">
        <f>F8-K8</f>
        <v>8434822</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1752339</v>
      </c>
      <c r="D10" s="845">
        <v>0</v>
      </c>
      <c r="E10" s="845">
        <v>0</v>
      </c>
      <c r="F10" s="1784">
        <f>(C10+D10)-E10</f>
        <v>1752339</v>
      </c>
      <c r="G10" s="842">
        <v>20</v>
      </c>
      <c r="H10" s="846">
        <v>1017031</v>
      </c>
      <c r="I10" s="846">
        <v>69875</v>
      </c>
      <c r="J10" s="846">
        <v>0</v>
      </c>
      <c r="K10" s="1789">
        <f>(H10+I10)-J10</f>
        <v>1086906</v>
      </c>
      <c r="L10" s="1789">
        <f>F10-K10</f>
        <v>665433</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2150892</v>
      </c>
      <c r="D12" s="843">
        <v>121192</v>
      </c>
      <c r="E12" s="843">
        <v>160844</v>
      </c>
      <c r="F12" s="1780">
        <f>(C12+D12)-E12</f>
        <v>2111240</v>
      </c>
      <c r="G12" s="842">
        <v>10</v>
      </c>
      <c r="H12" s="764">
        <v>1236736</v>
      </c>
      <c r="I12" s="764">
        <v>211127</v>
      </c>
      <c r="J12" s="764">
        <v>160844</v>
      </c>
      <c r="K12" s="1789">
        <f>(H12+I12)-J12</f>
        <v>1287019</v>
      </c>
      <c r="L12" s="1789">
        <f>F12-K12</f>
        <v>824221</v>
      </c>
    </row>
    <row r="13" spans="1:14" ht="14.25" thickTop="1" thickBot="1" x14ac:dyDescent="0.25">
      <c r="A13" s="847" t="s">
        <v>1184</v>
      </c>
      <c r="B13" s="839">
        <v>252</v>
      </c>
      <c r="C13" s="843">
        <v>150558</v>
      </c>
      <c r="D13" s="843">
        <v>0</v>
      </c>
      <c r="E13" s="843">
        <v>0</v>
      </c>
      <c r="F13" s="1780">
        <f>(C13+D13)-E13</f>
        <v>150558</v>
      </c>
      <c r="G13" s="842">
        <v>5</v>
      </c>
      <c r="H13" s="764">
        <v>146688</v>
      </c>
      <c r="I13" s="764">
        <v>3870</v>
      </c>
      <c r="J13" s="764">
        <v>0</v>
      </c>
      <c r="K13" s="1789">
        <f>(H13+I13)-J13</f>
        <v>150558</v>
      </c>
      <c r="L13" s="1789">
        <f>F13-K13</f>
        <v>0</v>
      </c>
    </row>
    <row r="14" spans="1:14" ht="14.25" thickTop="1" thickBot="1" x14ac:dyDescent="0.25">
      <c r="A14" s="847" t="s">
        <v>1185</v>
      </c>
      <c r="B14" s="839">
        <v>253</v>
      </c>
      <c r="C14" s="764">
        <v>0</v>
      </c>
      <c r="D14" s="764">
        <v>0</v>
      </c>
      <c r="E14" s="764">
        <v>0</v>
      </c>
      <c r="F14" s="1780">
        <f>(C14+D14)-E14</f>
        <v>0</v>
      </c>
      <c r="G14" s="842">
        <v>3</v>
      </c>
      <c r="H14" s="764">
        <v>0</v>
      </c>
      <c r="I14" s="764">
        <v>0</v>
      </c>
      <c r="J14" s="764">
        <v>0</v>
      </c>
      <c r="K14" s="1789">
        <f>(H14+I14)-J14</f>
        <v>0</v>
      </c>
      <c r="L14" s="1789">
        <f>F14-K14</f>
        <v>0</v>
      </c>
    </row>
    <row r="15" spans="1:14" ht="15" customHeight="1" thickTop="1" thickBot="1" x14ac:dyDescent="0.25">
      <c r="A15" s="1651" t="s">
        <v>549</v>
      </c>
      <c r="B15" s="1650">
        <v>260</v>
      </c>
      <c r="C15" s="843">
        <v>311975</v>
      </c>
      <c r="D15" s="843">
        <v>2462343</v>
      </c>
      <c r="E15" s="843">
        <v>0</v>
      </c>
      <c r="F15" s="1780">
        <f>(C15+D15)-E15</f>
        <v>2774318</v>
      </c>
      <c r="G15" s="848" t="s">
        <v>917</v>
      </c>
      <c r="H15" s="780"/>
      <c r="I15" s="780"/>
      <c r="J15" s="780"/>
      <c r="K15" s="780"/>
      <c r="L15" s="1789">
        <f>F15-K15</f>
        <v>2774318</v>
      </c>
    </row>
    <row r="16" spans="1:14" ht="15" customHeight="1" thickTop="1" thickBot="1" x14ac:dyDescent="0.25">
      <c r="A16" s="1785" t="s">
        <v>664</v>
      </c>
      <c r="B16" s="1786">
        <v>200</v>
      </c>
      <c r="C16" s="1780">
        <f>SUM(C3,C5:C6,C8:C10,C12:C15)</f>
        <v>21216003</v>
      </c>
      <c r="D16" s="1780">
        <f>SUM(D3,D5:D6,D8:D10,D12:D15)</f>
        <v>2583535</v>
      </c>
      <c r="E16" s="1780">
        <f>SUM(E3,E5:E6,E8:E10,E12:E15)</f>
        <v>160844</v>
      </c>
      <c r="F16" s="1780">
        <f>SUM(F3,F5:F6,F8:F10,F12:F15)</f>
        <v>23638694</v>
      </c>
      <c r="G16" s="842"/>
      <c r="H16" s="1780">
        <f>SUM(H3,H6,H8:H10,H12:H14,)</f>
        <v>10241878</v>
      </c>
      <c r="I16" s="1780">
        <f>SUM(I3,I6,I8:I10,I12:I14,)</f>
        <v>617041</v>
      </c>
      <c r="J16" s="1780">
        <f>SUM(J3,J6,J8:J10,J12:J14,)</f>
        <v>160844</v>
      </c>
      <c r="K16" s="1780">
        <f>(H16+I16)-J16</f>
        <v>10698075</v>
      </c>
      <c r="L16" s="1780">
        <f>F16-K16</f>
        <v>12940619</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617041</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F27" sqref="F2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87" t="s">
        <v>1699</v>
      </c>
      <c r="B1" s="2288"/>
      <c r="C1" s="2288"/>
      <c r="D1" s="2288"/>
      <c r="E1" s="2288"/>
      <c r="F1" s="2289"/>
      <c r="G1" s="854"/>
    </row>
    <row r="2" spans="1:7" ht="15" customHeight="1" thickBot="1" x14ac:dyDescent="0.25">
      <c r="A2" s="2290" t="s">
        <v>498</v>
      </c>
      <c r="B2" s="2291"/>
      <c r="C2" s="2291"/>
      <c r="D2" s="2291"/>
      <c r="E2" s="2291"/>
      <c r="F2" s="2292"/>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93"/>
      <c r="B5" s="2294"/>
      <c r="C5" s="2294"/>
      <c r="D5" s="2294"/>
      <c r="E5" s="2294"/>
      <c r="F5" s="2294"/>
    </row>
    <row r="6" spans="1:7" ht="13.5" customHeight="1" thickBot="1" x14ac:dyDescent="0.25">
      <c r="A6" s="2284" t="s">
        <v>1166</v>
      </c>
      <c r="B6" s="2285"/>
      <c r="C6" s="2285"/>
      <c r="D6" s="2285"/>
      <c r="E6" s="2285"/>
      <c r="F6" s="2286"/>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8119615</v>
      </c>
      <c r="G8" s="864"/>
    </row>
    <row r="9" spans="1:7" x14ac:dyDescent="0.2">
      <c r="A9" s="868" t="s">
        <v>480</v>
      </c>
      <c r="B9" s="869" t="s">
        <v>1988</v>
      </c>
      <c r="C9" s="870"/>
      <c r="D9" s="868" t="s">
        <v>522</v>
      </c>
      <c r="E9" s="867"/>
      <c r="F9" s="1933">
        <f>'Expenditures 15-22'!K151</f>
        <v>767203</v>
      </c>
      <c r="G9" s="871"/>
    </row>
    <row r="10" spans="1:7" x14ac:dyDescent="0.2">
      <c r="A10" s="868" t="s">
        <v>520</v>
      </c>
      <c r="B10" s="869" t="s">
        <v>1989</v>
      </c>
      <c r="C10" s="870"/>
      <c r="D10" s="868" t="s">
        <v>522</v>
      </c>
      <c r="E10" s="867"/>
      <c r="F10" s="1933">
        <f>'Expenditures 15-22'!K174</f>
        <v>1386815</v>
      </c>
      <c r="G10" s="871"/>
    </row>
    <row r="11" spans="1:7" x14ac:dyDescent="0.2">
      <c r="A11" s="868" t="s">
        <v>481</v>
      </c>
      <c r="B11" s="869" t="s">
        <v>1990</v>
      </c>
      <c r="C11" s="870"/>
      <c r="D11" s="868" t="s">
        <v>522</v>
      </c>
      <c r="E11" s="867"/>
      <c r="F11" s="1933">
        <f>'Expenditures 15-22'!K210</f>
        <v>418794</v>
      </c>
      <c r="G11" s="871"/>
    </row>
    <row r="12" spans="1:7" x14ac:dyDescent="0.2">
      <c r="A12" s="868" t="s">
        <v>482</v>
      </c>
      <c r="B12" s="869" t="s">
        <v>1991</v>
      </c>
      <c r="C12" s="870"/>
      <c r="D12" s="868" t="s">
        <v>522</v>
      </c>
      <c r="E12" s="867"/>
      <c r="F12" s="1933">
        <f>'Expenditures 15-22'!K295</f>
        <v>197772</v>
      </c>
      <c r="G12" s="871"/>
    </row>
    <row r="13" spans="1:7" x14ac:dyDescent="0.2">
      <c r="A13" s="868" t="s">
        <v>108</v>
      </c>
      <c r="B13" s="869" t="s">
        <v>1992</v>
      </c>
      <c r="C13" s="870"/>
      <c r="D13" s="868" t="s">
        <v>522</v>
      </c>
      <c r="E13" s="867"/>
      <c r="F13" s="1933">
        <f>'Expenditures 15-22'!K342</f>
        <v>240152</v>
      </c>
      <c r="G13" s="872"/>
    </row>
    <row r="14" spans="1:7" ht="12" customHeight="1" thickBot="1" x14ac:dyDescent="0.25">
      <c r="A14" s="1790"/>
      <c r="B14" s="1791"/>
      <c r="C14" s="1792"/>
      <c r="D14" s="1793" t="s">
        <v>522</v>
      </c>
      <c r="E14" s="1794" t="s">
        <v>1015</v>
      </c>
      <c r="F14" s="1795">
        <f>SUM(F8:F13)</f>
        <v>11130351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103539</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261</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249846</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6000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1303</v>
      </c>
      <c r="G52" s="864"/>
    </row>
    <row r="53" spans="1:7" x14ac:dyDescent="0.2">
      <c r="A53" s="868" t="s">
        <v>479</v>
      </c>
      <c r="B53" s="868" t="s">
        <v>1551</v>
      </c>
      <c r="C53" s="888">
        <f>'Expenditures 15-22'!B102</f>
        <v>4000</v>
      </c>
      <c r="D53" s="887" t="str">
        <f>'Expenditures 15-22'!A102</f>
        <v>Total Payments to Other Govt Units</v>
      </c>
      <c r="E53" s="867"/>
      <c r="F53" s="1937">
        <f>'Expenditures 15-22'!K102</f>
        <v>220379</v>
      </c>
      <c r="G53" s="864"/>
    </row>
    <row r="54" spans="1:7" x14ac:dyDescent="0.2">
      <c r="A54" s="868" t="s">
        <v>479</v>
      </c>
      <c r="B54" s="868" t="s">
        <v>1552</v>
      </c>
      <c r="C54" s="888" t="s">
        <v>1039</v>
      </c>
      <c r="D54" s="884" t="s">
        <v>1157</v>
      </c>
      <c r="E54" s="867"/>
      <c r="F54" s="1937">
        <f>'Expenditures 15-22'!G114</f>
        <v>120678</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4571</v>
      </c>
      <c r="G56" s="864"/>
    </row>
    <row r="57" spans="1:7" x14ac:dyDescent="0.2">
      <c r="A57" s="868" t="s">
        <v>480</v>
      </c>
      <c r="B57" s="868" t="s">
        <v>1993</v>
      </c>
      <c r="C57" s="888">
        <f>'Expenditures 15-22'!B139</f>
        <v>4000</v>
      </c>
      <c r="D57" s="886" t="str">
        <f>'Expenditures 15-22'!A139</f>
        <v>Total Payments to Other Govt Units</v>
      </c>
      <c r="E57" s="867"/>
      <c r="F57" s="1937">
        <f>'Expenditures 15-22'!K139</f>
        <v>8008</v>
      </c>
      <c r="G57" s="864"/>
    </row>
    <row r="58" spans="1:7" x14ac:dyDescent="0.2">
      <c r="A58" s="868" t="s">
        <v>480</v>
      </c>
      <c r="B58" s="868" t="s">
        <v>1994</v>
      </c>
      <c r="C58" s="885" t="s">
        <v>1039</v>
      </c>
      <c r="D58" s="884" t="s">
        <v>1157</v>
      </c>
      <c r="E58" s="867"/>
      <c r="F58" s="1939">
        <f>'Expenditures 15-22'!G151</f>
        <v>514</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1030000</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3361</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14</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1748474</v>
      </c>
      <c r="G76" s="864"/>
    </row>
    <row r="77" spans="1:8" s="892" customFormat="1" ht="12" customHeight="1" thickTop="1" thickBot="1" x14ac:dyDescent="0.25">
      <c r="A77" s="1799"/>
      <c r="B77" s="1796"/>
      <c r="C77" s="1792"/>
      <c r="D77" s="1797" t="s">
        <v>2011</v>
      </c>
      <c r="E77" s="1794"/>
      <c r="F77" s="1800">
        <f>(F14-F76)</f>
        <v>9381877</v>
      </c>
      <c r="G77" s="868"/>
    </row>
    <row r="78" spans="1:8" s="892" customFormat="1" ht="12" customHeight="1" thickTop="1" x14ac:dyDescent="0.2">
      <c r="A78" s="1801"/>
      <c r="B78" s="1796"/>
      <c r="C78" s="1792"/>
      <c r="D78" s="1797" t="s">
        <v>2058</v>
      </c>
      <c r="E78" s="1794"/>
      <c r="F78" s="897">
        <v>898.67</v>
      </c>
      <c r="G78" s="898"/>
      <c r="H78" s="868"/>
    </row>
    <row r="79" spans="1:8" s="892" customFormat="1" ht="12" customHeight="1" thickBot="1" x14ac:dyDescent="0.25">
      <c r="A79" s="1802"/>
      <c r="B79" s="1796"/>
      <c r="C79" s="1792"/>
      <c r="D79" s="1797" t="s">
        <v>2012</v>
      </c>
      <c r="E79" s="1794" t="s">
        <v>1015</v>
      </c>
      <c r="F79" s="1803">
        <f>IF(F78&gt;0,F77/F78," Complete Line 78")</f>
        <v>10439.735386738181</v>
      </c>
      <c r="G79" s="868"/>
    </row>
    <row r="80" spans="1:8" s="892" customFormat="1" ht="8.25" customHeight="1" thickTop="1" x14ac:dyDescent="0.2">
      <c r="A80" s="899"/>
      <c r="B80" s="868"/>
      <c r="C80" s="870"/>
      <c r="D80" s="900"/>
      <c r="E80" s="867"/>
      <c r="F80" s="901"/>
      <c r="G80" s="868"/>
    </row>
    <row r="81" spans="1:7" s="892" customFormat="1" ht="12" thickBot="1" x14ac:dyDescent="0.25">
      <c r="A81" s="2284" t="s">
        <v>1167</v>
      </c>
      <c r="B81" s="2285"/>
      <c r="C81" s="2285"/>
      <c r="D81" s="2285"/>
      <c r="E81" s="2285"/>
      <c r="F81" s="2286"/>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173581</v>
      </c>
      <c r="G94" s="911"/>
    </row>
    <row r="95" spans="1:7" x14ac:dyDescent="0.2">
      <c r="A95" s="907" t="s">
        <v>142</v>
      </c>
      <c r="B95" s="907" t="s">
        <v>177</v>
      </c>
      <c r="C95" s="909">
        <v>1700</v>
      </c>
      <c r="D95" s="917" t="str">
        <f>'Revenues 9-14'!A82</f>
        <v>Total District/School Activity Income</v>
      </c>
      <c r="E95" s="905"/>
      <c r="F95" s="1809">
        <f>SUM('Revenues 9-14'!C82,'Revenues 9-14'!D82)</f>
        <v>97264</v>
      </c>
      <c r="G95" s="911"/>
    </row>
    <row r="96" spans="1:7" x14ac:dyDescent="0.2">
      <c r="A96" s="907" t="s">
        <v>479</v>
      </c>
      <c r="B96" s="907" t="s">
        <v>178</v>
      </c>
      <c r="C96" s="909">
        <f>'Revenues 9-14'!B84</f>
        <v>1811</v>
      </c>
      <c r="D96" s="910" t="str">
        <f>'Revenues 9-14'!A84</f>
        <v>Rentals - Regular Textbooks</v>
      </c>
      <c r="E96" s="905"/>
      <c r="F96" s="1809">
        <f>'Revenues 9-14'!C84</f>
        <v>81873</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36075</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302532</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5045</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2426</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11175</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212068</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3500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193121</v>
      </c>
      <c r="G129" s="929"/>
    </row>
    <row r="130" spans="1:7" x14ac:dyDescent="0.2">
      <c r="A130" s="926" t="s">
        <v>689</v>
      </c>
      <c r="B130" s="926" t="s">
        <v>804</v>
      </c>
      <c r="C130" s="931">
        <v>4300</v>
      </c>
      <c r="D130" s="932" t="str">
        <f>'Revenues 9-14'!A211</f>
        <v>Total Title I</v>
      </c>
      <c r="E130" s="905"/>
      <c r="F130" s="1809">
        <f>SUM('Revenues 9-14'!C211,'Revenues 9-14'!D211,'Revenues 9-14'!F211,'Revenues 9-14'!G211)</f>
        <v>73131</v>
      </c>
      <c r="G130" s="929"/>
    </row>
    <row r="131" spans="1:7" x14ac:dyDescent="0.2">
      <c r="A131" s="926" t="s">
        <v>689</v>
      </c>
      <c r="B131" s="926" t="s">
        <v>805</v>
      </c>
      <c r="C131" s="931">
        <v>4400</v>
      </c>
      <c r="D131" s="932" t="str">
        <f>'Revenues 9-14'!A216</f>
        <v>Total Title IV</v>
      </c>
      <c r="E131" s="905"/>
      <c r="F131" s="1809">
        <f>SUM('Revenues 9-14'!C216,'Revenues 9-14'!D216,'Revenues 9-14'!F216,'Revenues 9-14'!G216)</f>
        <v>10000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36486</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18185</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3798</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249965</v>
      </c>
      <c r="G175" s="926"/>
    </row>
    <row r="176" spans="1:7" x14ac:dyDescent="0.2">
      <c r="A176" s="1942" t="s">
        <v>685</v>
      </c>
      <c r="B176" s="1943" t="s">
        <v>2057</v>
      </c>
      <c r="C176" s="1944">
        <v>3300</v>
      </c>
      <c r="D176" s="1945" t="s">
        <v>2061</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1510225</v>
      </c>
    </row>
    <row r="179" spans="1:7" ht="12" customHeight="1" x14ac:dyDescent="0.2">
      <c r="A179" s="1790"/>
      <c r="B179" s="1804"/>
      <c r="C179" s="1805"/>
      <c r="D179" s="1806" t="s">
        <v>2014</v>
      </c>
      <c r="E179" s="1807"/>
      <c r="F179" s="1809">
        <f>'PCTC-OEPP 27-28'!F77-F178</f>
        <v>7871652</v>
      </c>
    </row>
    <row r="180" spans="1:7" ht="12" customHeight="1" x14ac:dyDescent="0.2">
      <c r="A180" s="1790"/>
      <c r="B180" s="1804"/>
      <c r="C180" s="1805"/>
      <c r="D180" s="1806" t="s">
        <v>1923</v>
      </c>
      <c r="E180" s="1807"/>
      <c r="F180" s="1809">
        <f>'Cap Outlay Deprec 26'!I18</f>
        <v>617041</v>
      </c>
    </row>
    <row r="181" spans="1:7" ht="12" customHeight="1" x14ac:dyDescent="0.2">
      <c r="A181" s="1790"/>
      <c r="B181" s="1804"/>
      <c r="C181" s="1805"/>
      <c r="D181" s="1806" t="s">
        <v>2015</v>
      </c>
      <c r="E181" s="1807"/>
      <c r="F181" s="1809">
        <f>F179+F180</f>
        <v>8488693</v>
      </c>
    </row>
    <row r="182" spans="1:7" ht="12" customHeight="1" x14ac:dyDescent="0.2">
      <c r="A182" s="1790"/>
      <c r="B182" s="1810"/>
      <c r="C182" s="1805"/>
      <c r="D182" s="1806" t="str">
        <f>D78</f>
        <v>9 Month ADA from District Average Daily Attendance/Prior General State Aid Inquiry 2017-2018</v>
      </c>
      <c r="E182" s="1807"/>
      <c r="F182" s="1811">
        <f>'PCTC-OEPP 27-28'!F78</f>
        <v>898.67</v>
      </c>
      <c r="G182" s="929"/>
    </row>
    <row r="183" spans="1:7" ht="12" customHeight="1" thickBot="1" x14ac:dyDescent="0.25">
      <c r="A183" s="1790"/>
      <c r="B183" s="1810"/>
      <c r="C183" s="1805"/>
      <c r="D183" s="1806" t="s">
        <v>2016</v>
      </c>
      <c r="E183" s="1807" t="s">
        <v>1626</v>
      </c>
      <c r="F183" s="1812">
        <f>F181/F182</f>
        <v>9445.8399635016194</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F27" sqref="F27"/>
      <selection pane="bottomLeft" activeCell="A17" sqref="A17"/>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98" t="s">
        <v>1924</v>
      </c>
      <c r="B4" s="2299"/>
      <c r="C4" s="2299"/>
      <c r="D4" s="2299"/>
      <c r="E4" s="2299"/>
      <c r="F4" s="2299"/>
      <c r="G4" s="2300"/>
    </row>
    <row r="5" spans="1:7" x14ac:dyDescent="0.25">
      <c r="A5" s="2301"/>
      <c r="B5" s="2302"/>
      <c r="C5" s="2302"/>
      <c r="D5" s="2302"/>
      <c r="E5" s="2302"/>
      <c r="F5" s="2302"/>
      <c r="G5" s="2303"/>
    </row>
    <row r="6" spans="1:7" ht="18.75" x14ac:dyDescent="0.25">
      <c r="A6" s="1554" t="s">
        <v>1925</v>
      </c>
      <c r="B6" s="1555"/>
      <c r="C6" s="1555"/>
      <c r="D6" s="1555"/>
      <c r="E6" s="1555"/>
      <c r="F6" s="1555"/>
      <c r="G6" s="1556"/>
    </row>
    <row r="7" spans="1:7" ht="30.75" customHeight="1" x14ac:dyDescent="0.25">
      <c r="A7" s="2304" t="s">
        <v>2074</v>
      </c>
      <c r="B7" s="2305"/>
      <c r="C7" s="2305"/>
      <c r="D7" s="2305"/>
      <c r="E7" s="2305"/>
      <c r="F7" s="2305"/>
      <c r="G7" s="2306"/>
    </row>
    <row r="8" spans="1:7" ht="15.75" customHeight="1" x14ac:dyDescent="0.25">
      <c r="A8" s="2307" t="s">
        <v>2023</v>
      </c>
      <c r="B8" s="2308"/>
      <c r="C8" s="2308"/>
      <c r="D8" s="2308"/>
      <c r="E8" s="2308"/>
      <c r="F8" s="2308"/>
      <c r="G8" s="2309"/>
    </row>
    <row r="9" spans="1:7" ht="35.25" customHeight="1" x14ac:dyDescent="0.25">
      <c r="A9" s="2304" t="s">
        <v>2022</v>
      </c>
      <c r="B9" s="2305"/>
      <c r="C9" s="2305"/>
      <c r="D9" s="2305"/>
      <c r="E9" s="2305"/>
      <c r="F9" s="2305"/>
      <c r="G9" s="2306"/>
    </row>
    <row r="10" spans="1:7" ht="15" customHeight="1" x14ac:dyDescent="0.25">
      <c r="A10" s="1557" t="s">
        <v>1926</v>
      </c>
      <c r="B10" s="1558"/>
      <c r="C10" s="1558"/>
      <c r="D10" s="1558"/>
      <c r="E10" s="1558"/>
      <c r="F10" s="1558"/>
      <c r="G10" s="1559"/>
    </row>
    <row r="11" spans="1:7" ht="17.25" customHeight="1" x14ac:dyDescent="0.25">
      <c r="A11" s="2304" t="s">
        <v>1940</v>
      </c>
      <c r="B11" s="2305"/>
      <c r="C11" s="2305"/>
      <c r="D11" s="2305"/>
      <c r="E11" s="2305"/>
      <c r="F11" s="2305"/>
      <c r="G11" s="2306"/>
    </row>
    <row r="12" spans="1:7" ht="15" customHeight="1" x14ac:dyDescent="0.25">
      <c r="A12" s="1557" t="s">
        <v>1931</v>
      </c>
      <c r="B12" s="1558"/>
      <c r="C12" s="1558"/>
      <c r="D12" s="1558"/>
      <c r="E12" s="1558"/>
      <c r="F12" s="1558"/>
      <c r="G12" s="1559"/>
    </row>
    <row r="13" spans="1:7" ht="32.25" customHeight="1" x14ac:dyDescent="0.25">
      <c r="A13" s="2295" t="s">
        <v>1932</v>
      </c>
      <c r="B13" s="2296"/>
      <c r="C13" s="2296"/>
      <c r="D13" s="2296"/>
      <c r="E13" s="2296"/>
      <c r="F13" s="2296"/>
      <c r="G13" s="2297"/>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66" t="s">
        <v>2163</v>
      </c>
      <c r="B17" s="1967" t="s">
        <v>2164</v>
      </c>
      <c r="C17" s="1968" t="s">
        <v>2165</v>
      </c>
      <c r="D17" s="1865">
        <v>333542</v>
      </c>
      <c r="E17" s="1560">
        <f t="shared" ref="E17:E141" si="1">IF(D17&lt;=25000,D17,IF(D17&gt;25000,25000,0))</f>
        <v>25000</v>
      </c>
      <c r="F17" s="1813">
        <f t="shared" si="0"/>
        <v>25000</v>
      </c>
      <c r="G17" s="1814">
        <f>IF(F17=0,0,D17-F17)</f>
        <v>308542</v>
      </c>
      <c r="H17" s="1667"/>
    </row>
    <row r="18" spans="1:8" x14ac:dyDescent="0.25">
      <c r="A18" s="1966"/>
      <c r="B18" s="1967"/>
      <c r="C18" s="1968"/>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333542</v>
      </c>
      <c r="E141" s="1561">
        <f t="shared" si="1"/>
        <v>25000</v>
      </c>
      <c r="F141" s="1815">
        <f>SUM(F17:F140)</f>
        <v>25000</v>
      </c>
      <c r="G141" s="1816">
        <f>SUM(G17:G140)</f>
        <v>308542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10" t="s">
        <v>1778</v>
      </c>
      <c r="B5" s="2311"/>
      <c r="C5" s="2311"/>
      <c r="D5" s="2311"/>
      <c r="E5" s="2311"/>
      <c r="F5" s="2311"/>
      <c r="G5" s="2312"/>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207908</v>
      </c>
      <c r="F10" s="973"/>
      <c r="G10" s="974"/>
      <c r="H10" s="162"/>
      <c r="I10" s="162"/>
    </row>
    <row r="11" spans="1:9" s="667" customFormat="1" ht="22.5" customHeight="1" x14ac:dyDescent="0.2">
      <c r="A11" s="2315" t="s">
        <v>1944</v>
      </c>
      <c r="B11" s="2316"/>
      <c r="C11" s="2316"/>
      <c r="D11" s="2317"/>
      <c r="E11" s="976">
        <v>38370</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5549381</v>
      </c>
      <c r="F19" s="1820"/>
      <c r="G19" s="1822">
        <f>'Expenditures 15-22'!K33-SUM('Expenditures 15-22'!G33,'Expenditures 15-22'!I33)+'Expenditures 15-22'!D229</f>
        <v>5549381</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381960</v>
      </c>
      <c r="F21" s="1823"/>
      <c r="G21" s="1826">
        <f>'Expenditures 15-22'!K42-SUM('Expenditures 15-22'!G42,'Expenditures 15-22'!I42)+'Expenditures 15-22'!K120-SUM('Expenditures 15-22'!G120,'Expenditures 15-22'!I120)+'Expenditures 15-22'!K180-SUM('Expenditures 15-22'!G180,'Expenditures 15-22'!I180)+'Expenditures 15-22'!D238</f>
        <v>381960</v>
      </c>
      <c r="H21" s="986"/>
      <c r="I21" s="162"/>
    </row>
    <row r="22" spans="1:9" s="667" customFormat="1" ht="12" customHeight="1" x14ac:dyDescent="0.2">
      <c r="A22" s="993" t="s">
        <v>585</v>
      </c>
      <c r="B22" s="994"/>
      <c r="C22" s="992">
        <v>2200</v>
      </c>
      <c r="D22" s="1823"/>
      <c r="E22" s="1825">
        <f>'Expenditures 15-22'!K47-SUM('Expenditures 15-22'!G47,'Expenditures 15-22'!I47)+'Expenditures 15-22'!D243</f>
        <v>293182</v>
      </c>
      <c r="F22" s="1823"/>
      <c r="G22" s="1826">
        <f>'Expenditures 15-22'!K47-SUM('Expenditures 15-22'!G47,'Expenditures 15-22'!I47)+'Expenditures 15-22'!D243</f>
        <v>293182</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693484</v>
      </c>
      <c r="F23" s="1823"/>
      <c r="G23" s="1825">
        <f>'Expenditures 15-22'!K53-SUM('Expenditures 15-22'!G53,'Expenditures 15-22'!I53)+'Expenditures 15-22'!D257+'Expenditures 15-22'!K330-SUM('Expenditures 15-22'!G330,'Expenditures 15-22'!I330)</f>
        <v>693484</v>
      </c>
      <c r="H23" s="986"/>
      <c r="I23" s="162"/>
    </row>
    <row r="24" spans="1:9" s="667" customFormat="1" ht="12" customHeight="1" x14ac:dyDescent="0.2">
      <c r="A24" s="993" t="s">
        <v>587</v>
      </c>
      <c r="B24" s="994"/>
      <c r="C24" s="992">
        <v>2400</v>
      </c>
      <c r="D24" s="1823"/>
      <c r="E24" s="1825">
        <f>'Expenditures 15-22'!K57-SUM('Expenditures 15-22'!G57,'Expenditures 15-22'!I57)+'Expenditures 15-22'!D261</f>
        <v>500606</v>
      </c>
      <c r="F24" s="1823"/>
      <c r="G24" s="1826">
        <f>'Expenditures 15-22'!K57-SUM('Expenditures 15-22'!G57,'Expenditures 15-22'!I57)+'Expenditures 15-22'!D261</f>
        <v>500606</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81629</v>
      </c>
      <c r="E27" s="1825">
        <f>E8</f>
        <v>0</v>
      </c>
      <c r="F27" s="1825">
        <f>'Expenditures 15-22'!K60-SUM('Expenditures 15-22'!G60,'Expenditures 15-22'!I60)+'Expenditures 15-22'!D264-E8</f>
        <v>81629</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793872</v>
      </c>
      <c r="F28" s="1827">
        <f>'Expenditures 15-22'!K61-SUM('Expenditures 15-22'!G61,'Expenditures 15-22'!I61)+'Expenditures 15-22'!K124-SUM('Expenditures 15-22'!G124,'Expenditures 15-22'!I124)+'Expenditures 15-22'!D266-E9</f>
        <v>793872</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419808</v>
      </c>
      <c r="F29" s="1823"/>
      <c r="G29" s="1826">
        <f>'Expenditures 15-22'!K62-SUM('Expenditures 15-22'!G62,'Expenditures 15-22'!I62)+'Expenditures 15-22'!K125-SUM('Expenditures 15-22'!G125,'Expenditures 15-22'!I125)+'Expenditures 15-22'!K182-SUM('Expenditures 15-22'!G182,'Expenditures 15-22'!I182)+'Expenditures 15-22'!D267</f>
        <v>419808</v>
      </c>
      <c r="H29" s="984"/>
    </row>
    <row r="30" spans="1:9" ht="12" customHeight="1" x14ac:dyDescent="0.2">
      <c r="A30" s="993" t="s">
        <v>102</v>
      </c>
      <c r="B30" s="996"/>
      <c r="C30" s="992">
        <v>2560</v>
      </c>
      <c r="D30" s="1823"/>
      <c r="E30" s="1825">
        <f>'Expenditures 15-22'!K63-SUM('Expenditures 15-22'!G63,'Expenditures 15-22'!I63)+'Expenditures 15-22'!D268-E10</f>
        <v>196216</v>
      </c>
      <c r="F30" s="1823"/>
      <c r="G30" s="1825">
        <f>'Expenditures 15-22'!K63-SUM('Expenditures 15-22'!G63,'Expenditures 15-22'!I63)+'Expenditures 15-22'!D268-E10</f>
        <v>196216</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9047</v>
      </c>
      <c r="E36" s="1825">
        <f>E13</f>
        <v>0</v>
      </c>
      <c r="F36" s="1825">
        <f>'Expenditures 15-22'!K70-SUM('Expenditures 15-22'!G70,'Expenditures 15-22'!I70)+'Expenditures 15-22'!D275-E13</f>
        <v>9047</v>
      </c>
      <c r="G36" s="1825">
        <f>E13</f>
        <v>0</v>
      </c>
    </row>
    <row r="37" spans="1:7" ht="12" customHeight="1" x14ac:dyDescent="0.2">
      <c r="A37" s="993" t="s">
        <v>424</v>
      </c>
      <c r="B37" s="996"/>
      <c r="C37" s="992">
        <v>2660</v>
      </c>
      <c r="D37" s="1825">
        <f>'Expenditures 15-22'!K71-SUM('Expenditures 15-22'!G71,'Expenditures 15-22'!I71)+'Expenditures 15-22'!D276-E14</f>
        <v>260976</v>
      </c>
      <c r="E37" s="1825">
        <f>E14</f>
        <v>0</v>
      </c>
      <c r="F37" s="1825">
        <f>'Expenditures 15-22'!K71-SUM('Expenditures 15-22'!G71,'Expenditures 15-22'!I71)+'Expenditures 15-22'!D276-E14</f>
        <v>260976</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5888</v>
      </c>
      <c r="F39" s="1823"/>
      <c r="G39" s="1825">
        <f>'Expenditures 15-22'!K75-SUM('Expenditures 15-22'!G75,'Expenditures 15-22'!I75)+'Expenditures 15-22'!K130-SUM('Expenditures 15-22'!G130,'Expenditures 15-22'!I130)+'Expenditures 15-22'!K185-SUM('Expenditures 15-22'!G185,'Expenditures 15-22'!I185)+'Expenditures 15-22'!D280</f>
        <v>5888</v>
      </c>
    </row>
    <row r="40" spans="1:7" ht="12" customHeight="1" x14ac:dyDescent="0.2">
      <c r="A40" s="989" t="s">
        <v>1929</v>
      </c>
      <c r="B40" s="990"/>
      <c r="C40" s="992"/>
      <c r="D40" s="1823"/>
      <c r="E40" s="1827">
        <f>-'Contracts Paid in CY 29'!G141</f>
        <v>-308542</v>
      </c>
      <c r="F40" s="1823"/>
      <c r="G40" s="1827">
        <f>-'Contracts Paid in CY 29'!G141</f>
        <v>-308542</v>
      </c>
    </row>
    <row r="41" spans="1:7" ht="12" customHeight="1" x14ac:dyDescent="0.2">
      <c r="A41" s="997" t="s">
        <v>158</v>
      </c>
      <c r="B41" s="998"/>
      <c r="C41" s="999"/>
      <c r="D41" s="1827">
        <f>SUM(D19:D39)</f>
        <v>351652</v>
      </c>
      <c r="E41" s="1827">
        <f>SUM(E19:E40)</f>
        <v>8525855</v>
      </c>
      <c r="F41" s="1827">
        <f>SUM(F19:F39)</f>
        <v>1145524</v>
      </c>
      <c r="G41" s="1827">
        <f>SUM(G19:G40)</f>
        <v>7731983</v>
      </c>
    </row>
    <row r="42" spans="1:7" x14ac:dyDescent="0.2">
      <c r="A42" s="986"/>
      <c r="B42" s="162"/>
      <c r="C42" s="1000"/>
      <c r="D42" s="2313" t="s">
        <v>543</v>
      </c>
      <c r="E42" s="2314"/>
      <c r="F42" s="1001" t="s">
        <v>544</v>
      </c>
      <c r="G42" s="1002"/>
    </row>
    <row r="43" spans="1:7" ht="12" customHeight="1" x14ac:dyDescent="0.2">
      <c r="A43" s="986"/>
      <c r="B43" s="162"/>
      <c r="C43" s="1000"/>
      <c r="D43" s="1828" t="s">
        <v>493</v>
      </c>
      <c r="E43" s="1829">
        <f>D41</f>
        <v>351652</v>
      </c>
      <c r="F43" s="1828" t="s">
        <v>495</v>
      </c>
      <c r="G43" s="1829">
        <f>F41</f>
        <v>1145524</v>
      </c>
    </row>
    <row r="44" spans="1:7" ht="12" customHeight="1" x14ac:dyDescent="0.2">
      <c r="A44" s="986"/>
      <c r="B44" s="162"/>
      <c r="C44" s="1000"/>
      <c r="D44" s="1828" t="s">
        <v>494</v>
      </c>
      <c r="E44" s="1829">
        <f>E41</f>
        <v>8525855</v>
      </c>
      <c r="F44" s="1828" t="s">
        <v>494</v>
      </c>
      <c r="G44" s="1829">
        <f>G41</f>
        <v>7731983</v>
      </c>
    </row>
    <row r="45" spans="1:7" ht="12" customHeight="1" x14ac:dyDescent="0.2">
      <c r="A45" s="986"/>
      <c r="B45" s="162"/>
      <c r="C45" s="162"/>
      <c r="D45" s="1830" t="s">
        <v>1063</v>
      </c>
      <c r="E45" s="1831">
        <f>(E43/E44)</f>
        <v>4.1245364834377317E-2</v>
      </c>
      <c r="F45" s="1830" t="s">
        <v>1063</v>
      </c>
      <c r="G45" s="1831">
        <f>(G43/G44)</f>
        <v>0.14815397292001289</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1" t="s">
        <v>1446</v>
      </c>
      <c r="B1" s="2321"/>
      <c r="C1" s="2321"/>
      <c r="D1" s="2321"/>
      <c r="E1" s="2321"/>
      <c r="F1" s="2321"/>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2" t="s">
        <v>1627</v>
      </c>
      <c r="B5" s="2323"/>
      <c r="C5" s="2324"/>
      <c r="D5" s="2324"/>
      <c r="E5" s="2324"/>
      <c r="F5" s="2324"/>
    </row>
    <row r="6" spans="1:10" ht="12" customHeight="1" x14ac:dyDescent="0.25">
      <c r="A6" s="1873"/>
      <c r="B6" s="1874"/>
      <c r="C6" s="2325" t="str">
        <f>COVER!A17</f>
        <v>Morrison CUSD 6</v>
      </c>
      <c r="D6" s="2325"/>
      <c r="E6" s="2325"/>
      <c r="F6" s="1875"/>
    </row>
    <row r="7" spans="1:10" ht="11.25" customHeight="1" thickBot="1" x14ac:dyDescent="0.3">
      <c r="A7" s="1873"/>
      <c r="B7" s="1874"/>
      <c r="C7" s="2326">
        <f>COVER!A13</f>
        <v>47098006026</v>
      </c>
      <c r="D7" s="2326"/>
      <c r="E7" s="2326"/>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c r="D26" s="1888" t="s">
        <v>2085</v>
      </c>
      <c r="E26" s="1891"/>
      <c r="F26" s="1890" t="s">
        <v>2087</v>
      </c>
      <c r="H26" s="1901">
        <f t="shared" si="0"/>
        <v>0</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t="s">
        <v>2085</v>
      </c>
      <c r="E31" s="1891"/>
      <c r="F31" s="1890" t="s">
        <v>2086</v>
      </c>
      <c r="H31" s="1901">
        <f t="shared" si="0"/>
        <v>0</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0</v>
      </c>
      <c r="I34" s="1901">
        <f>SUM(I11:I32)</f>
        <v>10</v>
      </c>
      <c r="J34" s="1901">
        <f>SUM(J11:J32)</f>
        <v>0</v>
      </c>
      <c r="K34" s="1901">
        <f>SUM(H34:J34)</f>
        <v>10</v>
      </c>
    </row>
    <row r="35" spans="1:11" ht="12" customHeight="1" x14ac:dyDescent="0.2">
      <c r="A35" s="1894" t="s">
        <v>1459</v>
      </c>
      <c r="B35" s="1895"/>
      <c r="C35" s="2327"/>
      <c r="D35" s="2327"/>
      <c r="E35" s="2327"/>
      <c r="F35" s="2328"/>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32"/>
      <c r="B38" s="2333"/>
      <c r="C38" s="2333"/>
      <c r="D38" s="2333"/>
      <c r="E38" s="2333"/>
      <c r="F38" s="2334"/>
    </row>
    <row r="39" spans="1:11" ht="4.5" hidden="1" customHeight="1" x14ac:dyDescent="0.2">
      <c r="A39" s="1896"/>
      <c r="B39" s="1896"/>
      <c r="C39" s="1896"/>
      <c r="D39" s="1896"/>
      <c r="E39" s="1896"/>
      <c r="F39" s="1896"/>
    </row>
    <row r="40" spans="1:11" s="1893" customFormat="1" ht="12" customHeight="1" x14ac:dyDescent="0.25">
      <c r="A40" s="1897" t="s">
        <v>1458</v>
      </c>
      <c r="B40" s="1898"/>
      <c r="C40" s="2335"/>
      <c r="D40" s="2335"/>
      <c r="E40" s="2335"/>
      <c r="F40" s="2336"/>
      <c r="H40" s="1902"/>
      <c r="I40" s="1902"/>
      <c r="J40" s="1902"/>
      <c r="K40" s="1902"/>
    </row>
    <row r="41" spans="1:11" s="1893" customFormat="1" ht="12" customHeight="1" x14ac:dyDescent="0.25">
      <c r="A41" s="2337"/>
      <c r="B41" s="2338"/>
      <c r="C41" s="2338"/>
      <c r="D41" s="2338"/>
      <c r="E41" s="2338"/>
      <c r="F41" s="2339"/>
      <c r="H41" s="1902"/>
      <c r="I41" s="1902"/>
      <c r="J41" s="1902"/>
      <c r="K41" s="1902"/>
    </row>
    <row r="42" spans="1:11" s="1893" customFormat="1" ht="12" customHeight="1" x14ac:dyDescent="0.25">
      <c r="A42" s="2337"/>
      <c r="B42" s="2338"/>
      <c r="C42" s="2338"/>
      <c r="D42" s="2338"/>
      <c r="E42" s="2338"/>
      <c r="F42" s="2339"/>
      <c r="H42" s="1902"/>
      <c r="I42" s="1902"/>
      <c r="J42" s="1902"/>
      <c r="K42" s="1902"/>
    </row>
    <row r="43" spans="1:11" s="1893" customFormat="1" ht="15" x14ac:dyDescent="0.25">
      <c r="A43" s="2329"/>
      <c r="B43" s="2330"/>
      <c r="C43" s="2330"/>
      <c r="D43" s="2330"/>
      <c r="E43" s="2330"/>
      <c r="F43" s="2331"/>
      <c r="H43" s="1902"/>
      <c r="I43" s="1902"/>
      <c r="J43" s="1902"/>
      <c r="K43" s="1902"/>
    </row>
    <row r="44" spans="1:11" s="1893" customFormat="1" ht="12" hidden="1" customHeight="1" x14ac:dyDescent="0.25">
      <c r="A44" s="2329"/>
      <c r="B44" s="2330"/>
      <c r="C44" s="2330"/>
      <c r="D44" s="2330"/>
      <c r="E44" s="2330"/>
      <c r="F44" s="2331"/>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45" t="str">
        <f>COVER!A17</f>
        <v>Morrison CUSD 6</v>
      </c>
      <c r="J6" s="2346"/>
      <c r="Q6" s="1684"/>
    </row>
    <row r="7" spans="1:17" x14ac:dyDescent="0.2">
      <c r="A7" s="2347" t="s">
        <v>924</v>
      </c>
      <c r="B7" s="2348"/>
      <c r="C7" s="2348"/>
      <c r="D7" s="2348"/>
      <c r="E7" s="2349"/>
      <c r="F7" s="1016"/>
      <c r="G7" s="1008"/>
      <c r="H7" s="1015" t="s">
        <v>390</v>
      </c>
      <c r="I7" s="2350">
        <f>COVER!A13</f>
        <v>47098006026</v>
      </c>
      <c r="J7" s="2350"/>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51" t="s">
        <v>502</v>
      </c>
      <c r="B11" s="2352"/>
      <c r="C11" s="235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184291</v>
      </c>
      <c r="F12" s="1038"/>
      <c r="G12" s="1832">
        <f t="shared" ref="G12:G18" si="0">SUM(E12:F12)</f>
        <v>184291</v>
      </c>
      <c r="H12" s="1039">
        <v>197595</v>
      </c>
      <c r="I12" s="1038"/>
      <c r="J12" s="1832">
        <f t="shared" ref="J12:J18" si="1">SUM(H12:I12)</f>
        <v>197595</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54" t="s">
        <v>7</v>
      </c>
      <c r="C18" s="2355"/>
      <c r="D18" s="2356"/>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184291</v>
      </c>
      <c r="F19" s="1834">
        <f t="shared" si="2"/>
        <v>0</v>
      </c>
      <c r="G19" s="1834">
        <f t="shared" si="2"/>
        <v>184291</v>
      </c>
      <c r="H19" s="1834">
        <f t="shared" si="2"/>
        <v>197595</v>
      </c>
      <c r="I19" s="1834">
        <f t="shared" si="2"/>
        <v>0</v>
      </c>
      <c r="J19" s="1834">
        <f t="shared" si="2"/>
        <v>197595</v>
      </c>
    </row>
    <row r="20" spans="1:10" ht="13.5" thickTop="1" x14ac:dyDescent="0.2">
      <c r="A20" s="1034">
        <v>9</v>
      </c>
      <c r="B20" s="2357" t="s">
        <v>1703</v>
      </c>
      <c r="C20" s="2357"/>
      <c r="D20" s="2358"/>
      <c r="E20" s="1045"/>
      <c r="F20" s="1045"/>
      <c r="G20" s="1045"/>
      <c r="H20" s="1045"/>
      <c r="I20" s="1045"/>
      <c r="J20" s="1835">
        <f>IF(AND(G19&gt;0,J19&gt;0),(((J19-G19)/G19)),"Enter Budget Data")</f>
        <v>7.2190177491033208E-2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63"/>
      <c r="D26" s="2363"/>
      <c r="E26" s="1049"/>
      <c r="F26" s="2362"/>
      <c r="G26" s="2362"/>
    </row>
    <row r="27" spans="1:10" x14ac:dyDescent="0.2">
      <c r="B27" s="1046"/>
      <c r="C27" s="1050" t="s">
        <v>1093</v>
      </c>
      <c r="D27" s="1051"/>
      <c r="E27" s="1052"/>
      <c r="F27" s="2359" t="s">
        <v>1589</v>
      </c>
      <c r="G27" s="2359"/>
    </row>
    <row r="28" spans="1:10" ht="28.5" customHeight="1" x14ac:dyDescent="0.2">
      <c r="B28" s="1046"/>
      <c r="C28" s="2361"/>
      <c r="D28" s="2361"/>
      <c r="E28" s="1053"/>
      <c r="F28" s="2361"/>
      <c r="G28" s="2361"/>
    </row>
    <row r="29" spans="1:10" x14ac:dyDescent="0.2">
      <c r="B29" s="1046"/>
      <c r="C29" s="1054" t="s">
        <v>1642</v>
      </c>
      <c r="E29" s="1055"/>
      <c r="F29" s="2360" t="s">
        <v>1590</v>
      </c>
      <c r="G29" s="2360"/>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42" t="s">
        <v>134</v>
      </c>
      <c r="D33" s="2343"/>
      <c r="E33" s="2343"/>
      <c r="F33" s="2343"/>
      <c r="G33" s="2343"/>
      <c r="H33" s="2343"/>
      <c r="I33" s="2343"/>
    </row>
    <row r="34" spans="1:10" ht="10.35" customHeight="1" x14ac:dyDescent="0.2">
      <c r="C34" s="2343"/>
      <c r="D34" s="2343"/>
      <c r="E34" s="2343"/>
      <c r="F34" s="2343"/>
      <c r="G34" s="2343"/>
      <c r="H34" s="2343"/>
      <c r="I34" s="2343"/>
    </row>
    <row r="35" spans="1:10" ht="7.5" customHeight="1" x14ac:dyDescent="0.2">
      <c r="C35" s="1061"/>
    </row>
    <row r="36" spans="1:10" ht="13.5" customHeight="1" x14ac:dyDescent="0.2">
      <c r="B36" s="1060"/>
      <c r="C36" s="2344" t="s">
        <v>1943</v>
      </c>
      <c r="D36" s="2343"/>
      <c r="E36" s="2343"/>
      <c r="F36" s="2343"/>
      <c r="G36" s="2343"/>
      <c r="H36" s="2343"/>
      <c r="I36" s="2343"/>
      <c r="J36" s="1062"/>
    </row>
    <row r="37" spans="1:10" ht="22.5" customHeight="1" x14ac:dyDescent="0.2">
      <c r="C37" s="2343"/>
      <c r="D37" s="2343"/>
      <c r="E37" s="2343"/>
      <c r="F37" s="2343"/>
      <c r="G37" s="2343"/>
      <c r="H37" s="2343"/>
      <c r="I37" s="2343"/>
      <c r="J37" s="1062"/>
    </row>
    <row r="38" spans="1:10" ht="7.5" customHeight="1" x14ac:dyDescent="0.2">
      <c r="C38" s="1061"/>
      <c r="D38" s="1063"/>
      <c r="E38" s="1064"/>
      <c r="F38" s="1065"/>
      <c r="G38" s="1064"/>
    </row>
    <row r="39" spans="1:10" ht="13.5" customHeight="1" x14ac:dyDescent="0.2">
      <c r="B39" s="1060" t="s">
        <v>2076</v>
      </c>
      <c r="C39" s="2340" t="s">
        <v>937</v>
      </c>
      <c r="D39" s="2341"/>
      <c r="E39" s="2341"/>
      <c r="F39" s="2341"/>
      <c r="G39" s="2341"/>
      <c r="H39" s="2341"/>
      <c r="I39" s="234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2166</v>
      </c>
    </row>
    <row r="6" spans="1:2" x14ac:dyDescent="0.2">
      <c r="A6" s="1067">
        <v>2</v>
      </c>
      <c r="B6" s="329" t="s">
        <v>2167</v>
      </c>
    </row>
    <row r="7" spans="1:2" x14ac:dyDescent="0.2">
      <c r="A7" s="1067">
        <v>3</v>
      </c>
      <c r="B7" s="329" t="s">
        <v>2168</v>
      </c>
    </row>
    <row r="8" spans="1:2" x14ac:dyDescent="0.2">
      <c r="A8" s="1067">
        <v>4</v>
      </c>
      <c r="B8" s="329" t="s">
        <v>2169</v>
      </c>
    </row>
    <row r="9" spans="1:2" x14ac:dyDescent="0.2">
      <c r="A9" s="1068"/>
      <c r="B9" s="329" t="s">
        <v>2170</v>
      </c>
    </row>
    <row r="10" spans="1:2" x14ac:dyDescent="0.2">
      <c r="A10" s="1068"/>
      <c r="B10" s="329" t="s">
        <v>2171</v>
      </c>
    </row>
    <row r="11" spans="1:2" x14ac:dyDescent="0.2">
      <c r="A11" s="1068"/>
      <c r="B11" s="329" t="s">
        <v>2172</v>
      </c>
    </row>
    <row r="12" spans="1:2" x14ac:dyDescent="0.2">
      <c r="A12" s="1068"/>
      <c r="B12" s="329" t="s">
        <v>2180</v>
      </c>
    </row>
    <row r="13" spans="1:2" x14ac:dyDescent="0.2">
      <c r="A13" s="1067">
        <v>5</v>
      </c>
      <c r="B13" s="329" t="s">
        <v>2173</v>
      </c>
    </row>
    <row r="14" spans="1:2" x14ac:dyDescent="0.2">
      <c r="A14" s="1067">
        <v>6</v>
      </c>
      <c r="B14" s="329" t="s">
        <v>2174</v>
      </c>
    </row>
    <row r="15" spans="1:2" x14ac:dyDescent="0.2">
      <c r="A15" s="1067">
        <v>7</v>
      </c>
      <c r="B15" s="329" t="s">
        <v>2175</v>
      </c>
    </row>
    <row r="16" spans="1:2" x14ac:dyDescent="0.2">
      <c r="A16" s="1067">
        <v>8</v>
      </c>
      <c r="B16" s="329" t="s">
        <v>2176</v>
      </c>
    </row>
    <row r="17" spans="1:2" x14ac:dyDescent="0.2">
      <c r="A17" s="1067">
        <v>9</v>
      </c>
      <c r="B17" s="329" t="s">
        <v>2177</v>
      </c>
    </row>
    <row r="18" spans="1:2" x14ac:dyDescent="0.2">
      <c r="A18" s="1067">
        <v>10</v>
      </c>
      <c r="B18" s="329" t="s">
        <v>2178</v>
      </c>
    </row>
    <row r="19" spans="1:2" x14ac:dyDescent="0.2">
      <c r="A19" s="1067"/>
      <c r="B19" s="329" t="s">
        <v>2179</v>
      </c>
    </row>
    <row r="20" spans="1:2" x14ac:dyDescent="0.2">
      <c r="A20" s="1067"/>
    </row>
    <row r="21" spans="1:2" x14ac:dyDescent="0.2">
      <c r="A21" s="1067"/>
    </row>
    <row r="22" spans="1:2" x14ac:dyDescent="0.2">
      <c r="A22" s="1067"/>
    </row>
    <row r="23" spans="1:2" x14ac:dyDescent="0.2">
      <c r="A23" s="1067"/>
    </row>
    <row r="24" spans="1:2" x14ac:dyDescent="0.2">
      <c r="A24" s="1067"/>
    </row>
    <row r="25" spans="1:2" x14ac:dyDescent="0.2">
      <c r="A25" s="1067"/>
    </row>
    <row r="26" spans="1:2" x14ac:dyDescent="0.2">
      <c r="A26" s="1067"/>
    </row>
    <row r="27" spans="1:2" x14ac:dyDescent="0.2">
      <c r="A27" s="1067"/>
    </row>
    <row r="28" spans="1:2" x14ac:dyDescent="0.2">
      <c r="A28" s="1067"/>
    </row>
    <row r="29" spans="1:2" x14ac:dyDescent="0.2">
      <c r="A29" s="1067"/>
    </row>
    <row r="30" spans="1:2" x14ac:dyDescent="0.2">
      <c r="A30" s="1067"/>
    </row>
    <row r="31" spans="1:2" x14ac:dyDescent="0.2">
      <c r="A31" s="1067"/>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Morrison CUSD 6</v>
      </c>
    </row>
    <row r="65" spans="2:2" x14ac:dyDescent="0.2">
      <c r="B65" s="1069">
        <f>COVER!A13</f>
        <v>47098006026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1" t="s">
        <v>1125</v>
      </c>
      <c r="B35" s="2081"/>
      <c r="C35" s="2081"/>
      <c r="D35" s="2081"/>
      <c r="E35" s="208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8" t="s">
        <v>715</v>
      </c>
      <c r="B40" s="2078"/>
      <c r="C40" s="2078"/>
      <c r="D40" s="2078"/>
      <c r="E40" s="2078"/>
    </row>
    <row r="41" spans="1:5" x14ac:dyDescent="0.2">
      <c r="A41" s="2079" t="s">
        <v>1706</v>
      </c>
      <c r="B41" s="2079"/>
      <c r="C41" s="2079"/>
      <c r="D41" s="2079"/>
      <c r="E41" s="2079"/>
    </row>
    <row r="42" spans="1:5" ht="12.75" customHeight="1" x14ac:dyDescent="0.2">
      <c r="A42" s="2080" t="s">
        <v>1080</v>
      </c>
      <c r="B42" s="2080"/>
      <c r="C42" s="2080"/>
      <c r="D42" s="2080"/>
      <c r="E42" s="208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64" t="s">
        <v>1784</v>
      </c>
      <c r="B18" s="236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1985" r:id="rId4"/>
      </mc:Fallback>
    </mc:AlternateContent>
    <mc:AlternateContent xmlns:mc="http://schemas.openxmlformats.org/markup-compatibility/2006">
      <mc:Choice Requires="x14">
        <oleObject progId="Acrobat Document" dvAspect="DVASPECT_ICON" shapeId="4198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198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5" t="s">
        <v>1790</v>
      </c>
      <c r="B1" s="2366"/>
      <c r="C1" s="2366"/>
      <c r="D1" s="2366"/>
      <c r="E1" s="2366"/>
      <c r="F1" s="2367"/>
    </row>
    <row r="2" spans="1:8" ht="45" customHeight="1" x14ac:dyDescent="0.2">
      <c r="A2" s="2375" t="s">
        <v>1791</v>
      </c>
      <c r="B2" s="2376"/>
      <c r="C2" s="2376"/>
      <c r="D2" s="2376"/>
      <c r="E2" s="2376"/>
      <c r="F2" s="2377"/>
      <c r="G2" s="1073"/>
      <c r="H2" s="1073"/>
    </row>
    <row r="3" spans="1:8" ht="57" customHeight="1" x14ac:dyDescent="0.2">
      <c r="A3" s="2378" t="s">
        <v>1786</v>
      </c>
      <c r="B3" s="2379"/>
      <c r="C3" s="2379"/>
      <c r="D3" s="2379"/>
      <c r="E3" s="2379"/>
      <c r="F3" s="2380"/>
      <c r="G3" s="1073"/>
      <c r="H3" s="1073"/>
    </row>
    <row r="4" spans="1:8" ht="14.25" customHeight="1" x14ac:dyDescent="0.2">
      <c r="A4" s="2384" t="s">
        <v>2055</v>
      </c>
      <c r="B4" s="2385"/>
      <c r="C4" s="2385"/>
      <c r="D4" s="2385"/>
      <c r="E4" s="2385"/>
      <c r="F4" s="2386"/>
      <c r="G4" s="1073"/>
      <c r="H4" s="1073"/>
    </row>
    <row r="5" spans="1:8" ht="14.25" customHeight="1" x14ac:dyDescent="0.2">
      <c r="A5" s="2387" t="s">
        <v>2056</v>
      </c>
      <c r="B5" s="2388"/>
      <c r="C5" s="2388"/>
      <c r="D5" s="2388"/>
      <c r="E5" s="2388"/>
      <c r="F5" s="2389"/>
      <c r="G5" s="1073"/>
      <c r="H5" s="1073"/>
    </row>
    <row r="6" spans="1:8" s="1074" customFormat="1" ht="41.25" customHeight="1" x14ac:dyDescent="0.2">
      <c r="A6" s="2381" t="s">
        <v>1792</v>
      </c>
      <c r="B6" s="2382"/>
      <c r="C6" s="2382"/>
      <c r="D6" s="2382"/>
      <c r="E6" s="2382"/>
      <c r="F6" s="2383"/>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7322130</v>
      </c>
      <c r="C8" s="1836">
        <f>'Acct Summary 7-8'!D8</f>
        <v>1188747</v>
      </c>
      <c r="D8" s="1836">
        <f>'Acct Summary 7-8'!F8</f>
        <v>477191</v>
      </c>
      <c r="E8" s="1836">
        <f>'Acct Summary 7-8'!I8</f>
        <v>77860</v>
      </c>
      <c r="F8" s="1836">
        <f>SUM(B8:E8)</f>
        <v>9065928</v>
      </c>
    </row>
    <row r="9" spans="1:8" s="1078" customFormat="1" ht="14.25" customHeight="1" thickBot="1" x14ac:dyDescent="0.25">
      <c r="A9" s="1077" t="s">
        <v>1436</v>
      </c>
      <c r="B9" s="1837">
        <f>'Acct Summary 7-8'!C17</f>
        <v>8119615</v>
      </c>
      <c r="C9" s="1837">
        <f>'Acct Summary 7-8'!D17</f>
        <v>767203</v>
      </c>
      <c r="D9" s="1837">
        <f>'Acct Summary 7-8'!F17</f>
        <v>418794</v>
      </c>
      <c r="E9" s="1836"/>
      <c r="F9" s="1836">
        <f>SUM(B9:E9)</f>
        <v>9305612</v>
      </c>
    </row>
    <row r="10" spans="1:8" s="1078" customFormat="1" ht="14.25" thickTop="1" thickBot="1" x14ac:dyDescent="0.25">
      <c r="A10" s="1079" t="s">
        <v>1437</v>
      </c>
      <c r="B10" s="1838">
        <f>(B8-B9)</f>
        <v>-797485</v>
      </c>
      <c r="C10" s="1838">
        <f>(C8-C9)</f>
        <v>421544</v>
      </c>
      <c r="D10" s="1838">
        <f>(D8-D9)</f>
        <v>58397</v>
      </c>
      <c r="E10" s="1837">
        <f>(E8-E9)</f>
        <v>77860</v>
      </c>
      <c r="F10" s="1839">
        <f>SUM(F8-F9)</f>
        <v>-239684</v>
      </c>
    </row>
    <row r="11" spans="1:8" s="1078" customFormat="1" ht="14.25" thickTop="1" thickBot="1" x14ac:dyDescent="0.25">
      <c r="A11" s="1080" t="s">
        <v>1785</v>
      </c>
      <c r="B11" s="1840">
        <f>'Acct Summary 7-8'!C81</f>
        <v>4581001</v>
      </c>
      <c r="C11" s="1840">
        <f>'Acct Summary 7-8'!D81</f>
        <v>648139</v>
      </c>
      <c r="D11" s="1840">
        <f>'Acct Summary 7-8'!F81</f>
        <v>466636</v>
      </c>
      <c r="E11" s="1840">
        <f>'Acct Summary 7-8'!I81</f>
        <v>893144</v>
      </c>
      <c r="F11" s="1841">
        <f>SUM(B11:E11)</f>
        <v>6588920</v>
      </c>
    </row>
    <row r="12" spans="1:8" ht="16.5" customHeight="1" thickTop="1" x14ac:dyDescent="0.2">
      <c r="A12" s="1081"/>
      <c r="B12" s="1082"/>
      <c r="C12" s="2369" t="str">
        <f>IF(AND(F10&lt;0,F11&gt;=0,ABS(F10*3)&gt;ABS(F11)),A16,IF(AND(F10&lt;0,F11&gt;0,ABS(F10*3)&lt;=ABS(F11)),A17,IF(AND(F10&lt;0,F11&lt;0),A16,IF(F11=0,A19,A18))))</f>
        <v>Unbalanced -  however, a deficit reduction plan is not required at this time.</v>
      </c>
      <c r="D12" s="2370"/>
      <c r="E12" s="2370"/>
      <c r="F12" s="2371"/>
    </row>
    <row r="13" spans="1:8" ht="19.5" customHeight="1" x14ac:dyDescent="0.2">
      <c r="A13" s="1083"/>
      <c r="B13" s="1084"/>
      <c r="C13" s="2369"/>
      <c r="D13" s="2370"/>
      <c r="E13" s="2370"/>
      <c r="F13" s="2371"/>
      <c r="H13" s="1073"/>
    </row>
    <row r="14" spans="1:8" ht="19.5" customHeight="1" x14ac:dyDescent="0.2">
      <c r="A14" s="1083"/>
      <c r="B14" s="1084"/>
      <c r="C14" s="2369"/>
      <c r="D14" s="2370"/>
      <c r="E14" s="2370"/>
      <c r="F14" s="2371"/>
      <c r="H14" s="1073"/>
    </row>
    <row r="15" spans="1:8" ht="17.25" customHeight="1" x14ac:dyDescent="0.2">
      <c r="A15" s="1083"/>
      <c r="B15" s="1084"/>
      <c r="C15" s="2372"/>
      <c r="D15" s="2373"/>
      <c r="E15" s="2373"/>
      <c r="F15" s="2374"/>
      <c r="H15" s="1073"/>
    </row>
    <row r="16" spans="1:8" s="310" customFormat="1" ht="51.75" hidden="1" customHeight="1" x14ac:dyDescent="0.2">
      <c r="A16" s="2368" t="s">
        <v>1787</v>
      </c>
      <c r="B16" s="2368"/>
      <c r="C16" s="2368"/>
      <c r="D16" s="2368"/>
      <c r="E16" s="2368"/>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90" t="s">
        <v>686</v>
      </c>
      <c r="B3" s="2391"/>
      <c r="C3" s="2391"/>
      <c r="D3" s="2392"/>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401" t="s">
        <v>1584</v>
      </c>
      <c r="D7" s="2402"/>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93" t="s">
        <v>1065</v>
      </c>
      <c r="B15" s="2394"/>
      <c r="C15" s="2394"/>
      <c r="D15" s="2395"/>
    </row>
    <row r="16" spans="1:4" s="667" customFormat="1" ht="24" customHeight="1" x14ac:dyDescent="0.2">
      <c r="A16" s="2396" t="s">
        <v>684</v>
      </c>
      <c r="B16" s="2397"/>
      <c r="C16" s="2397"/>
      <c r="D16" s="2398"/>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5" t="s">
        <v>332</v>
      </c>
      <c r="D21" s="2406"/>
    </row>
    <row r="22" spans="1:10" ht="12.75" x14ac:dyDescent="0.2">
      <c r="A22" s="1138"/>
      <c r="B22" s="1139">
        <v>2</v>
      </c>
      <c r="C22" s="2403" t="s">
        <v>1605</v>
      </c>
      <c r="D22" s="2404"/>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7" t="s">
        <v>557</v>
      </c>
      <c r="D43" s="2408"/>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9" t="s">
        <v>817</v>
      </c>
      <c r="D56" s="2400"/>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9" t="s">
        <v>1797</v>
      </c>
      <c r="D70" s="2400"/>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47098006026</v>
      </c>
    </row>
    <row r="3" spans="1:2" x14ac:dyDescent="0.2">
      <c r="A3" t="s">
        <v>1013</v>
      </c>
      <c r="B3" s="138" t="str">
        <f>COVER!A15</f>
        <v>Whiteside</v>
      </c>
    </row>
    <row r="4" spans="1:2" x14ac:dyDescent="0.2">
      <c r="A4" t="s">
        <v>1064</v>
      </c>
      <c r="B4" s="138" t="str">
        <f>COVER!A17</f>
        <v>Morrison CUSD 6</v>
      </c>
    </row>
    <row r="5" spans="1:2" x14ac:dyDescent="0.2">
      <c r="A5" t="s">
        <v>728</v>
      </c>
      <c r="B5" s="138" t="str">
        <f>COVER!A38</f>
        <v>Scott Vance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4581012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v>
      </c>
      <c r="C91" s="2" t="s">
        <v>594</v>
      </c>
      <c r="D91" s="2" t="str">
        <f t="shared" si="0"/>
        <v>Error?</v>
      </c>
    </row>
    <row r="92" spans="1:4" x14ac:dyDescent="0.2">
      <c r="A92" s="5">
        <v>31</v>
      </c>
      <c r="B92" s="138">
        <f>'Assets-Liab 5-6'!C39</f>
        <v>4466132</v>
      </c>
      <c r="D92" s="2" t="str">
        <f t="shared" si="0"/>
        <v>Error?</v>
      </c>
    </row>
    <row r="93" spans="1:4" x14ac:dyDescent="0.2">
      <c r="A93" s="5">
        <v>32</v>
      </c>
      <c r="B93" s="138">
        <f>'Assets-Liab 5-6'!C41</f>
        <v>4581012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648139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648139</v>
      </c>
      <c r="D123" s="2" t="str">
        <f t="shared" si="0"/>
        <v>Error?</v>
      </c>
    </row>
    <row r="124" spans="1:4" x14ac:dyDescent="0.2">
      <c r="A124" s="5">
        <v>63</v>
      </c>
      <c r="B124" s="138">
        <f>'Assets-Liab 5-6'!D41</f>
        <v>648139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944745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944745</v>
      </c>
      <c r="D140" s="2" t="str">
        <f t="shared" si="1"/>
        <v>Error?</v>
      </c>
    </row>
    <row r="141" spans="1:4" x14ac:dyDescent="0.2">
      <c r="A141" s="5">
        <v>80</v>
      </c>
      <c r="B141" s="138">
        <f>'Assets-Liab 5-6'!E41</f>
        <v>944745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466637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v>
      </c>
      <c r="C169" s="2" t="s">
        <v>594</v>
      </c>
      <c r="D169" s="2" t="str">
        <f t="shared" si="1"/>
        <v>Error?</v>
      </c>
    </row>
    <row r="170" spans="1:4" x14ac:dyDescent="0.2">
      <c r="A170" s="5">
        <v>109</v>
      </c>
      <c r="B170" s="138">
        <f>'Assets-Liab 5-6'!F39</f>
        <v>466636</v>
      </c>
      <c r="D170" s="2" t="str">
        <f t="shared" si="1"/>
        <v>Error?</v>
      </c>
    </row>
    <row r="171" spans="1:4" x14ac:dyDescent="0.2">
      <c r="A171" s="5">
        <v>110</v>
      </c>
      <c r="B171" s="138">
        <f>'Assets-Liab 5-6'!F41</f>
        <v>466637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541171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156104</v>
      </c>
      <c r="D189" s="2" t="str">
        <f t="shared" si="1"/>
        <v>Error?</v>
      </c>
    </row>
    <row r="190" spans="1:4" x14ac:dyDescent="0.2">
      <c r="A190" s="5">
        <v>129</v>
      </c>
      <c r="B190" s="138">
        <f>'Assets-Liab 5-6'!G41</f>
        <v>541171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2275324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2000000</v>
      </c>
      <c r="D212" s="2" t="str">
        <f t="shared" si="2"/>
        <v>Error?</v>
      </c>
    </row>
    <row r="213" spans="1:4" x14ac:dyDescent="0.2">
      <c r="A213" s="12">
        <v>152</v>
      </c>
      <c r="B213" s="138">
        <f>'Assets-Liab 5-6'!H41</f>
        <v>2275324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241825</v>
      </c>
      <c r="D273" s="2" t="str">
        <f t="shared" si="3"/>
        <v>Error?</v>
      </c>
    </row>
    <row r="274" spans="1:4" x14ac:dyDescent="0.2">
      <c r="A274" s="5">
        <v>213</v>
      </c>
      <c r="B274" s="138">
        <f>'Assets-Liab 5-6'!M17</f>
        <v>16608414</v>
      </c>
      <c r="D274" s="2" t="str">
        <f t="shared" si="3"/>
        <v>Error?</v>
      </c>
    </row>
    <row r="275" spans="1:4" x14ac:dyDescent="0.2">
      <c r="A275" s="5">
        <v>214</v>
      </c>
      <c r="B275" s="138">
        <f>'Assets-Liab 5-6'!M18</f>
        <v>1752339</v>
      </c>
      <c r="D275" s="2" t="str">
        <f t="shared" si="3"/>
        <v>Error?</v>
      </c>
    </row>
    <row r="276" spans="1:4" x14ac:dyDescent="0.2">
      <c r="A276" s="5">
        <v>215</v>
      </c>
      <c r="B276" s="138">
        <f>'Assets-Liab 5-6'!M19</f>
        <v>2261798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23638694</v>
      </c>
      <c r="C279" s="2" t="s">
        <v>594</v>
      </c>
      <c r="D279" s="2" t="str">
        <f t="shared" si="3"/>
        <v>Error?</v>
      </c>
    </row>
    <row r="280" spans="1:4" x14ac:dyDescent="0.2">
      <c r="A280" s="5">
        <v>219</v>
      </c>
      <c r="B280" s="138">
        <f>'Assets-Liab 5-6'!M40</f>
        <v>23638694</v>
      </c>
      <c r="D280" s="2" t="str">
        <f t="shared" si="3"/>
        <v>Error?</v>
      </c>
    </row>
    <row r="281" spans="1:4" x14ac:dyDescent="0.2">
      <c r="A281" s="5">
        <v>220</v>
      </c>
      <c r="B281" s="138">
        <f>'Assets-Liab 5-6'!M41</f>
        <v>23638694</v>
      </c>
      <c r="C281" s="2" t="s">
        <v>594</v>
      </c>
      <c r="D281" s="2" t="str">
        <f t="shared" si="3"/>
        <v>Error?</v>
      </c>
    </row>
    <row r="282" spans="1:4" x14ac:dyDescent="0.2">
      <c r="A282" s="5">
        <v>221</v>
      </c>
      <c r="B282" s="138">
        <f>'Assets-Liab 5-6'!N21</f>
        <v>944745</v>
      </c>
      <c r="D282" s="2" t="str">
        <f t="shared" si="3"/>
        <v>Error?</v>
      </c>
    </row>
    <row r="283" spans="1:4" x14ac:dyDescent="0.2">
      <c r="A283" s="5">
        <v>222</v>
      </c>
      <c r="B283" s="138">
        <f>'Assets-Liab 5-6'!N22</f>
        <v>8925255</v>
      </c>
      <c r="D283" s="2" t="str">
        <f t="shared" si="3"/>
        <v>Error?</v>
      </c>
    </row>
    <row r="284" spans="1:4" x14ac:dyDescent="0.2">
      <c r="A284" s="5">
        <v>223</v>
      </c>
      <c r="B284" s="138">
        <f>'Assets-Liab 5-6'!N23</f>
        <v>9870000</v>
      </c>
      <c r="C284" s="2" t="s">
        <v>594</v>
      </c>
      <c r="D284" s="2" t="str">
        <f t="shared" si="3"/>
        <v>Error?</v>
      </c>
    </row>
    <row r="285" spans="1:4" x14ac:dyDescent="0.2">
      <c r="A285" s="5">
        <v>224</v>
      </c>
      <c r="B285" s="138">
        <f>'Assets-Liab 5-6'!N36</f>
        <v>9870000</v>
      </c>
      <c r="D285" s="2" t="str">
        <f t="shared" si="3"/>
        <v>Error?</v>
      </c>
    </row>
    <row r="286" spans="1:4" x14ac:dyDescent="0.2">
      <c r="A286" s="10">
        <v>225</v>
      </c>
      <c r="D286" s="2" t="str">
        <f t="shared" si="3"/>
        <v>OK</v>
      </c>
    </row>
    <row r="287" spans="1:4" x14ac:dyDescent="0.2">
      <c r="A287" s="5">
        <v>226</v>
      </c>
      <c r="B287" s="138">
        <f>'Assets-Liab 5-6'!N37</f>
        <v>9870000</v>
      </c>
      <c r="C287" s="2" t="s">
        <v>594</v>
      </c>
      <c r="D287" s="2" t="str">
        <f t="shared" si="3"/>
        <v>Error?</v>
      </c>
    </row>
    <row r="288" spans="1:4" x14ac:dyDescent="0.2">
      <c r="A288" s="5">
        <v>227</v>
      </c>
      <c r="B288" s="138">
        <f>'Assets-Liab 5-6'!N41</f>
        <v>9870000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281422</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2000000</v>
      </c>
      <c r="D651" s="2" t="str">
        <f t="shared" si="9"/>
        <v>Error?</v>
      </c>
    </row>
    <row r="652" spans="1:4" x14ac:dyDescent="0.2">
      <c r="A652" s="5">
        <v>591</v>
      </c>
      <c r="B652" s="138">
        <f>'Acct Summary 7-8'!I34</f>
        <v>88875</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3114829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94859</v>
      </c>
      <c r="D717" s="2" t="str">
        <f t="shared" si="10"/>
        <v>Error?</v>
      </c>
    </row>
    <row r="718" spans="1:4" x14ac:dyDescent="0.2">
      <c r="A718" s="5">
        <v>657</v>
      </c>
      <c r="B718" s="138">
        <f>'Expenditures 15-22'!C14</f>
        <v>149494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4104468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146424</v>
      </c>
      <c r="D722" s="2" t="str">
        <f t="shared" si="10"/>
        <v>Error?</v>
      </c>
    </row>
    <row r="723" spans="1:4" x14ac:dyDescent="0.2">
      <c r="A723" s="5">
        <v>662</v>
      </c>
      <c r="B723" s="138">
        <f>'Expenditures 15-22'!C38</f>
        <v>86305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52851</v>
      </c>
      <c r="D725" s="2" t="str">
        <f t="shared" si="10"/>
        <v>Error?</v>
      </c>
    </row>
    <row r="726" spans="1:4" x14ac:dyDescent="0.2">
      <c r="A726" s="5">
        <v>665</v>
      </c>
      <c r="B726" s="138">
        <f>'Expenditures 15-22'!C41</f>
        <v>9532</v>
      </c>
      <c r="D726" s="2" t="str">
        <f t="shared" si="10"/>
        <v>Error?</v>
      </c>
    </row>
    <row r="727" spans="1:4" x14ac:dyDescent="0.2">
      <c r="A727" s="5">
        <v>666</v>
      </c>
      <c r="B727" s="138">
        <f>'Expenditures 15-22'!C42</f>
        <v>295112</v>
      </c>
      <c r="C727" s="2" t="s">
        <v>594</v>
      </c>
      <c r="D727" s="2" t="str">
        <f t="shared" si="10"/>
        <v>Error?</v>
      </c>
    </row>
    <row r="728" spans="1:4" x14ac:dyDescent="0.2">
      <c r="A728" s="5">
        <v>667</v>
      </c>
      <c r="B728" s="138">
        <f>'Expenditures 15-22'!C44</f>
        <v>94197</v>
      </c>
      <c r="D728" s="2" t="str">
        <f t="shared" si="10"/>
        <v>Error?</v>
      </c>
    </row>
    <row r="729" spans="1:4" x14ac:dyDescent="0.2">
      <c r="A729" s="5">
        <v>668</v>
      </c>
      <c r="B729" s="138">
        <f>'Expenditures 15-22'!C45</f>
        <v>52541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146738</v>
      </c>
      <c r="C731" s="2" t="s">
        <v>594</v>
      </c>
      <c r="D731" s="2" t="str">
        <f t="shared" si="10"/>
        <v>Error?</v>
      </c>
    </row>
    <row r="732" spans="1:4" x14ac:dyDescent="0.2">
      <c r="A732" s="5">
        <v>671</v>
      </c>
      <c r="B732" s="138">
        <f>'Expenditures 15-22'!C49</f>
        <v>3077</v>
      </c>
      <c r="D732" s="2" t="str">
        <f t="shared" si="10"/>
        <v>Error?</v>
      </c>
    </row>
    <row r="733" spans="1:4" x14ac:dyDescent="0.2">
      <c r="A733" s="5">
        <v>672</v>
      </c>
      <c r="B733" s="138">
        <f>'Expenditures 15-22'!C50</f>
        <v>149981</v>
      </c>
      <c r="D733" s="2" t="str">
        <f t="shared" si="10"/>
        <v>Error?</v>
      </c>
    </row>
    <row r="734" spans="1:4" x14ac:dyDescent="0.2">
      <c r="A734" s="5">
        <v>673</v>
      </c>
      <c r="B734" s="138">
        <f>'Expenditures 15-22'!C53</f>
        <v>153058</v>
      </c>
      <c r="C734" s="2" t="s">
        <v>594</v>
      </c>
      <c r="D734" s="2" t="str">
        <f t="shared" si="10"/>
        <v>Error?</v>
      </c>
    </row>
    <row r="735" spans="1:4" x14ac:dyDescent="0.2">
      <c r="A735" s="5">
        <v>674</v>
      </c>
      <c r="B735" s="138">
        <f>'Expenditures 15-22'!C55</f>
        <v>410508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410508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64122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140453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204575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7250</v>
      </c>
      <c r="D749" s="2" t="str">
        <f t="shared" si="10"/>
        <v>Error?</v>
      </c>
    </row>
    <row r="750" spans="1:4" x14ac:dyDescent="0.2">
      <c r="A750" s="10">
        <v>689</v>
      </c>
      <c r="D750" s="2" t="str">
        <f t="shared" si="10"/>
        <v>OK</v>
      </c>
    </row>
    <row r="751" spans="1:4" x14ac:dyDescent="0.2">
      <c r="A751" s="5">
        <v>690</v>
      </c>
      <c r="B751" s="138">
        <f>'Expenditures 15-22'!C71</f>
        <v>124194</v>
      </c>
      <c r="D751" s="2" t="str">
        <f t="shared" si="10"/>
        <v>Error?</v>
      </c>
    </row>
    <row r="752" spans="1:4" x14ac:dyDescent="0.2">
      <c r="A752" s="10">
        <v>691</v>
      </c>
      <c r="D752" s="2" t="str">
        <f t="shared" si="10"/>
        <v>OK</v>
      </c>
    </row>
    <row r="753" spans="1:4" x14ac:dyDescent="0.2">
      <c r="A753" s="5">
        <v>692</v>
      </c>
      <c r="B753" s="138">
        <f>'Expenditures 15-22'!C72</f>
        <v>131444</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1341435</v>
      </c>
      <c r="C755" s="2" t="s">
        <v>594</v>
      </c>
      <c r="D755" s="2" t="str">
        <f t="shared" si="10"/>
        <v>Error?</v>
      </c>
    </row>
    <row r="756" spans="1:4" x14ac:dyDescent="0.2">
      <c r="A756" s="5">
        <v>695</v>
      </c>
      <c r="B756" s="138">
        <f>'Expenditures 15-22'!C75</f>
        <v>979</v>
      </c>
      <c r="D756" s="2" t="str">
        <f t="shared" si="10"/>
        <v>Error?</v>
      </c>
    </row>
    <row r="757" spans="1:4" x14ac:dyDescent="0.2">
      <c r="A757" s="5">
        <v>696</v>
      </c>
      <c r="B757" s="138">
        <f>'Expenditures 15-22'!C114</f>
        <v>5446882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732096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22198</v>
      </c>
      <c r="D775" s="2" t="str">
        <f t="shared" si="11"/>
        <v>Error?</v>
      </c>
    </row>
    <row r="776" spans="1:4" x14ac:dyDescent="0.2">
      <c r="A776" s="5">
        <v>715</v>
      </c>
      <c r="B776" s="138">
        <f>'Expenditures 15-22'!D14</f>
        <v>26262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902250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33032</v>
      </c>
      <c r="D780" s="2" t="str">
        <f t="shared" si="11"/>
        <v>Error?</v>
      </c>
    </row>
    <row r="781" spans="1:4" x14ac:dyDescent="0.2">
      <c r="A781" s="5">
        <v>720</v>
      </c>
      <c r="B781" s="138">
        <f>'Expenditures 15-22'!D38</f>
        <v>14683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10420</v>
      </c>
      <c r="D783" s="2" t="str">
        <f t="shared" si="11"/>
        <v>Error?</v>
      </c>
    </row>
    <row r="784" spans="1:4" x14ac:dyDescent="0.2">
      <c r="A784" s="5">
        <v>723</v>
      </c>
      <c r="B784" s="138">
        <f>'Expenditures 15-22'!D41</f>
        <v>1611</v>
      </c>
      <c r="D784" s="2" t="str">
        <f t="shared" si="11"/>
        <v>Error?</v>
      </c>
    </row>
    <row r="785" spans="1:4" x14ac:dyDescent="0.2">
      <c r="A785" s="5">
        <v>724</v>
      </c>
      <c r="B785" s="138">
        <f>'Expenditures 15-22'!D42</f>
        <v>59746</v>
      </c>
      <c r="C785" s="2" t="s">
        <v>594</v>
      </c>
      <c r="D785" s="2" t="str">
        <f t="shared" si="11"/>
        <v>Error?</v>
      </c>
    </row>
    <row r="786" spans="1:4" x14ac:dyDescent="0.2">
      <c r="A786" s="5">
        <v>725</v>
      </c>
      <c r="B786" s="138">
        <f>'Expenditures 15-22'!D44</f>
        <v>29474</v>
      </c>
      <c r="D786" s="2" t="str">
        <f t="shared" si="11"/>
        <v>Error?</v>
      </c>
    </row>
    <row r="787" spans="1:4" x14ac:dyDescent="0.2">
      <c r="A787" s="5">
        <v>726</v>
      </c>
      <c r="B787" s="138">
        <f>'Expenditures 15-22'!D45</f>
        <v>10251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39725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20219</v>
      </c>
      <c r="D791" s="2" t="str">
        <f t="shared" si="11"/>
        <v>Error?</v>
      </c>
    </row>
    <row r="792" spans="1:4" x14ac:dyDescent="0.2">
      <c r="A792" s="5">
        <v>731</v>
      </c>
      <c r="B792" s="138">
        <f>'Expenditures 15-22'!D53</f>
        <v>20219</v>
      </c>
      <c r="C792" s="2" t="s">
        <v>594</v>
      </c>
      <c r="D792" s="2" t="str">
        <f t="shared" si="11"/>
        <v>Error?</v>
      </c>
    </row>
    <row r="793" spans="1:4" x14ac:dyDescent="0.2">
      <c r="A793" s="5">
        <v>732</v>
      </c>
      <c r="B793" s="138">
        <f>'Expenditures 15-22'!D55</f>
        <v>73859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73859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4958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9599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1687</v>
      </c>
      <c r="D807" s="2" t="str">
        <f t="shared" si="11"/>
        <v>Error?</v>
      </c>
    </row>
    <row r="808" spans="1:4" x14ac:dyDescent="0.2">
      <c r="A808" s="10">
        <v>747</v>
      </c>
      <c r="D808" s="2" t="str">
        <f t="shared" si="11"/>
        <v>OK</v>
      </c>
    </row>
    <row r="809" spans="1:4" x14ac:dyDescent="0.2">
      <c r="A809" s="5">
        <v>748</v>
      </c>
      <c r="B809" s="138">
        <f>'Expenditures 15-22'!D71</f>
        <v>17279</v>
      </c>
      <c r="D809" s="2" t="str">
        <f t="shared" si="11"/>
        <v>Error?</v>
      </c>
    </row>
    <row r="810" spans="1:4" x14ac:dyDescent="0.2">
      <c r="A810" s="10">
        <v>749</v>
      </c>
      <c r="D810" s="2" t="str">
        <f t="shared" si="11"/>
        <v>OK</v>
      </c>
    </row>
    <row r="811" spans="1:4" x14ac:dyDescent="0.2">
      <c r="A811" s="5">
        <v>750</v>
      </c>
      <c r="B811" s="138">
        <f>'Expenditures 15-22'!D72</f>
        <v>18966</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222114</v>
      </c>
      <c r="C813" s="2" t="s">
        <v>594</v>
      </c>
      <c r="D813" s="2" t="str">
        <f t="shared" si="11"/>
        <v>Error?</v>
      </c>
    </row>
    <row r="814" spans="1:4" x14ac:dyDescent="0.2">
      <c r="A814" s="5">
        <v>753</v>
      </c>
      <c r="B814" s="138">
        <f>'Expenditures 15-22'!D75</f>
        <v>202</v>
      </c>
      <c r="D814" s="2" t="str">
        <f t="shared" si="11"/>
        <v>Error?</v>
      </c>
    </row>
    <row r="815" spans="1:4" x14ac:dyDescent="0.2">
      <c r="A815" s="5">
        <v>754</v>
      </c>
      <c r="B815" s="138">
        <f>'Expenditures 15-22'!D114</f>
        <v>1124566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49824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25675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75678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9344</v>
      </c>
      <c r="D838" s="2" t="str">
        <f t="shared" si="12"/>
        <v>Error?</v>
      </c>
    </row>
    <row r="839" spans="1:4" x14ac:dyDescent="0.2">
      <c r="A839" s="5">
        <v>778</v>
      </c>
      <c r="B839" s="138">
        <f>'Expenditures 15-22'!E38</f>
        <v>245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9589</v>
      </c>
      <c r="C843" s="2" t="s">
        <v>594</v>
      </c>
      <c r="D843" s="2" t="str">
        <f t="shared" si="12"/>
        <v>Error?</v>
      </c>
    </row>
    <row r="844" spans="1:4" x14ac:dyDescent="0.2">
      <c r="A844" s="5">
        <v>783</v>
      </c>
      <c r="B844" s="138">
        <f>'Expenditures 15-22'!E44</f>
        <v>22071</v>
      </c>
      <c r="D844" s="2" t="str">
        <f t="shared" si="12"/>
        <v>Error?</v>
      </c>
    </row>
    <row r="845" spans="1:4" x14ac:dyDescent="0.2">
      <c r="A845" s="5">
        <v>784</v>
      </c>
      <c r="B845" s="138">
        <f>'Expenditures 15-22'!E45</f>
        <v>28400</v>
      </c>
      <c r="D845" s="2" t="str">
        <f t="shared" si="12"/>
        <v>Error?</v>
      </c>
    </row>
    <row r="846" spans="1:4" x14ac:dyDescent="0.2">
      <c r="A846" s="5">
        <v>785</v>
      </c>
      <c r="B846" s="138">
        <f>'Expenditures 15-22'!E46</f>
        <v>29007</v>
      </c>
      <c r="D846" s="2" t="str">
        <f t="shared" si="12"/>
        <v>Error?</v>
      </c>
    </row>
    <row r="847" spans="1:4" x14ac:dyDescent="0.2">
      <c r="A847" s="5">
        <v>786</v>
      </c>
      <c r="B847" s="138">
        <f>'Expenditures 15-22'!E47</f>
        <v>79478</v>
      </c>
      <c r="C847" s="2" t="s">
        <v>594</v>
      </c>
      <c r="D847" s="2" t="str">
        <f t="shared" si="12"/>
        <v>Error?</v>
      </c>
    </row>
    <row r="848" spans="1:4" x14ac:dyDescent="0.2">
      <c r="A848" s="5">
        <v>787</v>
      </c>
      <c r="B848" s="138">
        <f>'Expenditures 15-22'!E49</f>
        <v>104363</v>
      </c>
      <c r="D848" s="2" t="str">
        <f t="shared" si="12"/>
        <v>Error?</v>
      </c>
    </row>
    <row r="849" spans="1:4" x14ac:dyDescent="0.2">
      <c r="A849" s="5">
        <v>788</v>
      </c>
      <c r="B849" s="138">
        <f>'Expenditures 15-22'!E50</f>
        <v>6016</v>
      </c>
      <c r="D849" s="2" t="str">
        <f t="shared" si="12"/>
        <v>Error?</v>
      </c>
    </row>
    <row r="850" spans="1:4" x14ac:dyDescent="0.2">
      <c r="A850" s="5">
        <v>789</v>
      </c>
      <c r="B850" s="138">
        <f>'Expenditures 15-22'!E53</f>
        <v>110379</v>
      </c>
      <c r="C850" s="2" t="s">
        <v>594</v>
      </c>
      <c r="D850" s="2" t="str">
        <f t="shared" si="12"/>
        <v>Error?</v>
      </c>
    </row>
    <row r="851" spans="1:4" x14ac:dyDescent="0.2">
      <c r="A851" s="5">
        <v>790</v>
      </c>
      <c r="B851" s="138">
        <f>'Expenditures 15-22'!E55</f>
        <v>840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840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352</v>
      </c>
      <c r="D855" s="2" t="str">
        <f t="shared" si="12"/>
        <v>Error?</v>
      </c>
    </row>
    <row r="856" spans="1:4" x14ac:dyDescent="0.2">
      <c r="A856" s="5">
        <v>795</v>
      </c>
      <c r="B856" s="138">
        <f>'Expenditures 15-22'!E61</f>
        <v>107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25913</v>
      </c>
      <c r="D867" s="2" t="str">
        <f t="shared" si="12"/>
        <v>Error?</v>
      </c>
    </row>
    <row r="868" spans="1:4" x14ac:dyDescent="0.2">
      <c r="A868" s="10">
        <v>807</v>
      </c>
      <c r="D868" s="2" t="str">
        <f t="shared" si="12"/>
        <v>OK</v>
      </c>
    </row>
    <row r="869" spans="1:4" x14ac:dyDescent="0.2">
      <c r="A869" s="5">
        <v>808</v>
      </c>
      <c r="B869" s="138">
        <f>'Expenditures 15-22'!E72</f>
        <v>25913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226800</v>
      </c>
      <c r="C871" s="2" t="s">
        <v>594</v>
      </c>
      <c r="D871" s="2" t="str">
        <f t="shared" si="12"/>
        <v>Error?</v>
      </c>
    </row>
    <row r="872" spans="1:4" x14ac:dyDescent="0.2">
      <c r="A872" s="5">
        <v>811</v>
      </c>
      <c r="B872" s="138">
        <f>'Expenditures 15-22'!E75</f>
        <v>122</v>
      </c>
      <c r="D872" s="2" t="str">
        <f t="shared" si="12"/>
        <v>Error?</v>
      </c>
    </row>
    <row r="873" spans="1:4" x14ac:dyDescent="0.2">
      <c r="A873" s="5">
        <v>812</v>
      </c>
      <c r="B873" s="138">
        <f>'Expenditures 15-22'!E114</f>
        <v>302600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76410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36181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120114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1662</v>
      </c>
      <c r="D896" s="2" t="str">
        <f t="shared" si="13"/>
        <v>Error?</v>
      </c>
    </row>
    <row r="897" spans="1:4" x14ac:dyDescent="0.2">
      <c r="A897" s="5">
        <v>836</v>
      </c>
      <c r="B897" s="138">
        <f>'Expenditures 15-22'!F38</f>
        <v>1299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2961</v>
      </c>
      <c r="C901" s="2" t="s">
        <v>594</v>
      </c>
      <c r="D901" s="2" t="str">
        <f t="shared" si="13"/>
        <v>Error?</v>
      </c>
    </row>
    <row r="902" spans="1:4" x14ac:dyDescent="0.2">
      <c r="A902" s="5">
        <v>841</v>
      </c>
      <c r="B902" s="138">
        <f>'Expenditures 15-22'!F44</f>
        <v>14412</v>
      </c>
      <c r="D902" s="2" t="str">
        <f t="shared" si="13"/>
        <v>Error?</v>
      </c>
    </row>
    <row r="903" spans="1:4" x14ac:dyDescent="0.2">
      <c r="A903" s="5">
        <v>842</v>
      </c>
      <c r="B903" s="138">
        <f>'Expenditures 15-22'!F45</f>
        <v>8748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23160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905</v>
      </c>
      <c r="D907" s="2" t="str">
        <f t="shared" si="13"/>
        <v>Error?</v>
      </c>
    </row>
    <row r="908" spans="1:4" x14ac:dyDescent="0.2">
      <c r="A908" s="5">
        <v>847</v>
      </c>
      <c r="B908" s="138">
        <f>'Expenditures 15-22'!F53</f>
        <v>905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3965</v>
      </c>
      <c r="D913" s="2" t="str">
        <f t="shared" si="13"/>
        <v>Error?</v>
      </c>
    </row>
    <row r="914" spans="1:4" x14ac:dyDescent="0.2">
      <c r="A914" s="5">
        <v>853</v>
      </c>
      <c r="B914" s="138">
        <f>'Expenditures 15-22'!F61</f>
        <v>4523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243874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252362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77462</v>
      </c>
      <c r="D925" s="2" t="str">
        <f t="shared" si="13"/>
        <v>Error?</v>
      </c>
    </row>
    <row r="926" spans="1:4" x14ac:dyDescent="0.2">
      <c r="A926" s="10">
        <v>865</v>
      </c>
      <c r="D926" s="2" t="str">
        <f t="shared" si="13"/>
        <v>OK</v>
      </c>
    </row>
    <row r="927" spans="1:4" x14ac:dyDescent="0.2">
      <c r="A927" s="5">
        <v>866</v>
      </c>
      <c r="B927" s="138">
        <f>'Expenditures 15-22'!F72</f>
        <v>77462</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356850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476964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5885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27204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33089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87589</v>
      </c>
      <c r="D983" s="2" t="str">
        <f t="shared" si="14"/>
        <v>Error?</v>
      </c>
    </row>
    <row r="984" spans="1:4" x14ac:dyDescent="0.2">
      <c r="A984" s="10">
        <v>923</v>
      </c>
      <c r="D984" s="2" t="str">
        <f t="shared" si="14"/>
        <v>OK</v>
      </c>
    </row>
    <row r="985" spans="1:4" x14ac:dyDescent="0.2">
      <c r="A985" s="5">
        <v>924</v>
      </c>
      <c r="B985" s="138">
        <f>'Expenditures 15-22'!G72</f>
        <v>87589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87589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120678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2012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5291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263410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775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775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389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389</v>
      </c>
      <c r="C1021" s="2" t="s">
        <v>594</v>
      </c>
      <c r="D1021" s="2" t="str">
        <f t="shared" si="14"/>
        <v>Error?</v>
      </c>
    </row>
    <row r="1022" spans="1:4" x14ac:dyDescent="0.2">
      <c r="A1022" s="5">
        <v>961</v>
      </c>
      <c r="B1022" s="138">
        <f>'Expenditures 15-22'!H49</f>
        <v>154980</v>
      </c>
      <c r="D1022" s="2" t="str">
        <f t="shared" si="14"/>
        <v>Error?</v>
      </c>
    </row>
    <row r="1023" spans="1:4" x14ac:dyDescent="0.2">
      <c r="A1023" s="5">
        <v>962</v>
      </c>
      <c r="B1023" s="138">
        <f>'Expenditures 15-22'!H50</f>
        <v>7170</v>
      </c>
      <c r="D1023" s="2" t="str">
        <f t="shared" ref="D1023:D1086" si="15">IF(ISBLANK(B1023),"OK",IF(A1023-B1023=0,"OK","Error?"))</f>
        <v>Error?</v>
      </c>
    </row>
    <row r="1024" spans="1:4" x14ac:dyDescent="0.2">
      <c r="A1024" s="5">
        <v>963</v>
      </c>
      <c r="B1024" s="138">
        <f>'Expenditures 15-22'!H53</f>
        <v>162150</v>
      </c>
      <c r="C1024" s="2" t="s">
        <v>594</v>
      </c>
      <c r="D1024" s="2" t="str">
        <f t="shared" si="15"/>
        <v>Error?</v>
      </c>
    </row>
    <row r="1025" spans="1:4" x14ac:dyDescent="0.2">
      <c r="A1025" s="5">
        <v>964</v>
      </c>
      <c r="B1025" s="138">
        <f>'Expenditures 15-22'!H55</f>
        <v>623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623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199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164136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220379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647925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3981056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117057</v>
      </c>
      <c r="C1105" s="2" t="s">
        <v>594</v>
      </c>
      <c r="D1105" s="2" t="str">
        <f t="shared" si="16"/>
        <v>Error?</v>
      </c>
    </row>
    <row r="1106" spans="1:4" x14ac:dyDescent="0.2">
      <c r="A1106" s="5">
        <v>1045</v>
      </c>
      <c r="B1106" s="138">
        <f>'Expenditures 15-22'!K14</f>
        <v>270107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5499009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190462</v>
      </c>
      <c r="C1110" s="2" t="s">
        <v>594</v>
      </c>
      <c r="D1110" s="2" t="str">
        <f t="shared" si="16"/>
        <v>Error?</v>
      </c>
    </row>
    <row r="1111" spans="1:4" x14ac:dyDescent="0.2">
      <c r="A1111" s="5">
        <v>1050</v>
      </c>
      <c r="B1111" s="138">
        <f>'Expenditures 15-22'!K38</f>
        <v>103307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63271</v>
      </c>
      <c r="C1113" s="2" t="s">
        <v>594</v>
      </c>
      <c r="D1113" s="2" t="str">
        <f t="shared" si="16"/>
        <v>Error?</v>
      </c>
    </row>
    <row r="1114" spans="1:4" x14ac:dyDescent="0.2">
      <c r="A1114" s="5">
        <v>1053</v>
      </c>
      <c r="B1114" s="138">
        <f>'Expenditures 15-22'!K41</f>
        <v>11143</v>
      </c>
      <c r="C1114" s="2" t="s">
        <v>594</v>
      </c>
      <c r="D1114" s="2" t="str">
        <f t="shared" si="16"/>
        <v>Error?</v>
      </c>
    </row>
    <row r="1115" spans="1:4" x14ac:dyDescent="0.2">
      <c r="A1115" s="5">
        <v>1054</v>
      </c>
      <c r="B1115" s="138">
        <f>'Expenditures 15-22'!K42</f>
        <v>368183</v>
      </c>
      <c r="C1115" s="2" t="s">
        <v>594</v>
      </c>
      <c r="D1115" s="2" t="str">
        <f t="shared" si="16"/>
        <v>Error?</v>
      </c>
    </row>
    <row r="1116" spans="1:4" x14ac:dyDescent="0.2">
      <c r="A1116" s="5">
        <v>1055</v>
      </c>
      <c r="B1116" s="138">
        <f>'Expenditures 15-22'!K44</f>
        <v>160154</v>
      </c>
      <c r="C1116" s="2" t="s">
        <v>594</v>
      </c>
      <c r="D1116" s="2" t="str">
        <f t="shared" si="16"/>
        <v>Error?</v>
      </c>
    </row>
    <row r="1117" spans="1:4" x14ac:dyDescent="0.2">
      <c r="A1117" s="5">
        <v>1056</v>
      </c>
      <c r="B1117" s="138">
        <f>'Expenditures 15-22'!K45</f>
        <v>100329</v>
      </c>
      <c r="C1117" s="2" t="s">
        <v>594</v>
      </c>
      <c r="D1117" s="2" t="str">
        <f t="shared" si="16"/>
        <v>Error?</v>
      </c>
    </row>
    <row r="1118" spans="1:4" x14ac:dyDescent="0.2">
      <c r="A1118" s="5">
        <v>1057</v>
      </c>
      <c r="B1118" s="138">
        <f>'Expenditures 15-22'!K46</f>
        <v>29007</v>
      </c>
      <c r="C1118" s="2" t="s">
        <v>594</v>
      </c>
      <c r="D1118" s="2" t="str">
        <f t="shared" si="16"/>
        <v>Error?</v>
      </c>
    </row>
    <row r="1119" spans="1:4" x14ac:dyDescent="0.2">
      <c r="A1119" s="5">
        <v>1058</v>
      </c>
      <c r="B1119" s="138">
        <f>'Expenditures 15-22'!K47</f>
        <v>289490</v>
      </c>
      <c r="C1119" s="2" t="s">
        <v>594</v>
      </c>
      <c r="D1119" s="2" t="str">
        <f t="shared" si="16"/>
        <v>Error?</v>
      </c>
    </row>
    <row r="1120" spans="1:4" x14ac:dyDescent="0.2">
      <c r="A1120" s="5">
        <v>1059</v>
      </c>
      <c r="B1120" s="138">
        <f>'Expenditures 15-22'!K49</f>
        <v>262420</v>
      </c>
      <c r="C1120" s="2" t="s">
        <v>594</v>
      </c>
      <c r="D1120" s="2" t="str">
        <f t="shared" si="16"/>
        <v>Error?</v>
      </c>
    </row>
    <row r="1121" spans="1:4" x14ac:dyDescent="0.2">
      <c r="A1121" s="5">
        <v>1060</v>
      </c>
      <c r="B1121" s="138">
        <f>'Expenditures 15-22'!K50</f>
        <v>184291</v>
      </c>
      <c r="C1121" s="2" t="s">
        <v>594</v>
      </c>
      <c r="D1121" s="2" t="str">
        <f t="shared" si="16"/>
        <v>Error?</v>
      </c>
    </row>
    <row r="1122" spans="1:4" x14ac:dyDescent="0.2">
      <c r="A1122" s="5">
        <v>1061</v>
      </c>
      <c r="B1122" s="138">
        <f>'Expenditures 15-22'!K53</f>
        <v>446711</v>
      </c>
      <c r="C1122" s="2" t="s">
        <v>594</v>
      </c>
      <c r="D1122" s="2" t="str">
        <f t="shared" si="16"/>
        <v>Error?</v>
      </c>
    </row>
    <row r="1123" spans="1:4" x14ac:dyDescent="0.2">
      <c r="A1123" s="5">
        <v>1062</v>
      </c>
      <c r="B1123" s="138">
        <f>'Expenditures 15-22'!K55</f>
        <v>485830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485830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73397</v>
      </c>
      <c r="C1127" s="2" t="s">
        <v>594</v>
      </c>
      <c r="D1127" s="2" t="str">
        <f t="shared" si="16"/>
        <v>Error?</v>
      </c>
    </row>
    <row r="1128" spans="1:4" x14ac:dyDescent="0.2">
      <c r="A1128" s="5">
        <v>1067</v>
      </c>
      <c r="B1128" s="138">
        <f>'Expenditures 15-22'!K61</f>
        <v>4630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389309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467336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8937</v>
      </c>
      <c r="C1137" s="2" t="s">
        <v>594</v>
      </c>
      <c r="D1137" s="2" t="str">
        <f t="shared" si="16"/>
        <v>Error?</v>
      </c>
    </row>
    <row r="1138" spans="1:4" x14ac:dyDescent="0.2">
      <c r="A1138" s="10">
        <v>1077</v>
      </c>
      <c r="D1138" s="2" t="str">
        <f t="shared" si="16"/>
        <v>OK</v>
      </c>
    </row>
    <row r="1139" spans="1:4" x14ac:dyDescent="0.2">
      <c r="A1139" s="5">
        <v>1078</v>
      </c>
      <c r="B1139" s="138">
        <f>'Expenditures 15-22'!K71</f>
        <v>332437</v>
      </c>
      <c r="C1139" s="2" t="s">
        <v>594</v>
      </c>
      <c r="D1139" s="2" t="str">
        <f t="shared" si="16"/>
        <v>Error?</v>
      </c>
    </row>
    <row r="1140" spans="1:4" x14ac:dyDescent="0.2">
      <c r="A1140" s="10">
        <v>1079</v>
      </c>
      <c r="D1140" s="2" t="str">
        <f t="shared" si="16"/>
        <v>OK</v>
      </c>
    </row>
    <row r="1141" spans="1:4" x14ac:dyDescent="0.2">
      <c r="A1141" s="5">
        <v>1080</v>
      </c>
      <c r="B1141" s="138">
        <f>'Expenditures 15-22'!K72</f>
        <v>341374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2398924</v>
      </c>
      <c r="C1143" s="2" t="s">
        <v>594</v>
      </c>
      <c r="D1143" s="2" t="str">
        <f t="shared" si="16"/>
        <v>Error?</v>
      </c>
    </row>
    <row r="1144" spans="1:4" x14ac:dyDescent="0.2">
      <c r="A1144" s="5">
        <v>1083</v>
      </c>
      <c r="B1144" s="138">
        <f>'Expenditures 15-22'!K75</f>
        <v>1303</v>
      </c>
      <c r="C1144" s="2" t="s">
        <v>594</v>
      </c>
      <c r="D1144" s="2" t="str">
        <f t="shared" si="16"/>
        <v>Error?</v>
      </c>
    </row>
    <row r="1145" spans="1:4" x14ac:dyDescent="0.2">
      <c r="A1145" s="5">
        <v>1084</v>
      </c>
      <c r="B1145" s="138">
        <f>'Expenditures 15-22'!K102</f>
        <v>220379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8119615</v>
      </c>
      <c r="C1152" s="2" t="s">
        <v>594</v>
      </c>
      <c r="D1152" s="2" t="str">
        <f t="shared" si="17"/>
        <v>Error?</v>
      </c>
    </row>
    <row r="1153" spans="1:4" x14ac:dyDescent="0.2">
      <c r="A1153" s="5">
        <v>1092</v>
      </c>
      <c r="B1153" s="138">
        <f>'Expenditures 15-22'!K115</f>
        <v>-797485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290299</v>
      </c>
      <c r="D1221" s="2" t="str">
        <f t="shared" si="18"/>
        <v>Error?</v>
      </c>
    </row>
    <row r="1222" spans="1:4" x14ac:dyDescent="0.2">
      <c r="A1222" s="10">
        <v>1161</v>
      </c>
      <c r="D1222" s="2" t="str">
        <f t="shared" si="18"/>
        <v>OK</v>
      </c>
    </row>
    <row r="1223" spans="1:4" x14ac:dyDescent="0.2">
      <c r="A1223" s="5">
        <v>1162</v>
      </c>
      <c r="B1223" s="138">
        <f>'Expenditures 15-22'!C127</f>
        <v>290299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290299</v>
      </c>
      <c r="C1225" s="2" t="s">
        <v>594</v>
      </c>
      <c r="D1225" s="2" t="str">
        <f t="shared" si="18"/>
        <v>Error?</v>
      </c>
    </row>
    <row r="1226" spans="1:4" x14ac:dyDescent="0.2">
      <c r="A1226" s="5">
        <v>1165</v>
      </c>
      <c r="B1226" s="138">
        <f>'Expenditures 15-22'!C151</f>
        <v>290299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42226</v>
      </c>
      <c r="D1229" s="2" t="str">
        <f t="shared" si="18"/>
        <v>Error?</v>
      </c>
    </row>
    <row r="1230" spans="1:4" x14ac:dyDescent="0.2">
      <c r="A1230" s="10">
        <v>1169</v>
      </c>
      <c r="D1230" s="2" t="str">
        <f t="shared" si="18"/>
        <v>OK</v>
      </c>
    </row>
    <row r="1231" spans="1:4" x14ac:dyDescent="0.2">
      <c r="A1231" s="5">
        <v>1170</v>
      </c>
      <c r="B1231" s="138">
        <f>'Expenditures 15-22'!D127</f>
        <v>42226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42226</v>
      </c>
      <c r="C1233" s="2" t="s">
        <v>594</v>
      </c>
      <c r="D1233" s="2" t="str">
        <f t="shared" si="18"/>
        <v>Error?</v>
      </c>
    </row>
    <row r="1234" spans="1:4" x14ac:dyDescent="0.2">
      <c r="A1234" s="5">
        <v>1173</v>
      </c>
      <c r="B1234" s="138">
        <f>'Expenditures 15-22'!D151</f>
        <v>42226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140763</v>
      </c>
      <c r="D1237" s="2" t="str">
        <f t="shared" si="18"/>
        <v>Error?</v>
      </c>
    </row>
    <row r="1238" spans="1:4" x14ac:dyDescent="0.2">
      <c r="A1238" s="10">
        <v>1177</v>
      </c>
      <c r="D1238" s="2" t="str">
        <f t="shared" si="18"/>
        <v>OK</v>
      </c>
    </row>
    <row r="1239" spans="1:4" x14ac:dyDescent="0.2">
      <c r="A1239" s="5">
        <v>1178</v>
      </c>
      <c r="B1239" s="138">
        <f>'Expenditures 15-22'!E127</f>
        <v>140763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140763</v>
      </c>
      <c r="C1241" s="2" t="s">
        <v>594</v>
      </c>
      <c r="D1241" s="2" t="str">
        <f t="shared" si="18"/>
        <v>Error?</v>
      </c>
    </row>
    <row r="1242" spans="1:4" x14ac:dyDescent="0.2">
      <c r="A1242" s="5">
        <v>1181</v>
      </c>
      <c r="B1242" s="138">
        <f>'Expenditures 15-22'!E151</f>
        <v>145334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280822</v>
      </c>
      <c r="D1245" s="2" t="str">
        <f t="shared" si="18"/>
        <v>Error?</v>
      </c>
    </row>
    <row r="1246" spans="1:4" x14ac:dyDescent="0.2">
      <c r="A1246" s="10">
        <v>1185</v>
      </c>
      <c r="D1246" s="2" t="str">
        <f t="shared" si="18"/>
        <v>OK</v>
      </c>
    </row>
    <row r="1247" spans="1:4" x14ac:dyDescent="0.2">
      <c r="A1247" s="5">
        <v>1186</v>
      </c>
      <c r="B1247" s="138">
        <f>'Expenditures 15-22'!F127</f>
        <v>280822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280822</v>
      </c>
      <c r="C1249" s="2" t="s">
        <v>594</v>
      </c>
      <c r="D1249" s="2" t="str">
        <f t="shared" si="18"/>
        <v>Error?</v>
      </c>
    </row>
    <row r="1250" spans="1:4" x14ac:dyDescent="0.2">
      <c r="A1250" s="5">
        <v>1189</v>
      </c>
      <c r="B1250" s="138">
        <f>'Expenditures 15-22'!F151</f>
        <v>280822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514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514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514</v>
      </c>
      <c r="C1258" s="2" t="s">
        <v>594</v>
      </c>
      <c r="D1258" s="2" t="str">
        <f t="shared" si="18"/>
        <v>Error?</v>
      </c>
    </row>
    <row r="1259" spans="1:4" x14ac:dyDescent="0.2">
      <c r="A1259" s="5">
        <v>1198</v>
      </c>
      <c r="B1259" s="138">
        <f>'Expenditures 15-22'!G151</f>
        <v>514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8008</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8008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754624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754624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754624</v>
      </c>
      <c r="C1281" s="2" t="s">
        <v>594</v>
      </c>
      <c r="D1281" s="2" t="str">
        <f t="shared" si="19"/>
        <v>Error?</v>
      </c>
    </row>
    <row r="1282" spans="1:4" x14ac:dyDescent="0.2">
      <c r="A1282" s="5">
        <v>1221</v>
      </c>
      <c r="B1282" s="138">
        <f>'Expenditures 15-22'!K139</f>
        <v>8008</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767203</v>
      </c>
      <c r="C1288" s="2" t="s">
        <v>594</v>
      </c>
      <c r="D1288" s="2" t="str">
        <f t="shared" si="19"/>
        <v>Error?</v>
      </c>
    </row>
    <row r="1289" spans="1:4" x14ac:dyDescent="0.2">
      <c r="A1289" s="5">
        <v>1228</v>
      </c>
      <c r="B1289" s="138">
        <f>'Expenditures 15-22'!K152</f>
        <v>421544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355615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1030000</v>
      </c>
      <c r="D1315" s="2" t="str">
        <f t="shared" si="19"/>
        <v>Error?</v>
      </c>
    </row>
    <row r="1316" spans="1:4" x14ac:dyDescent="0.2">
      <c r="A1316" s="5">
        <v>1255</v>
      </c>
      <c r="B1316" s="138">
        <f>'Expenditures 15-22'!H171</f>
        <v>1200</v>
      </c>
      <c r="D1316" s="2" t="str">
        <f t="shared" si="19"/>
        <v>Error?</v>
      </c>
    </row>
    <row r="1317" spans="1:4" x14ac:dyDescent="0.2">
      <c r="A1317" s="5">
        <v>1256</v>
      </c>
      <c r="B1317" s="138">
        <f>'Expenditures 15-22'!H172</f>
        <v>1386815</v>
      </c>
      <c r="C1317" s="2" t="s">
        <v>594</v>
      </c>
      <c r="D1317" s="2" t="str">
        <f t="shared" si="19"/>
        <v>Error?</v>
      </c>
    </row>
    <row r="1318" spans="1:4" x14ac:dyDescent="0.2">
      <c r="A1318" s="5">
        <v>1257</v>
      </c>
      <c r="B1318" s="138">
        <f>'Expenditures 15-22'!H174</f>
        <v>1386815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355615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1030000</v>
      </c>
      <c r="C1329" s="2" t="s">
        <v>594</v>
      </c>
      <c r="D1329" s="2" t="str">
        <f t="shared" si="19"/>
        <v>Error?</v>
      </c>
    </row>
    <row r="1330" spans="1:4" x14ac:dyDescent="0.2">
      <c r="A1330" s="5">
        <v>1269</v>
      </c>
      <c r="B1330" s="138">
        <f>'Expenditures 15-22'!K171</f>
        <v>1200</v>
      </c>
      <c r="C1330" s="2" t="s">
        <v>594</v>
      </c>
      <c r="D1330" s="2" t="str">
        <f t="shared" si="19"/>
        <v>Error?</v>
      </c>
    </row>
    <row r="1331" spans="1:4" x14ac:dyDescent="0.2">
      <c r="A1331" s="5">
        <v>1270</v>
      </c>
      <c r="B1331" s="138">
        <f>'Expenditures 15-22'!K172</f>
        <v>1386815</v>
      </c>
      <c r="C1331" s="2" t="s">
        <v>594</v>
      </c>
      <c r="D1331" s="2" t="str">
        <f t="shared" si="19"/>
        <v>Error?</v>
      </c>
    </row>
    <row r="1332" spans="1:4" x14ac:dyDescent="0.2">
      <c r="A1332" s="5">
        <v>1271</v>
      </c>
      <c r="B1332" s="138">
        <f>'Expenditures 15-22'!K174</f>
        <v>1386815</v>
      </c>
      <c r="C1332" s="2" t="s">
        <v>594</v>
      </c>
      <c r="D1332" s="2" t="str">
        <f t="shared" si="19"/>
        <v>Error?</v>
      </c>
    </row>
    <row r="1333" spans="1:4" x14ac:dyDescent="0.2">
      <c r="A1333" s="5">
        <v>1272</v>
      </c>
      <c r="B1333" s="138">
        <f>'Expenditures 15-22'!K175</f>
        <v>-212299</v>
      </c>
      <c r="C1333" s="2" t="s">
        <v>594</v>
      </c>
      <c r="D1333" s="2" t="str">
        <f t="shared" si="19"/>
        <v>Error?</v>
      </c>
    </row>
    <row r="1334" spans="1:4" x14ac:dyDescent="0.2">
      <c r="A1334" s="10">
        <v>1273</v>
      </c>
      <c r="D1334" s="2" t="str">
        <f t="shared" si="19"/>
        <v>OK</v>
      </c>
    </row>
    <row r="1335" spans="1:4" x14ac:dyDescent="0.2">
      <c r="A1335" s="5">
        <v>1274</v>
      </c>
      <c r="B1335" s="138">
        <f>'Expenditures 15-22'!C182</f>
        <v>18679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18679</v>
      </c>
      <c r="C1339" s="2" t="s">
        <v>594</v>
      </c>
      <c r="D1339" s="2" t="str">
        <f t="shared" si="19"/>
        <v>Error?</v>
      </c>
    </row>
    <row r="1340" spans="1:4" x14ac:dyDescent="0.2">
      <c r="A1340" s="5">
        <v>1279</v>
      </c>
      <c r="B1340" s="138">
        <f>'Expenditures 15-22'!C210</f>
        <v>18679</v>
      </c>
      <c r="C1340" s="2" t="s">
        <v>594</v>
      </c>
      <c r="D1340" s="2" t="str">
        <f t="shared" si="19"/>
        <v>Error?</v>
      </c>
    </row>
    <row r="1341" spans="1:4" x14ac:dyDescent="0.2">
      <c r="A1341" s="5">
        <v>1280</v>
      </c>
      <c r="B1341" s="138">
        <f>'Expenditures 15-22'!D182</f>
        <v>1579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1579</v>
      </c>
      <c r="C1345" s="2" t="s">
        <v>594</v>
      </c>
      <c r="D1345" s="2" t="str">
        <f t="shared" si="20"/>
        <v>Error?</v>
      </c>
    </row>
    <row r="1346" spans="1:4" x14ac:dyDescent="0.2">
      <c r="A1346" s="5">
        <v>1285</v>
      </c>
      <c r="B1346" s="138">
        <f>'Expenditures 15-22'!D210</f>
        <v>1579</v>
      </c>
      <c r="C1346" s="2" t="s">
        <v>594</v>
      </c>
      <c r="D1346" s="2" t="str">
        <f t="shared" si="20"/>
        <v>Error?</v>
      </c>
    </row>
    <row r="1347" spans="1:4" x14ac:dyDescent="0.2">
      <c r="A1347" s="5">
        <v>1286</v>
      </c>
      <c r="B1347" s="138">
        <f>'Expenditures 15-22'!E182</f>
        <v>361659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361659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361659</v>
      </c>
      <c r="C1353" s="2" t="s">
        <v>594</v>
      </c>
      <c r="D1353" s="2" t="str">
        <f t="shared" si="20"/>
        <v>Error?</v>
      </c>
    </row>
    <row r="1354" spans="1:4" x14ac:dyDescent="0.2">
      <c r="A1354" s="5">
        <v>1293</v>
      </c>
      <c r="B1354" s="138">
        <f>'Expenditures 15-22'!F182</f>
        <v>36523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36523</v>
      </c>
      <c r="C1358" s="2" t="s">
        <v>594</v>
      </c>
      <c r="D1358" s="2" t="str">
        <f t="shared" si="20"/>
        <v>Error?</v>
      </c>
    </row>
    <row r="1359" spans="1:4" x14ac:dyDescent="0.2">
      <c r="A1359" s="5">
        <v>1298</v>
      </c>
      <c r="B1359" s="138">
        <f>'Expenditures 15-22'!F210</f>
        <v>36523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354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354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354</v>
      </c>
      <c r="C1376" s="2" t="s">
        <v>594</v>
      </c>
      <c r="D1376" s="2" t="str">
        <f t="shared" si="20"/>
        <v>Error?</v>
      </c>
    </row>
    <row r="1377" spans="1:4" x14ac:dyDescent="0.2">
      <c r="A1377" s="5">
        <v>1316</v>
      </c>
      <c r="B1377" s="138">
        <f>'Expenditures 15-22'!K182</f>
        <v>418794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418794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418794</v>
      </c>
      <c r="C1388" s="2" t="s">
        <v>594</v>
      </c>
      <c r="D1388" s="2" t="str">
        <f t="shared" si="20"/>
        <v>Error?</v>
      </c>
    </row>
    <row r="1389" spans="1:4" x14ac:dyDescent="0.2">
      <c r="A1389" s="5">
        <v>1328</v>
      </c>
      <c r="B1389" s="138">
        <f>'Expenditures 15-22'!K211</f>
        <v>58397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1185</v>
      </c>
      <c r="D1407" s="2" t="str">
        <f t="shared" ref="D1407:D1470" si="21">IF(ISBLANK(B1407),"OK",IF(A1407-B1407=0,"OK","Error?"))</f>
        <v>Error?</v>
      </c>
    </row>
    <row r="1408" spans="1:4" x14ac:dyDescent="0.2">
      <c r="A1408" s="5">
        <v>1347</v>
      </c>
      <c r="B1408" s="138">
        <f>'Expenditures 15-22'!D223</f>
        <v>4848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83461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3673</v>
      </c>
      <c r="D1412" s="2" t="str">
        <f t="shared" si="21"/>
        <v>Error?</v>
      </c>
    </row>
    <row r="1413" spans="1:4" x14ac:dyDescent="0.2">
      <c r="A1413" s="5">
        <v>1352</v>
      </c>
      <c r="B1413" s="138">
        <f>'Expenditures 15-22'!D234</f>
        <v>9190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539</v>
      </c>
      <c r="D1415" s="2" t="str">
        <f t="shared" si="21"/>
        <v>Error?</v>
      </c>
    </row>
    <row r="1416" spans="1:4" x14ac:dyDescent="0.2">
      <c r="A1416" s="5">
        <v>1355</v>
      </c>
      <c r="B1416" s="138">
        <f>'Expenditures 15-22'!D237</f>
        <v>375</v>
      </c>
      <c r="D1416" s="2" t="str">
        <f t="shared" si="21"/>
        <v>Error?</v>
      </c>
    </row>
    <row r="1417" spans="1:4" x14ac:dyDescent="0.2">
      <c r="A1417" s="5">
        <v>1356</v>
      </c>
      <c r="B1417" s="138">
        <f>'Expenditures 15-22'!D238</f>
        <v>13777</v>
      </c>
      <c r="C1417" s="2" t="s">
        <v>594</v>
      </c>
      <c r="D1417" s="2" t="str">
        <f t="shared" si="21"/>
        <v>Error?</v>
      </c>
    </row>
    <row r="1418" spans="1:4" x14ac:dyDescent="0.2">
      <c r="A1418" s="5">
        <v>1357</v>
      </c>
      <c r="B1418" s="138">
        <f>'Expenditures 15-22'!D240</f>
        <v>1345</v>
      </c>
      <c r="D1418" s="2" t="str">
        <f t="shared" si="21"/>
        <v>Error?</v>
      </c>
    </row>
    <row r="1419" spans="1:4" x14ac:dyDescent="0.2">
      <c r="A1419" s="5">
        <v>1358</v>
      </c>
      <c r="B1419" s="138">
        <f>'Expenditures 15-22'!D241</f>
        <v>2347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3692</v>
      </c>
      <c r="C1421" s="2" t="s">
        <v>594</v>
      </c>
      <c r="D1421" s="2" t="str">
        <f t="shared" si="21"/>
        <v>Error?</v>
      </c>
    </row>
    <row r="1422" spans="1:4" x14ac:dyDescent="0.2">
      <c r="A1422" s="5">
        <v>1361</v>
      </c>
      <c r="B1422" s="138">
        <f>'Expenditures 15-22'!D245</f>
        <v>355</v>
      </c>
      <c r="D1422" s="2" t="str">
        <f t="shared" si="21"/>
        <v>Error?</v>
      </c>
    </row>
    <row r="1423" spans="1:4" x14ac:dyDescent="0.2">
      <c r="A1423" s="5">
        <v>1362</v>
      </c>
      <c r="B1423" s="138">
        <f>'Expenditures 15-22'!D246</f>
        <v>4604</v>
      </c>
      <c r="D1423" s="2" t="str">
        <f t="shared" si="21"/>
        <v>Error?</v>
      </c>
    </row>
    <row r="1424" spans="1:4" x14ac:dyDescent="0.2">
      <c r="A1424" s="5">
        <v>1363</v>
      </c>
      <c r="B1424" s="138">
        <f>'Expenditures 15-22'!D257</f>
        <v>6621</v>
      </c>
      <c r="C1424" s="2" t="s">
        <v>594</v>
      </c>
      <c r="D1424" s="2" t="str">
        <f t="shared" si="21"/>
        <v>Error?</v>
      </c>
    </row>
    <row r="1425" spans="1:4" x14ac:dyDescent="0.2">
      <c r="A1425" s="5">
        <v>1364</v>
      </c>
      <c r="B1425" s="138">
        <f>'Expenditures 15-22'!D259</f>
        <v>14776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14776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8232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35132</v>
      </c>
      <c r="D1431" s="2" t="str">
        <f t="shared" si="21"/>
        <v>Error?</v>
      </c>
    </row>
    <row r="1432" spans="1:4" x14ac:dyDescent="0.2">
      <c r="A1432" s="5">
        <v>1371</v>
      </c>
      <c r="B1432" s="138">
        <f>'Expenditures 15-22'!D267</f>
        <v>1014</v>
      </c>
      <c r="D1432" s="2" t="str">
        <f t="shared" si="21"/>
        <v>Error?</v>
      </c>
    </row>
    <row r="1433" spans="1:4" x14ac:dyDescent="0.2">
      <c r="A1433" s="5">
        <v>1372</v>
      </c>
      <c r="B1433" s="138">
        <f>'Expenditures 15-22'!D268</f>
        <v>14815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59193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110</v>
      </c>
      <c r="D1440" s="2" t="str">
        <f t="shared" si="21"/>
        <v>Error?</v>
      </c>
    </row>
    <row r="1441" spans="1:4" x14ac:dyDescent="0.2">
      <c r="A1441" s="10">
        <v>1380</v>
      </c>
      <c r="D1441" s="2" t="str">
        <f t="shared" si="21"/>
        <v>OK</v>
      </c>
    </row>
    <row r="1442" spans="1:4" x14ac:dyDescent="0.2">
      <c r="A1442" s="5">
        <v>1381</v>
      </c>
      <c r="B1442" s="138">
        <f>'Expenditures 15-22'!D276</f>
        <v>16128</v>
      </c>
      <c r="D1442" s="2" t="str">
        <f t="shared" si="21"/>
        <v>Error?</v>
      </c>
    </row>
    <row r="1443" spans="1:4" x14ac:dyDescent="0.2">
      <c r="A1443" s="10">
        <v>1382</v>
      </c>
      <c r="D1443" s="2" t="str">
        <f t="shared" si="21"/>
        <v>OK</v>
      </c>
    </row>
    <row r="1444" spans="1:4" x14ac:dyDescent="0.2">
      <c r="A1444" s="5">
        <v>1383</v>
      </c>
      <c r="B1444" s="138">
        <f>'Expenditures 15-22'!D277</f>
        <v>16238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114297</v>
      </c>
      <c r="C1446" s="2" t="s">
        <v>594</v>
      </c>
      <c r="D1446" s="2" t="str">
        <f t="shared" si="21"/>
        <v>Error?</v>
      </c>
    </row>
    <row r="1447" spans="1:4" x14ac:dyDescent="0.2">
      <c r="A1447" s="5">
        <v>1386</v>
      </c>
      <c r="B1447" s="138">
        <f>'Expenditures 15-22'!D280</f>
        <v>14</v>
      </c>
      <c r="D1447" s="2" t="str">
        <f t="shared" si="21"/>
        <v>Error?</v>
      </c>
    </row>
    <row r="1448" spans="1:4" x14ac:dyDescent="0.2">
      <c r="A1448" s="5">
        <v>1387</v>
      </c>
      <c r="B1448" s="138">
        <f>'Expenditures 15-22'!D295</f>
        <v>197772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1185</v>
      </c>
      <c r="C1471" s="2" t="s">
        <v>594</v>
      </c>
      <c r="D1471" s="2" t="str">
        <f t="shared" ref="D1471:D1534" si="22">IF(ISBLANK(B1471),"OK",IF(A1471-B1471=0,"OK","Error?"))</f>
        <v>Error?</v>
      </c>
    </row>
    <row r="1472" spans="1:4" x14ac:dyDescent="0.2">
      <c r="A1472" s="5">
        <v>1411</v>
      </c>
      <c r="B1472" s="138">
        <f>'Expenditures 15-22'!K223</f>
        <v>4848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83461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3673</v>
      </c>
      <c r="C1476" s="2" t="s">
        <v>594</v>
      </c>
      <c r="D1476" s="2" t="str">
        <f t="shared" si="22"/>
        <v>Error?</v>
      </c>
    </row>
    <row r="1477" spans="1:4" x14ac:dyDescent="0.2">
      <c r="A1477" s="5">
        <v>1416</v>
      </c>
      <c r="B1477" s="138">
        <f>'Expenditures 15-22'!K234</f>
        <v>9190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539</v>
      </c>
      <c r="C1479" s="2" t="s">
        <v>594</v>
      </c>
      <c r="D1479" s="2" t="str">
        <f t="shared" si="22"/>
        <v>Error?</v>
      </c>
    </row>
    <row r="1480" spans="1:4" x14ac:dyDescent="0.2">
      <c r="A1480" s="5">
        <v>1419</v>
      </c>
      <c r="B1480" s="138">
        <f>'Expenditures 15-22'!K237</f>
        <v>375</v>
      </c>
      <c r="C1480" s="2" t="s">
        <v>594</v>
      </c>
      <c r="D1480" s="2" t="str">
        <f t="shared" si="22"/>
        <v>Error?</v>
      </c>
    </row>
    <row r="1481" spans="1:4" x14ac:dyDescent="0.2">
      <c r="A1481" s="5">
        <v>1420</v>
      </c>
      <c r="B1481" s="138">
        <f>'Expenditures 15-22'!K238</f>
        <v>13777</v>
      </c>
      <c r="C1481" s="2" t="s">
        <v>594</v>
      </c>
      <c r="D1481" s="2" t="str">
        <f t="shared" si="22"/>
        <v>Error?</v>
      </c>
    </row>
    <row r="1482" spans="1:4" x14ac:dyDescent="0.2">
      <c r="A1482" s="5">
        <v>1421</v>
      </c>
      <c r="B1482" s="138">
        <f>'Expenditures 15-22'!K240</f>
        <v>1345</v>
      </c>
      <c r="C1482" s="2" t="s">
        <v>594</v>
      </c>
      <c r="D1482" s="2" t="str">
        <f t="shared" si="22"/>
        <v>Error?</v>
      </c>
    </row>
    <row r="1483" spans="1:4" x14ac:dyDescent="0.2">
      <c r="A1483" s="5">
        <v>1422</v>
      </c>
      <c r="B1483" s="138">
        <f>'Expenditures 15-22'!K241</f>
        <v>2347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3692</v>
      </c>
      <c r="C1485" s="2" t="s">
        <v>594</v>
      </c>
      <c r="D1485" s="2" t="str">
        <f t="shared" si="22"/>
        <v>Error?</v>
      </c>
    </row>
    <row r="1486" spans="1:4" x14ac:dyDescent="0.2">
      <c r="A1486" s="5">
        <v>1425</v>
      </c>
      <c r="B1486" s="138">
        <f>'Expenditures 15-22'!K245</f>
        <v>355</v>
      </c>
      <c r="C1486" s="2" t="s">
        <v>594</v>
      </c>
      <c r="D1486" s="2" t="str">
        <f t="shared" si="22"/>
        <v>Error?</v>
      </c>
    </row>
    <row r="1487" spans="1:4" x14ac:dyDescent="0.2">
      <c r="A1487" s="5">
        <v>1426</v>
      </c>
      <c r="B1487" s="138">
        <f>'Expenditures 15-22'!K246</f>
        <v>4604</v>
      </c>
      <c r="C1487" s="2" t="s">
        <v>594</v>
      </c>
      <c r="D1487" s="2" t="str">
        <f t="shared" si="22"/>
        <v>Error?</v>
      </c>
    </row>
    <row r="1488" spans="1:4" x14ac:dyDescent="0.2">
      <c r="A1488" s="5">
        <v>1427</v>
      </c>
      <c r="B1488" s="138">
        <f>'Expenditures 15-22'!K257</f>
        <v>6621</v>
      </c>
      <c r="C1488" s="2" t="s">
        <v>594</v>
      </c>
      <c r="D1488" s="2" t="str">
        <f t="shared" si="22"/>
        <v>Error?</v>
      </c>
    </row>
    <row r="1489" spans="1:4" x14ac:dyDescent="0.2">
      <c r="A1489" s="5">
        <v>1428</v>
      </c>
      <c r="B1489" s="138">
        <f>'Expenditures 15-22'!K259</f>
        <v>14776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14776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8232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35132</v>
      </c>
      <c r="C1495" s="2" t="s">
        <v>594</v>
      </c>
      <c r="D1495" s="2" t="str">
        <f t="shared" si="22"/>
        <v>Error?</v>
      </c>
    </row>
    <row r="1496" spans="1:4" x14ac:dyDescent="0.2">
      <c r="A1496" s="5">
        <v>1435</v>
      </c>
      <c r="B1496" s="138">
        <f>'Expenditures 15-22'!K267</f>
        <v>1014</v>
      </c>
      <c r="C1496" s="2" t="s">
        <v>594</v>
      </c>
      <c r="D1496" s="2" t="str">
        <f t="shared" si="22"/>
        <v>Error?</v>
      </c>
    </row>
    <row r="1497" spans="1:4" x14ac:dyDescent="0.2">
      <c r="A1497" s="5">
        <v>1436</v>
      </c>
      <c r="B1497" s="138">
        <f>'Expenditures 15-22'!K268</f>
        <v>14815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59193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110</v>
      </c>
      <c r="C1504" s="2" t="s">
        <v>594</v>
      </c>
      <c r="D1504" s="2" t="str">
        <f t="shared" si="22"/>
        <v>Error?</v>
      </c>
    </row>
    <row r="1505" spans="1:4" x14ac:dyDescent="0.2">
      <c r="A1505" s="10">
        <v>1444</v>
      </c>
      <c r="D1505" s="2" t="str">
        <f t="shared" si="22"/>
        <v>OK</v>
      </c>
    </row>
    <row r="1506" spans="1:4" x14ac:dyDescent="0.2">
      <c r="A1506" s="5">
        <v>1445</v>
      </c>
      <c r="B1506" s="138">
        <f>'Expenditures 15-22'!K276</f>
        <v>16128</v>
      </c>
      <c r="C1506" s="2" t="s">
        <v>594</v>
      </c>
      <c r="D1506" s="2" t="str">
        <f t="shared" si="22"/>
        <v>Error?</v>
      </c>
    </row>
    <row r="1507" spans="1:4" x14ac:dyDescent="0.2">
      <c r="A1507" s="10">
        <v>1446</v>
      </c>
      <c r="D1507" s="2" t="str">
        <f t="shared" si="22"/>
        <v>OK</v>
      </c>
    </row>
    <row r="1508" spans="1:4" x14ac:dyDescent="0.2">
      <c r="A1508" s="5">
        <v>1447</v>
      </c>
      <c r="B1508" s="138">
        <f>'Expenditures 15-22'!K277</f>
        <v>16238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114297</v>
      </c>
      <c r="C1510" s="2" t="s">
        <v>594</v>
      </c>
      <c r="D1510" s="2" t="str">
        <f t="shared" si="22"/>
        <v>Error?</v>
      </c>
    </row>
    <row r="1511" spans="1:4" x14ac:dyDescent="0.2">
      <c r="A1511" s="5">
        <v>1450</v>
      </c>
      <c r="B1511" s="138">
        <f>'Expenditures 15-22'!K280</f>
        <v>14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197772</v>
      </c>
      <c r="C1517" s="2" t="s">
        <v>594</v>
      </c>
      <c r="D1517" s="2" t="str">
        <f t="shared" si="22"/>
        <v>Error?</v>
      </c>
    </row>
    <row r="1518" spans="1:4" x14ac:dyDescent="0.2">
      <c r="A1518" s="5">
        <v>1457</v>
      </c>
      <c r="B1518" s="138">
        <f>'Expenditures 15-22'!K296</f>
        <v>-30840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27796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27796</v>
      </c>
      <c r="C1535" s="2" t="s">
        <v>594</v>
      </c>
      <c r="D1535" s="2" t="str">
        <f t="shared" ref="D1535:D1598" si="23">IF(ISBLANK(B1535),"OK",IF(A1535-B1535=0,"OK","Error?"))</f>
        <v>Error?</v>
      </c>
    </row>
    <row r="1536" spans="1:4" x14ac:dyDescent="0.2">
      <c r="A1536" s="5">
        <v>1475</v>
      </c>
      <c r="B1536" s="138">
        <f>'Expenditures 15-22'!E312</f>
        <v>27796</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27796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27796</v>
      </c>
      <c r="C1559" s="2" t="s">
        <v>594</v>
      </c>
      <c r="D1559" s="2" t="str">
        <f t="shared" si="23"/>
        <v>Error?</v>
      </c>
    </row>
    <row r="1560" spans="1:4" x14ac:dyDescent="0.2">
      <c r="A1560" s="5">
        <v>1499</v>
      </c>
      <c r="B1560" s="138">
        <f>'Expenditures 15-22'!K312</f>
        <v>27796</v>
      </c>
      <c r="C1560" s="2" t="s">
        <v>594</v>
      </c>
      <c r="D1560" s="2" t="str">
        <f t="shared" si="23"/>
        <v>Error?</v>
      </c>
    </row>
    <row r="1561" spans="1:4" x14ac:dyDescent="0.2">
      <c r="A1561" s="5">
        <v>1500</v>
      </c>
      <c r="B1561" s="138">
        <f>'Expenditures 15-22'!K313</f>
        <v>271336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5308486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4581001</v>
      </c>
      <c r="C1630" s="2" t="s">
        <v>594</v>
      </c>
      <c r="D1630" s="2" t="str">
        <f t="shared" si="24"/>
        <v>Error?</v>
      </c>
    </row>
    <row r="1631" spans="1:4" x14ac:dyDescent="0.2">
      <c r="A1631" s="5">
        <v>1570</v>
      </c>
      <c r="B1631" s="138">
        <f>'Acct Summary 7-8'!D79</f>
        <v>226595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648139</v>
      </c>
      <c r="C1644" s="2" t="s">
        <v>594</v>
      </c>
      <c r="D1644" s="2" t="str">
        <f t="shared" si="24"/>
        <v>Error?</v>
      </c>
    </row>
    <row r="1645" spans="1:4" x14ac:dyDescent="0.2">
      <c r="A1645" s="5">
        <v>1584</v>
      </c>
      <c r="B1645" s="138">
        <f>'Acct Summary 7-8'!E79</f>
        <v>875622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944745</v>
      </c>
      <c r="C1658" s="2" t="s">
        <v>594</v>
      </c>
      <c r="D1658" s="2" t="str">
        <f t="shared" si="24"/>
        <v>Error?</v>
      </c>
    </row>
    <row r="1659" spans="1:4" x14ac:dyDescent="0.2">
      <c r="A1659" s="5">
        <v>1598</v>
      </c>
      <c r="B1659" s="138">
        <f>'Acct Summary 7-8'!F79</f>
        <v>408239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466636</v>
      </c>
      <c r="C1672" s="2" t="s">
        <v>594</v>
      </c>
      <c r="D1672" s="2" t="str">
        <f t="shared" si="25"/>
        <v>Error?</v>
      </c>
    </row>
    <row r="1673" spans="1:4" x14ac:dyDescent="0.2">
      <c r="A1673" s="5">
        <v>1612</v>
      </c>
      <c r="B1673" s="138">
        <f>'Acct Summary 7-8'!G79</f>
        <v>572011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541171</v>
      </c>
      <c r="C1686" s="2" t="s">
        <v>594</v>
      </c>
      <c r="D1686" s="2" t="str">
        <f t="shared" si="25"/>
        <v>Error?</v>
      </c>
    </row>
    <row r="1687" spans="1:4" x14ac:dyDescent="0.2">
      <c r="A1687" s="5">
        <v>1626</v>
      </c>
      <c r="B1687" s="138">
        <f>'Acct Summary 7-8'!H79</f>
        <v>3988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2275324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3194278</v>
      </c>
      <c r="C1744" s="2" t="s">
        <v>594</v>
      </c>
      <c r="D1744" s="2" t="str">
        <f t="shared" si="26"/>
        <v>Error?</v>
      </c>
    </row>
    <row r="1745" spans="1:5" x14ac:dyDescent="0.2">
      <c r="A1745" s="5">
        <v>1684</v>
      </c>
      <c r="B1745" s="138">
        <f>'Tax Sched 23'!B5</f>
        <v>604978</v>
      </c>
      <c r="C1745" s="2" t="s">
        <v>594</v>
      </c>
      <c r="D1745" s="2" t="str">
        <f t="shared" si="26"/>
        <v>Error?</v>
      </c>
    </row>
    <row r="1746" spans="1:5" x14ac:dyDescent="0.2">
      <c r="A1746" s="5">
        <v>1685</v>
      </c>
      <c r="B1746" s="138">
        <f>'Tax Sched 23'!B6</f>
        <v>941063</v>
      </c>
      <c r="C1746" s="2" t="s">
        <v>594</v>
      </c>
      <c r="D1746" s="2" t="str">
        <f t="shared" si="26"/>
        <v>Error?</v>
      </c>
    </row>
    <row r="1747" spans="1:5" x14ac:dyDescent="0.2">
      <c r="A1747" s="5">
        <v>1686</v>
      </c>
      <c r="B1747" s="138">
        <f>'Tax Sched 23'!B7</f>
        <v>241991</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60498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307038</v>
      </c>
      <c r="C1752" s="2" t="s">
        <v>594</v>
      </c>
      <c r="D1752" s="2" t="str">
        <f t="shared" si="26"/>
        <v>Error?</v>
      </c>
    </row>
    <row r="1753" spans="1:5" x14ac:dyDescent="0.2">
      <c r="A1753" s="5">
        <v>1692</v>
      </c>
      <c r="B1753" s="138">
        <f>'Tax Sched 23'!B12</f>
        <v>60498</v>
      </c>
      <c r="C1753" s="2" t="s">
        <v>594</v>
      </c>
      <c r="D1753" s="2" t="str">
        <f t="shared" si="26"/>
        <v>Error?</v>
      </c>
    </row>
    <row r="1754" spans="1:5" x14ac:dyDescent="0.2">
      <c r="A1754" s="5">
        <v>1693</v>
      </c>
      <c r="B1754" s="138">
        <f>'Tax Sched 23'!B14</f>
        <v>48398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5672900</v>
      </c>
      <c r="C1759" s="2" t="s">
        <v>594</v>
      </c>
      <c r="D1759" s="2" t="str">
        <f t="shared" si="26"/>
        <v>Error?</v>
      </c>
    </row>
    <row r="1760" spans="1:5" x14ac:dyDescent="0.2">
      <c r="A1760" s="5">
        <v>1699</v>
      </c>
      <c r="B1760" s="138">
        <f>'Tax Sched 23'!D4</f>
        <v>1311614</v>
      </c>
      <c r="C1760" s="2" t="s">
        <v>594</v>
      </c>
      <c r="D1760" s="2" t="str">
        <f t="shared" si="26"/>
        <v>Error?</v>
      </c>
    </row>
    <row r="1761" spans="1:5" x14ac:dyDescent="0.2">
      <c r="A1761" s="5">
        <v>1700</v>
      </c>
      <c r="B1761" s="138">
        <f>'Tax Sched 23'!D5</f>
        <v>248412</v>
      </c>
      <c r="C1761" s="2" t="s">
        <v>594</v>
      </c>
      <c r="D1761" s="2" t="str">
        <f t="shared" si="26"/>
        <v>Error?</v>
      </c>
    </row>
    <row r="1762" spans="1:5" s="8" customFormat="1" x14ac:dyDescent="0.2">
      <c r="A1762" s="5">
        <v>1701</v>
      </c>
      <c r="B1762" s="138">
        <f>'Tax Sched 23'!D6</f>
        <v>381825</v>
      </c>
      <c r="C1762" s="2" t="s">
        <v>594</v>
      </c>
      <c r="D1762" s="2" t="str">
        <f t="shared" si="26"/>
        <v>Error?</v>
      </c>
      <c r="E1762" s="9"/>
    </row>
    <row r="1763" spans="1:5" x14ac:dyDescent="0.2">
      <c r="A1763" s="5">
        <v>1702</v>
      </c>
      <c r="B1763" s="138">
        <f>'Tax Sched 23'!D7</f>
        <v>99365</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24841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129682</v>
      </c>
      <c r="C1768" s="2" t="s">
        <v>594</v>
      </c>
      <c r="D1768" s="2" t="str">
        <f t="shared" si="26"/>
        <v>Error?</v>
      </c>
    </row>
    <row r="1769" spans="1:5" x14ac:dyDescent="0.2">
      <c r="A1769" s="5">
        <v>1708</v>
      </c>
      <c r="B1769" s="138">
        <f>'Tax Sched 23'!D12</f>
        <v>24841</v>
      </c>
      <c r="C1769" s="2" t="s">
        <v>594</v>
      </c>
      <c r="D1769" s="2" t="str">
        <f t="shared" si="26"/>
        <v>Error?</v>
      </c>
    </row>
    <row r="1770" spans="1:5" x14ac:dyDescent="0.2">
      <c r="A1770" s="5">
        <v>1709</v>
      </c>
      <c r="B1770" s="138">
        <f>'Tax Sched 23'!D14</f>
        <v>19873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2330240</v>
      </c>
      <c r="C1775" s="2" t="s">
        <v>594</v>
      </c>
      <c r="D1775" s="2" t="str">
        <f t="shared" si="26"/>
        <v>Error?</v>
      </c>
    </row>
    <row r="1776" spans="1:5" x14ac:dyDescent="0.2">
      <c r="A1776" s="5">
        <v>1715</v>
      </c>
      <c r="B1776" s="138">
        <f>'Tax Sched 23'!C4</f>
        <v>1882664</v>
      </c>
      <c r="D1776" s="2" t="str">
        <f t="shared" si="26"/>
        <v>Error?</v>
      </c>
    </row>
    <row r="1777" spans="1:4" x14ac:dyDescent="0.2">
      <c r="A1777" s="5">
        <v>1716</v>
      </c>
      <c r="B1777" s="138">
        <f>'Tax Sched 23'!C5</f>
        <v>356566</v>
      </c>
      <c r="D1777" s="2" t="str">
        <f t="shared" si="26"/>
        <v>Error?</v>
      </c>
    </row>
    <row r="1778" spans="1:4" x14ac:dyDescent="0.2">
      <c r="A1778" s="5">
        <v>1717</v>
      </c>
      <c r="B1778" s="138">
        <f>'Tax Sched 23'!C6</f>
        <v>559238</v>
      </c>
      <c r="D1778" s="2" t="str">
        <f t="shared" si="26"/>
        <v>Error?</v>
      </c>
    </row>
    <row r="1779" spans="1:4" x14ac:dyDescent="0.2">
      <c r="A1779" s="5">
        <v>1718</v>
      </c>
      <c r="B1779" s="138">
        <f>'Tax Sched 23'!C7</f>
        <v>142626</v>
      </c>
      <c r="D1779" s="2" t="str">
        <f t="shared" si="26"/>
        <v>Error?</v>
      </c>
    </row>
    <row r="1780" spans="1:4" x14ac:dyDescent="0.2">
      <c r="A1780" s="5">
        <v>1719</v>
      </c>
      <c r="B1780" s="138">
        <f>'Tax Sched 23'!C8</f>
        <v>0</v>
      </c>
      <c r="D1780" s="2" t="str">
        <f t="shared" si="26"/>
        <v>Error?</v>
      </c>
    </row>
    <row r="1781" spans="1:4" x14ac:dyDescent="0.2">
      <c r="A1781" s="5">
        <v>1720</v>
      </c>
      <c r="B1781" s="138">
        <f>'Tax Sched 23'!C10</f>
        <v>35657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177356</v>
      </c>
      <c r="D1784" s="2" t="str">
        <f t="shared" si="26"/>
        <v>Error?</v>
      </c>
    </row>
    <row r="1785" spans="1:4" x14ac:dyDescent="0.2">
      <c r="A1785" s="5">
        <v>1724</v>
      </c>
      <c r="B1785" s="138">
        <f>'Tax Sched 23'!C12</f>
        <v>35657</v>
      </c>
      <c r="D1785" s="2" t="str">
        <f t="shared" si="26"/>
        <v>Error?</v>
      </c>
    </row>
    <row r="1786" spans="1:4" x14ac:dyDescent="0.2">
      <c r="A1786" s="5">
        <v>1725</v>
      </c>
      <c r="B1786" s="138">
        <f>'Tax Sched 23'!C14</f>
        <v>28525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3342660</v>
      </c>
      <c r="C1791" s="2" t="s">
        <v>594</v>
      </c>
      <c r="D1791" s="2" t="str">
        <f t="shared" ref="D1791:D1854" si="27">IF(ISBLANK(B1791),"OK",IF(A1791-B1791=0,"OK","Error?"))</f>
        <v>Error?</v>
      </c>
    </row>
    <row r="1792" spans="1:4" x14ac:dyDescent="0.2">
      <c r="A1792" s="5">
        <v>1731</v>
      </c>
      <c r="B1792" s="138">
        <f>'Tax Sched 23'!F4</f>
        <v>1302580</v>
      </c>
      <c r="C1792" s="2" t="s">
        <v>594</v>
      </c>
      <c r="D1792" s="2" t="str">
        <f t="shared" si="27"/>
        <v>Error?</v>
      </c>
    </row>
    <row r="1793" spans="1:4" x14ac:dyDescent="0.2">
      <c r="A1793" s="5">
        <v>1732</v>
      </c>
      <c r="B1793" s="138">
        <f>'Tax Sched 23'!F5</f>
        <v>246700</v>
      </c>
      <c r="C1793" s="2" t="s">
        <v>594</v>
      </c>
      <c r="D1793" s="2" t="str">
        <f t="shared" si="27"/>
        <v>Error?</v>
      </c>
    </row>
    <row r="1794" spans="1:4" x14ac:dyDescent="0.2">
      <c r="A1794" s="5">
        <v>1733</v>
      </c>
      <c r="B1794" s="138">
        <f>'Tax Sched 23'!F6</f>
        <v>386924</v>
      </c>
      <c r="C1794" s="2" t="s">
        <v>594</v>
      </c>
      <c r="D1794" s="2" t="str">
        <f t="shared" si="27"/>
        <v>Error?</v>
      </c>
    </row>
    <row r="1795" spans="1:4" x14ac:dyDescent="0.2">
      <c r="A1795" s="5">
        <v>1734</v>
      </c>
      <c r="B1795" s="138">
        <f>'Tax Sched 23'!F7</f>
        <v>98680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24670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122708</v>
      </c>
      <c r="C1800" s="2" t="s">
        <v>594</v>
      </c>
      <c r="D1800" s="2" t="str">
        <f t="shared" si="27"/>
        <v>Error?</v>
      </c>
    </row>
    <row r="1801" spans="1:4" x14ac:dyDescent="0.2">
      <c r="A1801" s="5">
        <v>1740</v>
      </c>
      <c r="B1801" s="138">
        <f>'Tax Sched 23'!F12</f>
        <v>24670</v>
      </c>
      <c r="C1801" s="2" t="s">
        <v>594</v>
      </c>
      <c r="D1801" s="2" t="str">
        <f t="shared" si="27"/>
        <v>Error?</v>
      </c>
    </row>
    <row r="1802" spans="1:4" x14ac:dyDescent="0.2">
      <c r="A1802" s="5">
        <v>1741</v>
      </c>
      <c r="B1802" s="138">
        <f>'Tax Sched 23'!F14</f>
        <v>19736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2312717</v>
      </c>
      <c r="C1807" s="2" t="s">
        <v>594</v>
      </c>
      <c r="D1807" s="2" t="str">
        <f t="shared" si="27"/>
        <v>Error?</v>
      </c>
    </row>
    <row r="1808" spans="1:4" x14ac:dyDescent="0.2">
      <c r="A1808" s="5">
        <v>1747</v>
      </c>
      <c r="B1808" s="138">
        <f>'Tax Sched 23'!E4</f>
        <v>3185244</v>
      </c>
      <c r="D1808" s="2" t="str">
        <f t="shared" si="27"/>
        <v>Error?</v>
      </c>
    </row>
    <row r="1809" spans="1:4" x14ac:dyDescent="0.2">
      <c r="A1809" s="5">
        <v>1748</v>
      </c>
      <c r="B1809" s="138">
        <f>'Tax Sched 23'!E5</f>
        <v>603266</v>
      </c>
      <c r="D1809" s="2" t="str">
        <f t="shared" si="27"/>
        <v>Error?</v>
      </c>
    </row>
    <row r="1810" spans="1:4" x14ac:dyDescent="0.2">
      <c r="A1810" s="5">
        <v>1749</v>
      </c>
      <c r="B1810" s="138">
        <f>'Tax Sched 23'!E6</f>
        <v>946162</v>
      </c>
      <c r="D1810" s="2" t="str">
        <f t="shared" si="27"/>
        <v>Error?</v>
      </c>
    </row>
    <row r="1811" spans="1:4" x14ac:dyDescent="0.2">
      <c r="A1811" s="5">
        <v>1750</v>
      </c>
      <c r="B1811" s="138">
        <f>'Tax Sched 23'!E7</f>
        <v>241306</v>
      </c>
      <c r="D1811" s="2" t="str">
        <f t="shared" si="27"/>
        <v>Error?</v>
      </c>
    </row>
    <row r="1812" spans="1:4" x14ac:dyDescent="0.2">
      <c r="A1812" s="5">
        <v>1751</v>
      </c>
      <c r="B1812" s="138">
        <f>'Tax Sched 23'!E8</f>
        <v>0</v>
      </c>
      <c r="D1812" s="2" t="str">
        <f t="shared" si="27"/>
        <v>Error?</v>
      </c>
    </row>
    <row r="1813" spans="1:4" x14ac:dyDescent="0.2">
      <c r="A1813" s="5">
        <v>1752</v>
      </c>
      <c r="B1813" s="138">
        <f>'Tax Sched 23'!E10</f>
        <v>60327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300064</v>
      </c>
      <c r="D1816" s="2" t="str">
        <f t="shared" si="27"/>
        <v>Error?</v>
      </c>
    </row>
    <row r="1817" spans="1:4" x14ac:dyDescent="0.2">
      <c r="A1817" s="5">
        <v>1756</v>
      </c>
      <c r="B1817" s="138">
        <f>'Tax Sched 23'!E12</f>
        <v>60327</v>
      </c>
      <c r="D1817" s="2" t="str">
        <f t="shared" si="27"/>
        <v>Error?</v>
      </c>
    </row>
    <row r="1818" spans="1:4" x14ac:dyDescent="0.2">
      <c r="A1818" s="5">
        <v>1757</v>
      </c>
      <c r="B1818" s="138">
        <f>'Tax Sched 23'!E14</f>
        <v>48261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5655377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2960000</v>
      </c>
      <c r="C1939" s="2" t="s">
        <v>594</v>
      </c>
      <c r="D1939" s="2" t="str">
        <f t="shared" si="29"/>
        <v>Error?</v>
      </c>
    </row>
    <row r="1940" spans="1:5" x14ac:dyDescent="0.2">
      <c r="A1940" s="5">
        <v>1879</v>
      </c>
      <c r="B1940" s="138">
        <f>'Short-Term Long-Term Debt 24'!F49</f>
        <v>7915000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48398</v>
      </c>
      <c r="D1972" s="2" t="str">
        <f t="shared" si="29"/>
        <v>Error?</v>
      </c>
    </row>
    <row r="1973" spans="1:5" x14ac:dyDescent="0.2">
      <c r="A1973" s="5">
        <v>1912</v>
      </c>
      <c r="B1973" s="138">
        <f>'Rest Tax Levies-Tort Im 25'!H6</f>
        <v>34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48432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48432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241825</v>
      </c>
      <c r="D2008" s="2" t="str">
        <f t="shared" si="30"/>
        <v>Error?</v>
      </c>
    </row>
    <row r="2009" spans="1:4" x14ac:dyDescent="0.2">
      <c r="A2009" s="5">
        <v>1948</v>
      </c>
      <c r="B2009" s="138">
        <f>'Cap Outlay Deprec 26'!C8</f>
        <v>16608414</v>
      </c>
      <c r="D2009" s="2" t="str">
        <f t="shared" si="30"/>
        <v>Error?</v>
      </c>
    </row>
    <row r="2010" spans="1:4" x14ac:dyDescent="0.2">
      <c r="A2010" s="5">
        <v>1949</v>
      </c>
      <c r="B2010" s="138">
        <f>'Cap Outlay Deprec 26'!C10</f>
        <v>1752339</v>
      </c>
      <c r="D2010" s="2" t="str">
        <f t="shared" si="30"/>
        <v>Error?</v>
      </c>
    </row>
    <row r="2011" spans="1:4" x14ac:dyDescent="0.2">
      <c r="A2011" s="5">
        <v>1950</v>
      </c>
      <c r="B2011" s="138">
        <f>'Cap Outlay Deprec 26'!C12</f>
        <v>2150892</v>
      </c>
      <c r="D2011" s="2" t="str">
        <f t="shared" si="30"/>
        <v>Error?</v>
      </c>
    </row>
    <row r="2012" spans="1:4" x14ac:dyDescent="0.2">
      <c r="A2012" s="5">
        <v>1951</v>
      </c>
      <c r="B2012" s="138">
        <f>'Cap Outlay Deprec 26'!C13</f>
        <v>150558</v>
      </c>
      <c r="D2012" s="2" t="str">
        <f t="shared" si="30"/>
        <v>Error?</v>
      </c>
    </row>
    <row r="2013" spans="1:4" x14ac:dyDescent="0.2">
      <c r="A2013" s="5">
        <v>1952</v>
      </c>
      <c r="B2013" s="138">
        <f>'Cap Outlay Deprec 26'!C16</f>
        <v>21216003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121192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2583535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160844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160844</v>
      </c>
      <c r="C2025" s="2" t="s">
        <v>594</v>
      </c>
      <c r="D2025" s="2" t="str">
        <f t="shared" si="30"/>
        <v>Error?</v>
      </c>
    </row>
    <row r="2026" spans="1:4" x14ac:dyDescent="0.2">
      <c r="A2026" s="5">
        <v>1965</v>
      </c>
      <c r="B2026" s="138">
        <f>'Cap Outlay Deprec 26'!F5</f>
        <v>241825</v>
      </c>
      <c r="C2026" s="2" t="s">
        <v>594</v>
      </c>
      <c r="D2026" s="2" t="str">
        <f t="shared" si="30"/>
        <v>Error?</v>
      </c>
    </row>
    <row r="2027" spans="1:4" x14ac:dyDescent="0.2">
      <c r="A2027" s="5">
        <v>1966</v>
      </c>
      <c r="B2027" s="138">
        <f>'Cap Outlay Deprec 26'!F8</f>
        <v>16608414</v>
      </c>
      <c r="C2027" s="2" t="s">
        <v>594</v>
      </c>
      <c r="D2027" s="2" t="str">
        <f t="shared" si="30"/>
        <v>Error?</v>
      </c>
    </row>
    <row r="2028" spans="1:4" x14ac:dyDescent="0.2">
      <c r="A2028" s="5">
        <v>1967</v>
      </c>
      <c r="B2028" s="138">
        <f>'Cap Outlay Deprec 26'!F10</f>
        <v>1752339</v>
      </c>
      <c r="C2028" s="2" t="s">
        <v>594</v>
      </c>
      <c r="D2028" s="2" t="str">
        <f t="shared" si="30"/>
        <v>Error?</v>
      </c>
    </row>
    <row r="2029" spans="1:4" x14ac:dyDescent="0.2">
      <c r="A2029" s="5">
        <v>1968</v>
      </c>
      <c r="B2029" s="138">
        <f>'Cap Outlay Deprec 26'!F12</f>
        <v>2111240</v>
      </c>
      <c r="C2029" s="2" t="s">
        <v>594</v>
      </c>
      <c r="D2029" s="2" t="str">
        <f t="shared" si="30"/>
        <v>Error?</v>
      </c>
    </row>
    <row r="2030" spans="1:4" x14ac:dyDescent="0.2">
      <c r="A2030" s="5">
        <v>1969</v>
      </c>
      <c r="B2030" s="138">
        <f>'Cap Outlay Deprec 26'!F13</f>
        <v>150558</v>
      </c>
      <c r="C2030" s="2" t="s">
        <v>594</v>
      </c>
      <c r="D2030" s="2" t="str">
        <f t="shared" si="30"/>
        <v>Error?</v>
      </c>
    </row>
    <row r="2031" spans="1:4" x14ac:dyDescent="0.2">
      <c r="A2031" s="5">
        <v>1970</v>
      </c>
      <c r="B2031" s="138">
        <f>'Cap Outlay Deprec 26'!F16</f>
        <v>23638694</v>
      </c>
      <c r="C2031" s="2" t="s">
        <v>594</v>
      </c>
      <c r="D2031" s="2" t="str">
        <f t="shared" si="30"/>
        <v>Error?</v>
      </c>
    </row>
    <row r="2032" spans="1:4" x14ac:dyDescent="0.2">
      <c r="A2032" s="10">
        <v>1971</v>
      </c>
      <c r="D2032" s="2" t="str">
        <f t="shared" si="30"/>
        <v>OK</v>
      </c>
    </row>
    <row r="2033" spans="1:4" x14ac:dyDescent="0.2">
      <c r="A2033" s="5">
        <v>1972</v>
      </c>
      <c r="B2033" s="138">
        <f>'Cap Outlay Deprec 26'!H8</f>
        <v>7841423</v>
      </c>
      <c r="D2033" s="2" t="str">
        <f t="shared" si="30"/>
        <v>Error?</v>
      </c>
    </row>
    <row r="2034" spans="1:4" x14ac:dyDescent="0.2">
      <c r="A2034" s="5">
        <v>1973</v>
      </c>
      <c r="B2034" s="138">
        <f>'Cap Outlay Deprec 26'!H10</f>
        <v>1017031</v>
      </c>
      <c r="D2034" s="2" t="str">
        <f t="shared" si="30"/>
        <v>Error?</v>
      </c>
    </row>
    <row r="2035" spans="1:4" x14ac:dyDescent="0.2">
      <c r="A2035" s="5">
        <v>1974</v>
      </c>
      <c r="B2035" s="138">
        <f>'Cap Outlay Deprec 26'!H12</f>
        <v>1236736</v>
      </c>
      <c r="D2035" s="2" t="str">
        <f t="shared" si="30"/>
        <v>Error?</v>
      </c>
    </row>
    <row r="2036" spans="1:4" x14ac:dyDescent="0.2">
      <c r="A2036" s="5">
        <v>1975</v>
      </c>
      <c r="B2036" s="138">
        <f>'Cap Outlay Deprec 26'!H13</f>
        <v>146688</v>
      </c>
      <c r="D2036" s="2" t="str">
        <f t="shared" si="30"/>
        <v>Error?</v>
      </c>
    </row>
    <row r="2037" spans="1:4" x14ac:dyDescent="0.2">
      <c r="A2037" s="5">
        <v>1976</v>
      </c>
      <c r="B2037" s="138">
        <f>'Cap Outlay Deprec 26'!H16</f>
        <v>10241878</v>
      </c>
      <c r="C2037" s="2" t="s">
        <v>594</v>
      </c>
      <c r="D2037" s="2" t="str">
        <f t="shared" si="30"/>
        <v>Error?</v>
      </c>
    </row>
    <row r="2038" spans="1:4" x14ac:dyDescent="0.2">
      <c r="A2038" s="10">
        <v>1977</v>
      </c>
      <c r="D2038" s="2" t="str">
        <f t="shared" si="30"/>
        <v>OK</v>
      </c>
    </row>
    <row r="2039" spans="1:4" x14ac:dyDescent="0.2">
      <c r="A2039" s="5">
        <v>1978</v>
      </c>
      <c r="B2039" s="138">
        <f>'Cap Outlay Deprec 26'!I8</f>
        <v>332169</v>
      </c>
      <c r="D2039" s="2" t="str">
        <f t="shared" si="30"/>
        <v>Error?</v>
      </c>
    </row>
    <row r="2040" spans="1:4" x14ac:dyDescent="0.2">
      <c r="A2040" s="5">
        <v>1979</v>
      </c>
      <c r="B2040" s="138">
        <f>'Cap Outlay Deprec 26'!I10</f>
        <v>69875</v>
      </c>
      <c r="D2040" s="2" t="str">
        <f t="shared" si="30"/>
        <v>Error?</v>
      </c>
    </row>
    <row r="2041" spans="1:4" x14ac:dyDescent="0.2">
      <c r="A2041" s="5">
        <v>1980</v>
      </c>
      <c r="B2041" s="138">
        <f>'Cap Outlay Deprec 26'!I12</f>
        <v>211127</v>
      </c>
      <c r="D2041" s="2" t="str">
        <f t="shared" si="30"/>
        <v>Error?</v>
      </c>
    </row>
    <row r="2042" spans="1:4" x14ac:dyDescent="0.2">
      <c r="A2042" s="5">
        <v>1981</v>
      </c>
      <c r="B2042" s="138">
        <f>'Cap Outlay Deprec 26'!I13</f>
        <v>3870</v>
      </c>
      <c r="D2042" s="2" t="str">
        <f t="shared" si="30"/>
        <v>Error?</v>
      </c>
    </row>
    <row r="2043" spans="1:4" x14ac:dyDescent="0.2">
      <c r="A2043" s="5">
        <v>1982</v>
      </c>
      <c r="B2043" s="138">
        <f>'Cap Outlay Deprec 26'!I16</f>
        <v>617041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160844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160844</v>
      </c>
      <c r="C2049" s="2" t="s">
        <v>594</v>
      </c>
      <c r="D2049" s="2" t="str">
        <f t="shared" si="31"/>
        <v>Error?</v>
      </c>
    </row>
    <row r="2050" spans="1:4" x14ac:dyDescent="0.2">
      <c r="A2050" s="10">
        <v>1989</v>
      </c>
      <c r="D2050" s="2" t="str">
        <f t="shared" si="31"/>
        <v>OK</v>
      </c>
    </row>
    <row r="2051" spans="1:4" x14ac:dyDescent="0.2">
      <c r="A2051" s="5">
        <v>1990</v>
      </c>
      <c r="B2051" s="138">
        <f>'Cap Outlay Deprec 26'!K8</f>
        <v>8173592</v>
      </c>
      <c r="C2051" s="2" t="s">
        <v>594</v>
      </c>
      <c r="D2051" s="2" t="str">
        <f t="shared" si="31"/>
        <v>Error?</v>
      </c>
    </row>
    <row r="2052" spans="1:4" x14ac:dyDescent="0.2">
      <c r="A2052" s="5">
        <v>1991</v>
      </c>
      <c r="B2052" s="138">
        <f>'Cap Outlay Deprec 26'!K10</f>
        <v>1086906</v>
      </c>
      <c r="C2052" s="2" t="s">
        <v>594</v>
      </c>
      <c r="D2052" s="2" t="str">
        <f t="shared" si="31"/>
        <v>Error?</v>
      </c>
    </row>
    <row r="2053" spans="1:4" x14ac:dyDescent="0.2">
      <c r="A2053" s="5">
        <v>1992</v>
      </c>
      <c r="B2053" s="138">
        <f>'Cap Outlay Deprec 26'!K12</f>
        <v>1287019</v>
      </c>
      <c r="C2053" s="2" t="s">
        <v>594</v>
      </c>
      <c r="D2053" s="2" t="str">
        <f t="shared" si="31"/>
        <v>Error?</v>
      </c>
    </row>
    <row r="2054" spans="1:4" x14ac:dyDescent="0.2">
      <c r="A2054" s="5">
        <v>1993</v>
      </c>
      <c r="B2054" s="138">
        <f>'Cap Outlay Deprec 26'!K13</f>
        <v>150558</v>
      </c>
      <c r="C2054" s="2" t="s">
        <v>594</v>
      </c>
      <c r="D2054" s="2" t="str">
        <f t="shared" si="31"/>
        <v>Error?</v>
      </c>
    </row>
    <row r="2055" spans="1:4" x14ac:dyDescent="0.2">
      <c r="A2055" s="5">
        <v>1994</v>
      </c>
      <c r="B2055" s="138">
        <f>'Cap Outlay Deprec 26'!K16</f>
        <v>10698075</v>
      </c>
      <c r="C2055" s="2" t="s">
        <v>594</v>
      </c>
      <c r="D2055" s="2" t="str">
        <f t="shared" si="31"/>
        <v>Error?</v>
      </c>
    </row>
    <row r="2056" spans="1:4" x14ac:dyDescent="0.2">
      <c r="A2056" s="5">
        <v>1995</v>
      </c>
      <c r="B2056" s="138">
        <f>'Cap Outlay Deprec 26'!L5</f>
        <v>241825</v>
      </c>
      <c r="C2056" s="2" t="s">
        <v>594</v>
      </c>
      <c r="D2056" s="2" t="str">
        <f t="shared" si="31"/>
        <v>Error?</v>
      </c>
    </row>
    <row r="2057" spans="1:4" x14ac:dyDescent="0.2">
      <c r="A2057" s="5">
        <v>1996</v>
      </c>
      <c r="B2057" s="138">
        <f>'Cap Outlay Deprec 26'!L8</f>
        <v>8434822</v>
      </c>
      <c r="C2057" s="2" t="s">
        <v>594</v>
      </c>
      <c r="D2057" s="2" t="str">
        <f t="shared" si="31"/>
        <v>Error?</v>
      </c>
    </row>
    <row r="2058" spans="1:4" x14ac:dyDescent="0.2">
      <c r="A2058" s="5">
        <v>1997</v>
      </c>
      <c r="B2058" s="138">
        <f>'Cap Outlay Deprec 26'!L10</f>
        <v>665433</v>
      </c>
      <c r="C2058" s="2" t="s">
        <v>594</v>
      </c>
      <c r="D2058" s="2" t="str">
        <f t="shared" si="31"/>
        <v>Error?</v>
      </c>
    </row>
    <row r="2059" spans="1:4" x14ac:dyDescent="0.2">
      <c r="A2059" s="5">
        <v>1998</v>
      </c>
      <c r="B2059" s="138">
        <f>'Cap Outlay Deprec 26'!L12</f>
        <v>824221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12940619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220379</v>
      </c>
      <c r="C2089" s="2" t="s">
        <v>594</v>
      </c>
      <c r="D2089" s="2" t="str">
        <f t="shared" si="31"/>
        <v>Error?</v>
      </c>
    </row>
    <row r="2090" spans="1:4" x14ac:dyDescent="0.2">
      <c r="A2090" s="10">
        <v>2029</v>
      </c>
      <c r="D2090" s="2" t="str">
        <f t="shared" si="31"/>
        <v>OK</v>
      </c>
    </row>
    <row r="2091" spans="1:4" x14ac:dyDescent="0.2">
      <c r="A2091" s="5">
        <v>2030</v>
      </c>
      <c r="B2091" s="138">
        <f>'Expenditures 15-22'!H137</f>
        <v>8008</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8008</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2070000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114869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385067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275324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4081606</v>
      </c>
      <c r="C2551" s="2" t="s">
        <v>594</v>
      </c>
      <c r="D2551" s="2" t="str">
        <f t="shared" si="38"/>
        <v>Error?</v>
      </c>
    </row>
    <row r="2552" spans="1:4" x14ac:dyDescent="0.2">
      <c r="A2552" s="10">
        <v>2491</v>
      </c>
      <c r="D2552" s="2" t="str">
        <f t="shared" si="38"/>
        <v>OK</v>
      </c>
    </row>
    <row r="2553" spans="1:4" x14ac:dyDescent="0.2">
      <c r="A2553" s="5">
        <v>2492</v>
      </c>
      <c r="B2553" s="138">
        <f>'Acct Summary 7-8'!C6</f>
        <v>2905803</v>
      </c>
      <c r="C2553" s="2" t="s">
        <v>594</v>
      </c>
      <c r="D2553" s="2" t="str">
        <f t="shared" si="38"/>
        <v>Error?</v>
      </c>
    </row>
    <row r="2554" spans="1:4" x14ac:dyDescent="0.2">
      <c r="A2554" s="5">
        <v>2493</v>
      </c>
      <c r="B2554" s="138">
        <f>'Acct Summary 7-8'!C7</f>
        <v>334721</v>
      </c>
      <c r="C2554" s="2" t="s">
        <v>594</v>
      </c>
      <c r="D2554" s="2" t="str">
        <f t="shared" si="38"/>
        <v>Error?</v>
      </c>
    </row>
    <row r="2555" spans="1:4" x14ac:dyDescent="0.2">
      <c r="A2555" s="5">
        <v>2494</v>
      </c>
      <c r="B2555" s="138">
        <f>'Acct Summary 7-8'!C8</f>
        <v>7322130</v>
      </c>
      <c r="C2555" s="2" t="s">
        <v>594</v>
      </c>
      <c r="D2555" s="2" t="str">
        <f t="shared" si="38"/>
        <v>Error?</v>
      </c>
    </row>
    <row r="2556" spans="1:4" x14ac:dyDescent="0.2">
      <c r="A2556" s="5">
        <v>2495</v>
      </c>
      <c r="B2556" s="138">
        <f>'Acct Summary 7-8'!C12</f>
        <v>5499009</v>
      </c>
      <c r="C2556" s="2" t="s">
        <v>594</v>
      </c>
      <c r="D2556" s="2" t="str">
        <f t="shared" si="38"/>
        <v>Error?</v>
      </c>
    </row>
    <row r="2557" spans="1:4" x14ac:dyDescent="0.2">
      <c r="A2557" s="5">
        <v>2496</v>
      </c>
      <c r="B2557" s="138">
        <f>'Acct Summary 7-8'!C13</f>
        <v>2398924</v>
      </c>
      <c r="C2557" s="2" t="s">
        <v>594</v>
      </c>
      <c r="D2557" s="2" t="str">
        <f t="shared" si="38"/>
        <v>Error?</v>
      </c>
    </row>
    <row r="2558" spans="1:4" x14ac:dyDescent="0.2">
      <c r="A2558" s="5">
        <v>2497</v>
      </c>
      <c r="B2558" s="138">
        <f>'Acct Summary 7-8'!C14</f>
        <v>1303</v>
      </c>
      <c r="C2558" s="2" t="s">
        <v>594</v>
      </c>
      <c r="D2558" s="2" t="str">
        <f t="shared" si="38"/>
        <v>Error?</v>
      </c>
    </row>
    <row r="2559" spans="1:4" x14ac:dyDescent="0.2">
      <c r="A2559" s="5">
        <v>2498</v>
      </c>
      <c r="B2559" s="138">
        <f>'Acct Summary 7-8'!C15</f>
        <v>220379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8119615</v>
      </c>
      <c r="C2561" s="2" t="s">
        <v>594</v>
      </c>
      <c r="D2561" s="2" t="str">
        <f t="shared" si="39"/>
        <v>Error?</v>
      </c>
    </row>
    <row r="2562" spans="1:4" x14ac:dyDescent="0.2">
      <c r="A2562" s="5">
        <v>2501</v>
      </c>
      <c r="B2562" s="138">
        <f>'Acct Summary 7-8'!C20</f>
        <v>-797485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654671</v>
      </c>
      <c r="C2564" s="2" t="s">
        <v>594</v>
      </c>
      <c r="D2564" s="2" t="str">
        <f t="shared" si="39"/>
        <v>Error?</v>
      </c>
    </row>
    <row r="2565" spans="1:4" x14ac:dyDescent="0.2">
      <c r="A2565" s="10">
        <v>2504</v>
      </c>
      <c r="D2565" s="2" t="str">
        <f t="shared" si="39"/>
        <v>OK</v>
      </c>
    </row>
    <row r="2566" spans="1:4" x14ac:dyDescent="0.2">
      <c r="A2566" s="5">
        <v>2505</v>
      </c>
      <c r="B2566" s="138">
        <f>'Acct Summary 7-8'!D6</f>
        <v>534076</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1188747</v>
      </c>
      <c r="C2568" s="2" t="s">
        <v>594</v>
      </c>
      <c r="D2568" s="2" t="str">
        <f t="shared" si="39"/>
        <v>Error?</v>
      </c>
    </row>
    <row r="2569" spans="1:4" x14ac:dyDescent="0.2">
      <c r="A2569" s="5">
        <v>2508</v>
      </c>
      <c r="B2569" s="138">
        <f>'Acct Summary 7-8'!D13</f>
        <v>754624</v>
      </c>
      <c r="C2569" s="2" t="s">
        <v>594</v>
      </c>
      <c r="D2569" s="2" t="str">
        <f t="shared" si="39"/>
        <v>Error?</v>
      </c>
    </row>
    <row r="2570" spans="1:4" x14ac:dyDescent="0.2">
      <c r="A2570" s="5">
        <v>2509</v>
      </c>
      <c r="B2570" s="138">
        <f>'Acct Summary 7-8'!D14</f>
        <v>4571</v>
      </c>
      <c r="C2570" s="2" t="s">
        <v>594</v>
      </c>
      <c r="D2570" s="2" t="str">
        <f t="shared" si="39"/>
        <v>Error?</v>
      </c>
    </row>
    <row r="2571" spans="1:4" x14ac:dyDescent="0.2">
      <c r="A2571" s="5">
        <v>2510</v>
      </c>
      <c r="B2571" s="138">
        <f>'Acct Summary 7-8'!D15</f>
        <v>8008</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767203</v>
      </c>
      <c r="C2573" s="2" t="s">
        <v>594</v>
      </c>
      <c r="D2573" s="2" t="str">
        <f t="shared" si="39"/>
        <v>Error?</v>
      </c>
    </row>
    <row r="2574" spans="1:4" x14ac:dyDescent="0.2">
      <c r="A2574" s="5">
        <v>2513</v>
      </c>
      <c r="B2574" s="138">
        <f>'Acct Summary 7-8'!D20</f>
        <v>421544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245053</v>
      </c>
      <c r="C2591" s="2" t="s">
        <v>594</v>
      </c>
      <c r="D2591" s="2" t="str">
        <f t="shared" si="39"/>
        <v>Error?</v>
      </c>
    </row>
    <row r="2592" spans="1:4" x14ac:dyDescent="0.2">
      <c r="A2592" s="10">
        <v>2531</v>
      </c>
      <c r="D2592" s="2" t="str">
        <f t="shared" si="39"/>
        <v>OK</v>
      </c>
    </row>
    <row r="2593" spans="1:4" x14ac:dyDescent="0.2">
      <c r="A2593" s="5">
        <v>2532</v>
      </c>
      <c r="B2593" s="138">
        <f>'Acct Summary 7-8'!F6</f>
        <v>232138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477191</v>
      </c>
      <c r="C2595" s="2" t="s">
        <v>594</v>
      </c>
      <c r="D2595" s="2" t="str">
        <f t="shared" si="39"/>
        <v>Error?</v>
      </c>
    </row>
    <row r="2596" spans="1:4" x14ac:dyDescent="0.2">
      <c r="A2596" s="5">
        <v>2535</v>
      </c>
      <c r="B2596" s="138">
        <f>'Acct Summary 7-8'!F13</f>
        <v>418794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418794</v>
      </c>
      <c r="C2600" s="2" t="s">
        <v>594</v>
      </c>
      <c r="D2600" s="2" t="str">
        <f t="shared" si="39"/>
        <v>Error?</v>
      </c>
    </row>
    <row r="2601" spans="1:4" x14ac:dyDescent="0.2">
      <c r="A2601" s="5">
        <v>2540</v>
      </c>
      <c r="B2601" s="138">
        <f>'Acct Summary 7-8'!F20</f>
        <v>58397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166932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166932</v>
      </c>
      <c r="C2606" s="2" t="s">
        <v>594</v>
      </c>
      <c r="D2606" s="2" t="str">
        <f t="shared" si="39"/>
        <v>Error?</v>
      </c>
    </row>
    <row r="2607" spans="1:4" x14ac:dyDescent="0.2">
      <c r="A2607" s="5">
        <v>2546</v>
      </c>
      <c r="B2607" s="138">
        <f>'Acct Summary 7-8'!G12</f>
        <v>83461</v>
      </c>
      <c r="C2607" s="2" t="s">
        <v>594</v>
      </c>
      <c r="D2607" s="2" t="str">
        <f t="shared" si="39"/>
        <v>Error?</v>
      </c>
    </row>
    <row r="2608" spans="1:4" x14ac:dyDescent="0.2">
      <c r="A2608" s="5">
        <v>2547</v>
      </c>
      <c r="B2608" s="138">
        <f>'Acct Summary 7-8'!G13</f>
        <v>114297</v>
      </c>
      <c r="C2608" s="2" t="s">
        <v>594</v>
      </c>
      <c r="D2608" s="2" t="str">
        <f t="shared" si="39"/>
        <v>Error?</v>
      </c>
    </row>
    <row r="2609" spans="1:4" x14ac:dyDescent="0.2">
      <c r="A2609" s="5">
        <v>2548</v>
      </c>
      <c r="B2609" s="138">
        <f>'Acct Summary 7-8'!G14</f>
        <v>14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197772</v>
      </c>
      <c r="C2612" s="2" t="s">
        <v>594</v>
      </c>
      <c r="D2612" s="2" t="str">
        <f t="shared" si="39"/>
        <v>Error?</v>
      </c>
    </row>
    <row r="2613" spans="1:4" x14ac:dyDescent="0.2">
      <c r="A2613" s="5">
        <v>2552</v>
      </c>
      <c r="B2613" s="138">
        <f>'Acct Summary 7-8'!G20</f>
        <v>-30840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1174516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1174516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1386815</v>
      </c>
      <c r="C2634" s="2" t="s">
        <v>594</v>
      </c>
      <c r="D2634" s="2" t="str">
        <f t="shared" si="40"/>
        <v>Error?</v>
      </c>
    </row>
    <row r="2635" spans="1:4" x14ac:dyDescent="0.2">
      <c r="A2635" s="5">
        <v>2574</v>
      </c>
      <c r="B2635" s="138">
        <f>'Acct Summary 7-8'!E17</f>
        <v>1386815</v>
      </c>
      <c r="C2635" s="2" t="s">
        <v>594</v>
      </c>
      <c r="D2635" s="2" t="str">
        <f t="shared" si="40"/>
        <v>Error?</v>
      </c>
    </row>
    <row r="2636" spans="1:4" x14ac:dyDescent="0.2">
      <c r="A2636" s="5">
        <v>2575</v>
      </c>
      <c r="B2636" s="138">
        <f>'Acct Summary 7-8'!E20</f>
        <v>-212299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299132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299132</v>
      </c>
      <c r="C2658" s="2" t="s">
        <v>594</v>
      </c>
      <c r="D2658" s="2" t="str">
        <f t="shared" si="40"/>
        <v>Error?</v>
      </c>
    </row>
    <row r="2659" spans="1:4" x14ac:dyDescent="0.2">
      <c r="A2659" s="5">
        <v>2598</v>
      </c>
      <c r="B2659" s="138">
        <f>'Acct Summary 7-8'!H13</f>
        <v>27796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27796</v>
      </c>
      <c r="C2661" s="2" t="s">
        <v>594</v>
      </c>
      <c r="D2661" s="2" t="str">
        <f t="shared" si="40"/>
        <v>Error?</v>
      </c>
    </row>
    <row r="2662" spans="1:4" x14ac:dyDescent="0.2">
      <c r="A2662" s="5">
        <v>2601</v>
      </c>
      <c r="B2662" s="138">
        <f>'Acct Summary 7-8'!H20</f>
        <v>271336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4571</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4571</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2774318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893144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186563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893144</v>
      </c>
      <c r="D2912" s="2" t="str">
        <f t="shared" si="44"/>
        <v>Error?</v>
      </c>
    </row>
    <row r="2913" spans="1:4" x14ac:dyDescent="0.2">
      <c r="A2913" s="5">
        <v>2852</v>
      </c>
      <c r="B2913" s="138">
        <f>'Assets-Liab 5-6'!I41</f>
        <v>893144</v>
      </c>
      <c r="C2913" s="2" t="s">
        <v>594</v>
      </c>
      <c r="D2913" s="2" t="str">
        <f t="shared" si="44"/>
        <v>Error?</v>
      </c>
    </row>
    <row r="2914" spans="1:4" x14ac:dyDescent="0.2">
      <c r="A2914" s="5">
        <v>2853</v>
      </c>
      <c r="B2914" s="138">
        <f>'Assets-Liab 5-6'!L33</f>
        <v>178046</v>
      </c>
      <c r="D2914" s="2" t="str">
        <f t="shared" si="44"/>
        <v>Error?</v>
      </c>
    </row>
    <row r="2915" spans="1:4" x14ac:dyDescent="0.2">
      <c r="A2915" s="10">
        <v>2854</v>
      </c>
      <c r="D2915" s="2" t="str">
        <f t="shared" si="44"/>
        <v>OK</v>
      </c>
    </row>
    <row r="2916" spans="1:4" x14ac:dyDescent="0.2">
      <c r="A2916" s="5">
        <v>2855</v>
      </c>
      <c r="B2916" s="138">
        <f>'Assets-Liab 5-6'!L34</f>
        <v>178046</v>
      </c>
      <c r="C2916" s="2" t="s">
        <v>594</v>
      </c>
      <c r="D2916" s="2" t="str">
        <f t="shared" si="44"/>
        <v>Error?</v>
      </c>
    </row>
    <row r="2917" spans="1:4" x14ac:dyDescent="0.2">
      <c r="A2917" s="5">
        <v>2856</v>
      </c>
      <c r="B2917" s="138">
        <f>'Assets-Liab 5-6'!L41</f>
        <v>186563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8008</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8008</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96662</v>
      </c>
      <c r="D3055" s="2" t="str">
        <f t="shared" si="46"/>
        <v>Error?</v>
      </c>
    </row>
    <row r="3056" spans="1:4" x14ac:dyDescent="0.2">
      <c r="A3056" s="5">
        <v>2995</v>
      </c>
      <c r="B3056" s="138">
        <f>'Expenditures 15-22'!D10</f>
        <v>2295</v>
      </c>
      <c r="D3056" s="2" t="str">
        <f t="shared" si="46"/>
        <v>Error?</v>
      </c>
    </row>
    <row r="3057" spans="1:4" x14ac:dyDescent="0.2">
      <c r="A3057" s="5">
        <v>2996</v>
      </c>
      <c r="B3057" s="138">
        <f>'Expenditures 15-22'!E10</f>
        <v>30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98987</v>
      </c>
      <c r="C3062" s="2" t="s">
        <v>594</v>
      </c>
      <c r="D3062" s="2" t="str">
        <f t="shared" si="46"/>
        <v>Error?</v>
      </c>
    </row>
    <row r="3063" spans="1:4" x14ac:dyDescent="0.2">
      <c r="A3063" s="10">
        <v>3002</v>
      </c>
      <c r="D3063" s="2" t="str">
        <f t="shared" si="46"/>
        <v>OK</v>
      </c>
    </row>
    <row r="3064" spans="1:4" x14ac:dyDescent="0.2">
      <c r="A3064" s="5">
        <v>3003</v>
      </c>
      <c r="B3064" s="138">
        <f>'Expenditures 15-22'!D219</f>
        <v>2318</v>
      </c>
      <c r="D3064" s="2" t="str">
        <f t="shared" si="46"/>
        <v>Error?</v>
      </c>
    </row>
    <row r="3065" spans="1:4" x14ac:dyDescent="0.2">
      <c r="A3065" s="5">
        <v>3004</v>
      </c>
      <c r="B3065" s="138">
        <f>'Expenditures 15-22'!K219</f>
        <v>2318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8517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77860</v>
      </c>
      <c r="C3225" s="2" t="s">
        <v>594</v>
      </c>
      <c r="D3225" s="2" t="str">
        <f t="shared" si="49"/>
        <v>Error?</v>
      </c>
    </row>
    <row r="3226" spans="1:4" x14ac:dyDescent="0.2">
      <c r="A3226" s="5">
        <v>3165</v>
      </c>
      <c r="B3226" s="138">
        <f>'Acct Summary 7-8'!I8</f>
        <v>77860</v>
      </c>
      <c r="C3226" s="2" t="s">
        <v>594</v>
      </c>
      <c r="D3226" s="2" t="str">
        <f t="shared" si="49"/>
        <v>Error?</v>
      </c>
    </row>
    <row r="3227" spans="1:4" x14ac:dyDescent="0.2">
      <c r="A3227" s="5">
        <v>3166</v>
      </c>
      <c r="B3227" s="138">
        <f>'Acct Summary 7-8'!I20</f>
        <v>77860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70000</v>
      </c>
      <c r="C3232" s="2" t="s">
        <v>594</v>
      </c>
      <c r="D3232" s="2" t="str">
        <f t="shared" si="49"/>
        <v>Error?</v>
      </c>
    </row>
    <row r="3233" spans="1:4" x14ac:dyDescent="0.2">
      <c r="A3233" s="5">
        <v>3172</v>
      </c>
      <c r="B3233" s="138">
        <f>'Acct Summary 7-8'!C78</f>
        <v>-727485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421544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58397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-30840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281422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281422</v>
      </c>
      <c r="C3277" s="2" t="s">
        <v>594</v>
      </c>
      <c r="D3277" s="2" t="str">
        <f t="shared" si="50"/>
        <v>Error?</v>
      </c>
    </row>
    <row r="3278" spans="1:4" x14ac:dyDescent="0.2">
      <c r="A3278" s="5">
        <v>3217</v>
      </c>
      <c r="B3278" s="138">
        <f>'Acct Summary 7-8'!E78</f>
        <v>69123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2000000</v>
      </c>
      <c r="C3299" s="2" t="s">
        <v>594</v>
      </c>
      <c r="D3299" s="2" t="str">
        <f t="shared" si="50"/>
        <v>Error?</v>
      </c>
    </row>
    <row r="3300" spans="1:4" x14ac:dyDescent="0.2">
      <c r="A3300" s="5">
        <v>3239</v>
      </c>
      <c r="B3300" s="138">
        <f>'Acct Summary 7-8'!H78</f>
        <v>2271336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2088875</v>
      </c>
      <c r="C3317" s="2" t="s">
        <v>594</v>
      </c>
      <c r="D3317" s="2" t="str">
        <f t="shared" si="50"/>
        <v>Error?</v>
      </c>
    </row>
    <row r="3318" spans="1:4" x14ac:dyDescent="0.2">
      <c r="A3318" s="5">
        <v>3257</v>
      </c>
      <c r="B3318" s="138">
        <f>'Acct Summary 7-8'!I76</f>
        <v>2070000</v>
      </c>
      <c r="C3318" s="2" t="s">
        <v>594</v>
      </c>
      <c r="D3318" s="2" t="str">
        <f t="shared" si="50"/>
        <v>Error?</v>
      </c>
    </row>
    <row r="3319" spans="1:4" x14ac:dyDescent="0.2">
      <c r="A3319" s="5">
        <v>3258</v>
      </c>
      <c r="B3319" s="138">
        <f>'Acct Summary 7-8'!I77</f>
        <v>18875</v>
      </c>
      <c r="C3319" s="2" t="s">
        <v>594</v>
      </c>
      <c r="D3319" s="2" t="str">
        <f t="shared" si="50"/>
        <v>Error?</v>
      </c>
    </row>
    <row r="3320" spans="1:4" x14ac:dyDescent="0.2">
      <c r="A3320" s="5">
        <v>3259</v>
      </c>
      <c r="B3320" s="138">
        <f>'Acct Summary 7-8'!I78</f>
        <v>96735</v>
      </c>
      <c r="C3320" s="2" t="s">
        <v>594</v>
      </c>
      <c r="D3320" s="2" t="str">
        <f t="shared" si="50"/>
        <v>Error?</v>
      </c>
    </row>
    <row r="3321" spans="1:4" x14ac:dyDescent="0.2">
      <c r="A3321" s="5">
        <v>3260</v>
      </c>
      <c r="B3321" s="138">
        <f>'Acct Summary 7-8'!I79</f>
        <v>796409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893144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483077</v>
      </c>
      <c r="D3366" s="2" t="str">
        <f t="shared" si="51"/>
        <v>Error?</v>
      </c>
    </row>
    <row r="3367" spans="1:4" x14ac:dyDescent="0.2">
      <c r="A3367" s="5">
        <v>3306</v>
      </c>
      <c r="B3367" s="138">
        <f>'Expenditures 15-22'!C19</f>
        <v>55082</v>
      </c>
      <c r="D3367" s="2" t="str">
        <f t="shared" si="51"/>
        <v>Error?</v>
      </c>
    </row>
    <row r="3368" spans="1:4" x14ac:dyDescent="0.2">
      <c r="A3368" s="5">
        <v>3307</v>
      </c>
      <c r="B3368" s="138">
        <f>'Expenditures 15-22'!D8</f>
        <v>80544</v>
      </c>
      <c r="D3368" s="2" t="str">
        <f t="shared" si="51"/>
        <v>Error?</v>
      </c>
    </row>
    <row r="3369" spans="1:4" x14ac:dyDescent="0.2">
      <c r="A3369" s="5">
        <v>3308</v>
      </c>
      <c r="B3369" s="138">
        <f>'Expenditures 15-22'!D19</f>
        <v>12639</v>
      </c>
      <c r="D3369" s="2" t="str">
        <f t="shared" si="51"/>
        <v>Error?</v>
      </c>
    </row>
    <row r="3370" spans="1:4" x14ac:dyDescent="0.2">
      <c r="A3370" s="5">
        <v>3309</v>
      </c>
      <c r="B3370" s="138">
        <f>'Expenditures 15-22'!E8</f>
        <v>149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121</v>
      </c>
      <c r="D3372" s="2" t="str">
        <f t="shared" si="51"/>
        <v>Error?</v>
      </c>
    </row>
    <row r="3373" spans="1:4" x14ac:dyDescent="0.2">
      <c r="A3373" s="5">
        <v>3312</v>
      </c>
      <c r="B3373" s="138">
        <f>'Expenditures 15-22'!F19</f>
        <v>183</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563891</v>
      </c>
      <c r="C3380" s="2" t="s">
        <v>594</v>
      </c>
      <c r="D3380" s="2" t="str">
        <f t="shared" si="51"/>
        <v>Error?</v>
      </c>
    </row>
    <row r="3381" spans="1:4" x14ac:dyDescent="0.2">
      <c r="A3381" s="5">
        <v>3320</v>
      </c>
      <c r="B3381" s="138">
        <f>'Expenditures 15-22'!K19</f>
        <v>67904</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52577</v>
      </c>
      <c r="D3387" s="2" t="str">
        <f t="shared" si="51"/>
        <v>Error?</v>
      </c>
    </row>
    <row r="3388" spans="1:4" x14ac:dyDescent="0.2">
      <c r="A3388" s="5">
        <v>3327</v>
      </c>
      <c r="B3388" s="138">
        <f>'Expenditures 15-22'!D217</f>
        <v>17998</v>
      </c>
      <c r="D3388" s="2" t="str">
        <f t="shared" si="51"/>
        <v>Error?</v>
      </c>
    </row>
    <row r="3389" spans="1:4" x14ac:dyDescent="0.2">
      <c r="A3389" s="5">
        <v>3328</v>
      </c>
      <c r="B3389" s="138">
        <f>'Expenditures 15-22'!D228</f>
        <v>765</v>
      </c>
      <c r="D3389" s="2" t="str">
        <f t="shared" si="51"/>
        <v>Error?</v>
      </c>
    </row>
    <row r="3390" spans="1:4" x14ac:dyDescent="0.2">
      <c r="A3390" s="5">
        <v>3329</v>
      </c>
      <c r="B3390" s="138">
        <f>'Expenditures 15-22'!K215</f>
        <v>52577</v>
      </c>
      <c r="C3390" s="2" t="s">
        <v>594</v>
      </c>
      <c r="D3390" s="2" t="str">
        <f t="shared" si="51"/>
        <v>Error?</v>
      </c>
    </row>
    <row r="3391" spans="1:4" x14ac:dyDescent="0.2">
      <c r="A3391" s="5">
        <v>3330</v>
      </c>
      <c r="B3391" s="138">
        <f>'Expenditures 15-22'!K217</f>
        <v>17998</v>
      </c>
      <c r="C3391" s="2" t="s">
        <v>594</v>
      </c>
      <c r="D3391" s="2" t="str">
        <f t="shared" ref="D3391:D3454" si="52">IF(ISBLANK(B3391),"OK",IF(A3391-B3391=0,"OK","Error?"))</f>
        <v>Error?</v>
      </c>
    </row>
    <row r="3392" spans="1:4" x14ac:dyDescent="0.2">
      <c r="A3392" s="5">
        <v>3331</v>
      </c>
      <c r="B3392" s="138">
        <f>'Expenditures 15-22'!K228</f>
        <v>765</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4427126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648139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944745</v>
      </c>
      <c r="D3417" s="2" t="str">
        <f t="shared" si="52"/>
        <v>Error?</v>
      </c>
    </row>
    <row r="3418" spans="1:4" x14ac:dyDescent="0.2">
      <c r="A3418" s="10">
        <v>3357</v>
      </c>
      <c r="D3418" s="2" t="str">
        <f t="shared" si="52"/>
        <v>OK</v>
      </c>
    </row>
    <row r="3419" spans="1:4" x14ac:dyDescent="0.2">
      <c r="A3419" s="5">
        <v>3358</v>
      </c>
      <c r="B3419" s="138">
        <f>'Assets-Liab 5-6'!F4</f>
        <v>466637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541171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2275324</v>
      </c>
      <c r="D3425" s="2" t="str">
        <f t="shared" si="52"/>
        <v>Error?</v>
      </c>
    </row>
    <row r="3426" spans="1:4" x14ac:dyDescent="0.2">
      <c r="A3426" s="10">
        <v>3365</v>
      </c>
      <c r="D3426" s="2" t="str">
        <f t="shared" si="52"/>
        <v>OK</v>
      </c>
    </row>
    <row r="3427" spans="1:4" x14ac:dyDescent="0.2">
      <c r="A3427" s="5">
        <v>3366</v>
      </c>
      <c r="B3427" s="138">
        <f>'Assets-Liab 5-6'!I4</f>
        <v>893144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186563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153660</v>
      </c>
      <c r="C3446" s="2" t="s">
        <v>594</v>
      </c>
      <c r="D3446" s="2" t="str">
        <f t="shared" si="52"/>
        <v>Error?</v>
      </c>
    </row>
    <row r="3447" spans="1:4" x14ac:dyDescent="0.2">
      <c r="A3447" s="5">
        <v>3386</v>
      </c>
      <c r="B3447" s="138">
        <f>'Tax Sched 23'!D16</f>
        <v>64946</v>
      </c>
      <c r="C3447" s="2" t="s">
        <v>594</v>
      </c>
      <c r="D3447" s="2" t="str">
        <f t="shared" si="52"/>
        <v>Error?</v>
      </c>
    </row>
    <row r="3448" spans="1:4" x14ac:dyDescent="0.2">
      <c r="A3448" s="5">
        <v>3387</v>
      </c>
      <c r="B3448" s="138">
        <f>'Tax Sched 23'!C16</f>
        <v>88714</v>
      </c>
      <c r="D3448" s="2" t="str">
        <f t="shared" si="52"/>
        <v>Error?</v>
      </c>
    </row>
    <row r="3449" spans="1:4" x14ac:dyDescent="0.2">
      <c r="A3449" s="5">
        <v>3388</v>
      </c>
      <c r="B3449" s="138">
        <f>'Tax Sched 23'!F16</f>
        <v>61379</v>
      </c>
      <c r="C3449" s="2" t="s">
        <v>594</v>
      </c>
      <c r="D3449" s="2" t="str">
        <f t="shared" si="52"/>
        <v>Error?</v>
      </c>
    </row>
    <row r="3450" spans="1:4" x14ac:dyDescent="0.2">
      <c r="A3450" s="5">
        <v>3389</v>
      </c>
      <c r="B3450" s="138">
        <f>'Tax Sched 23'!E16</f>
        <v>150093</v>
      </c>
      <c r="D3450" s="2" t="str">
        <f t="shared" si="52"/>
        <v>Error?</v>
      </c>
    </row>
    <row r="3451" spans="1:4" x14ac:dyDescent="0.2">
      <c r="A3451" s="5">
        <v>3390</v>
      </c>
      <c r="B3451" s="138">
        <f>'Cap Outlay Deprec 26'!C15</f>
        <v>311975</v>
      </c>
      <c r="D3451" s="2" t="str">
        <f t="shared" si="52"/>
        <v>Error?</v>
      </c>
    </row>
    <row r="3452" spans="1:4" x14ac:dyDescent="0.2">
      <c r="A3452" s="5">
        <v>3391</v>
      </c>
      <c r="B3452" s="138">
        <f>'Cap Outlay Deprec 26'!D15</f>
        <v>2462343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2774318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2774318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4190804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4190804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4190804</v>
      </c>
      <c r="D3567" s="2" t="str">
        <f t="shared" si="54"/>
        <v>Error?</v>
      </c>
    </row>
    <row r="3568" spans="1:4" x14ac:dyDescent="0.2">
      <c r="A3568" s="5">
        <v>3507</v>
      </c>
      <c r="B3568" s="138">
        <f>'Assets-Liab 5-6'!K41</f>
        <v>4190804</v>
      </c>
      <c r="C3568" s="2" t="s">
        <v>594</v>
      </c>
      <c r="D3568" s="2" t="str">
        <f t="shared" si="54"/>
        <v>Error?</v>
      </c>
    </row>
    <row r="3569" spans="1:4" x14ac:dyDescent="0.2">
      <c r="A3569" s="5">
        <v>3508</v>
      </c>
      <c r="B3569" s="138">
        <f>'Acct Summary 7-8'!K4</f>
        <v>105112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105112</v>
      </c>
      <c r="C3571" s="2" t="s">
        <v>594</v>
      </c>
      <c r="D3571" s="2" t="str">
        <f t="shared" si="54"/>
        <v>Error?</v>
      </c>
    </row>
    <row r="3572" spans="1:4" x14ac:dyDescent="0.2">
      <c r="A3572" s="5">
        <v>3511</v>
      </c>
      <c r="B3572" s="138">
        <f>'Acct Summary 7-8'!K13</f>
        <v>2462343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2462343</v>
      </c>
      <c r="C3575" s="2" t="s">
        <v>594</v>
      </c>
      <c r="D3575" s="2" t="str">
        <f t="shared" si="54"/>
        <v>Error?</v>
      </c>
    </row>
    <row r="3576" spans="1:4" x14ac:dyDescent="0.2">
      <c r="A3576" s="5">
        <v>3515</v>
      </c>
      <c r="B3576" s="138">
        <f>'Acct Summary 7-8'!K20</f>
        <v>-2357231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5915000</v>
      </c>
      <c r="D3579" s="2" t="str">
        <f t="shared" si="54"/>
        <v>Error?</v>
      </c>
    </row>
    <row r="3580" spans="1:4" x14ac:dyDescent="0.2">
      <c r="A3580" s="5">
        <v>3519</v>
      </c>
      <c r="B3580" s="138">
        <f>'Acct Summary 7-8'!K34</f>
        <v>266020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6181020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6181020</v>
      </c>
      <c r="C3587" s="2" t="s">
        <v>594</v>
      </c>
      <c r="D3587" s="2" t="str">
        <f t="shared" si="55"/>
        <v>Error?</v>
      </c>
    </row>
    <row r="3588" spans="1:4" x14ac:dyDescent="0.2">
      <c r="A3588" s="5">
        <v>3527</v>
      </c>
      <c r="B3588" s="138">
        <f>'Acct Summary 7-8'!K78</f>
        <v>3823789</v>
      </c>
      <c r="C3588" s="2" t="s">
        <v>594</v>
      </c>
      <c r="D3588" s="2" t="str">
        <f t="shared" si="55"/>
        <v>Error?</v>
      </c>
    </row>
    <row r="3589" spans="1:4" x14ac:dyDescent="0.2">
      <c r="A3589" s="5">
        <v>3528</v>
      </c>
      <c r="B3589" s="138">
        <f>'Acct Summary 7-8'!K79</f>
        <v>367015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4190804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2462343</v>
      </c>
      <c r="D3646" s="2" t="str">
        <f t="shared" si="55"/>
        <v>Error?</v>
      </c>
    </row>
    <row r="3647" spans="1:4" x14ac:dyDescent="0.2">
      <c r="A3647" s="5">
        <v>3586</v>
      </c>
      <c r="B3647" s="138">
        <f>'Expenditures 15-22'!G350</f>
        <v>2462343</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2462343</v>
      </c>
      <c r="C3649" s="2" t="s">
        <v>594</v>
      </c>
      <c r="D3649" s="2" t="str">
        <f t="shared" si="56"/>
        <v>Error?</v>
      </c>
    </row>
    <row r="3650" spans="1:4" x14ac:dyDescent="0.2">
      <c r="A3650" s="5">
        <v>3589</v>
      </c>
      <c r="B3650" s="138">
        <f>'Expenditures 15-22'!G367</f>
        <v>2462343</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2462343</v>
      </c>
      <c r="C3669" s="2" t="s">
        <v>594</v>
      </c>
      <c r="D3669" s="2" t="str">
        <f t="shared" si="56"/>
        <v>Error?</v>
      </c>
    </row>
    <row r="3670" spans="1:4" x14ac:dyDescent="0.2">
      <c r="A3670" s="5">
        <v>3609</v>
      </c>
      <c r="B3670" s="138">
        <f>'Expenditures 15-22'!K350</f>
        <v>2462343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2462343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2462343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-2357231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60498</v>
      </c>
      <c r="C3725" s="2" t="s">
        <v>594</v>
      </c>
      <c r="D3725" s="2" t="str">
        <f t="shared" si="57"/>
        <v>Error?</v>
      </c>
    </row>
    <row r="3726" spans="1:4" x14ac:dyDescent="0.2">
      <c r="A3726" s="5">
        <v>3665</v>
      </c>
      <c r="B3726" s="138">
        <f>'Tax Sched 23'!D13</f>
        <v>24841</v>
      </c>
      <c r="C3726" s="2" t="s">
        <v>594</v>
      </c>
      <c r="D3726" s="2" t="str">
        <f t="shared" si="57"/>
        <v>Error?</v>
      </c>
    </row>
    <row r="3727" spans="1:4" x14ac:dyDescent="0.2">
      <c r="A3727" s="5">
        <v>3666</v>
      </c>
      <c r="B3727" s="138">
        <f>'Tax Sched 23'!C13</f>
        <v>35657</v>
      </c>
      <c r="D3727" s="2" t="str">
        <f t="shared" si="57"/>
        <v>Error?</v>
      </c>
    </row>
    <row r="3728" spans="1:4" x14ac:dyDescent="0.2">
      <c r="A3728" s="5">
        <v>3667</v>
      </c>
      <c r="B3728" s="138">
        <f>'Tax Sched 23'!F13</f>
        <v>24670</v>
      </c>
      <c r="C3728" s="2" t="s">
        <v>594</v>
      </c>
      <c r="D3728" s="2" t="str">
        <f t="shared" si="57"/>
        <v>Error?</v>
      </c>
    </row>
    <row r="3729" spans="1:4" x14ac:dyDescent="0.2">
      <c r="A3729" s="5">
        <v>3668</v>
      </c>
      <c r="B3729" s="138">
        <f>'Tax Sched 23'!E13</f>
        <v>60327</v>
      </c>
      <c r="D3729" s="2" t="str">
        <f t="shared" si="57"/>
        <v>Error?</v>
      </c>
    </row>
    <row r="3730" spans="1:4" x14ac:dyDescent="0.2">
      <c r="A3730" s="5">
        <v>3669</v>
      </c>
      <c r="B3730" s="138">
        <f>'ICR Computation 30'!E10</f>
        <v>207908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3547740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10869870</v>
      </c>
      <c r="C4122" s="2" t="s">
        <v>594</v>
      </c>
      <c r="D4122" s="2" t="str">
        <f t="shared" si="63"/>
        <v>Error?</v>
      </c>
    </row>
    <row r="4123" spans="1:4" x14ac:dyDescent="0.2">
      <c r="A4123" s="5">
        <v>4062</v>
      </c>
      <c r="B4123" s="138">
        <f>'Acct Summary 7-8'!D10</f>
        <v>1188747</v>
      </c>
      <c r="C4123" s="2" t="s">
        <v>594</v>
      </c>
      <c r="D4123" s="2" t="str">
        <f t="shared" si="63"/>
        <v>Error?</v>
      </c>
    </row>
    <row r="4124" spans="1:4" x14ac:dyDescent="0.2">
      <c r="A4124" s="5">
        <v>4063</v>
      </c>
      <c r="B4124" s="138">
        <f>'Acct Summary 7-8'!E10</f>
        <v>1174516</v>
      </c>
      <c r="C4124" s="2" t="s">
        <v>594</v>
      </c>
      <c r="D4124" s="2" t="str">
        <f t="shared" si="63"/>
        <v>Error?</v>
      </c>
    </row>
    <row r="4125" spans="1:4" x14ac:dyDescent="0.2">
      <c r="A4125" s="5">
        <v>4064</v>
      </c>
      <c r="B4125" s="138">
        <f>'Acct Summary 7-8'!F10</f>
        <v>477191</v>
      </c>
      <c r="C4125" s="2" t="s">
        <v>594</v>
      </c>
      <c r="D4125" s="2" t="str">
        <f t="shared" si="63"/>
        <v>Error?</v>
      </c>
    </row>
    <row r="4126" spans="1:4" x14ac:dyDescent="0.2">
      <c r="A4126" s="5">
        <v>4065</v>
      </c>
      <c r="B4126" s="138">
        <f>'Acct Summary 7-8'!G10</f>
        <v>166932</v>
      </c>
      <c r="C4126" s="2" t="s">
        <v>594</v>
      </c>
      <c r="D4126" s="2" t="str">
        <f t="shared" si="63"/>
        <v>Error?</v>
      </c>
    </row>
    <row r="4127" spans="1:4" x14ac:dyDescent="0.2">
      <c r="A4127" s="5">
        <v>4066</v>
      </c>
      <c r="B4127" s="138">
        <f>'Acct Summary 7-8'!H10</f>
        <v>299132</v>
      </c>
      <c r="C4127" s="2" t="s">
        <v>594</v>
      </c>
      <c r="D4127" s="2" t="str">
        <f t="shared" si="63"/>
        <v>Error?</v>
      </c>
    </row>
    <row r="4128" spans="1:4" x14ac:dyDescent="0.2">
      <c r="A4128" s="5">
        <v>4067</v>
      </c>
      <c r="B4128" s="138">
        <f>'Acct Summary 7-8'!I10</f>
        <v>77860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105112</v>
      </c>
      <c r="C4130" s="2" t="s">
        <v>594</v>
      </c>
      <c r="D4130" s="2" t="str">
        <f t="shared" si="63"/>
        <v>Error?</v>
      </c>
    </row>
    <row r="4131" spans="1:4" x14ac:dyDescent="0.2">
      <c r="A4131" s="5">
        <v>4070</v>
      </c>
      <c r="B4131" s="138">
        <f>'Acct Summary 7-8'!C18</f>
        <v>3547740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11667355</v>
      </c>
      <c r="C4136" s="2" t="s">
        <v>594</v>
      </c>
      <c r="D4136" s="2" t="str">
        <f t="shared" si="63"/>
        <v>Error?</v>
      </c>
    </row>
    <row r="4137" spans="1:4" x14ac:dyDescent="0.2">
      <c r="A4137" s="5">
        <v>4076</v>
      </c>
      <c r="B4137" s="138">
        <f>'Acct Summary 7-8'!D19</f>
        <v>767203</v>
      </c>
      <c r="C4137" s="2" t="s">
        <v>594</v>
      </c>
      <c r="D4137" s="2" t="str">
        <f t="shared" si="63"/>
        <v>Error?</v>
      </c>
    </row>
    <row r="4138" spans="1:4" x14ac:dyDescent="0.2">
      <c r="A4138" s="5">
        <v>4077</v>
      </c>
      <c r="B4138" s="138">
        <f>'Acct Summary 7-8'!E19</f>
        <v>1386815</v>
      </c>
      <c r="C4138" s="2" t="s">
        <v>594</v>
      </c>
      <c r="D4138" s="2" t="str">
        <f t="shared" si="63"/>
        <v>Error?</v>
      </c>
    </row>
    <row r="4139" spans="1:4" x14ac:dyDescent="0.2">
      <c r="A4139" s="5">
        <v>4078</v>
      </c>
      <c r="B4139" s="138">
        <f>'Acct Summary 7-8'!F19</f>
        <v>418794</v>
      </c>
      <c r="C4139" s="2" t="s">
        <v>594</v>
      </c>
      <c r="D4139" s="2" t="str">
        <f t="shared" si="63"/>
        <v>Error?</v>
      </c>
    </row>
    <row r="4140" spans="1:4" x14ac:dyDescent="0.2">
      <c r="A4140" s="5">
        <v>4079</v>
      </c>
      <c r="B4140" s="138">
        <f>'Acct Summary 7-8'!G19</f>
        <v>197772</v>
      </c>
      <c r="C4140" s="2" t="s">
        <v>594</v>
      </c>
      <c r="D4140" s="2" t="str">
        <f t="shared" si="63"/>
        <v>Error?</v>
      </c>
    </row>
    <row r="4141" spans="1:4" x14ac:dyDescent="0.2">
      <c r="A4141" s="5">
        <v>4080</v>
      </c>
      <c r="B4141" s="138">
        <f>'Acct Summary 7-8'!H19</f>
        <v>27796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2462343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9870000</v>
      </c>
      <c r="C4171" s="2" t="s">
        <v>594</v>
      </c>
      <c r="D4171" s="2" t="str">
        <f t="shared" si="64"/>
        <v>Error?</v>
      </c>
    </row>
    <row r="4172" spans="1:4" x14ac:dyDescent="0.2">
      <c r="A4172" s="5">
        <v>4111</v>
      </c>
      <c r="B4172" s="138">
        <f>'Short-Term Long-Term Debt 24'!J49</f>
        <v>8925255</v>
      </c>
      <c r="C4172" s="2" t="s">
        <v>594</v>
      </c>
      <c r="D4172" s="2" t="str">
        <f t="shared" si="64"/>
        <v>Error?</v>
      </c>
    </row>
    <row r="4173" spans="1:4" x14ac:dyDescent="0.2">
      <c r="A4173" s="5">
        <v>4112</v>
      </c>
      <c r="B4173" s="138">
        <f>'Short-Term Long-Term Debt 24'!H49</f>
        <v>1030000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25000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5045</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3340</v>
      </c>
      <c r="C4268" s="2" t="s">
        <v>594</v>
      </c>
      <c r="D4268" s="2" t="str">
        <f t="shared" si="65"/>
        <v>Error?</v>
      </c>
    </row>
    <row r="4269" spans="1:5" x14ac:dyDescent="0.2">
      <c r="A4269" s="12">
        <v>4208</v>
      </c>
      <c r="B4269" s="138">
        <f>'FP Info 3'!J16</f>
        <v>6588920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18185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3798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36486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120653195</v>
      </c>
      <c r="D4995" s="2" t="str">
        <f t="shared" si="77"/>
        <v>Error?</v>
      </c>
    </row>
    <row r="4996" spans="1:4" x14ac:dyDescent="0.2">
      <c r="A4996" s="12">
        <v>4935</v>
      </c>
      <c r="B4996" s="138">
        <f>'FP Info 3'!H31</f>
        <v>16650140.910000002</v>
      </c>
      <c r="D4996" s="2" t="str">
        <f t="shared" si="77"/>
        <v>Error?</v>
      </c>
    </row>
    <row r="4997" spans="1:4" x14ac:dyDescent="0.2">
      <c r="A4997" s="12">
        <v>4936</v>
      </c>
      <c r="B4997" s="138">
        <f>'FP Info 3'!H37</f>
        <v>9870000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60498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3194278</v>
      </c>
      <c r="D5061" s="2" t="str">
        <f t="shared" si="78"/>
        <v>Error?</v>
      </c>
    </row>
    <row r="5062" spans="1:4" x14ac:dyDescent="0.2">
      <c r="A5062" s="10">
        <v>5001</v>
      </c>
      <c r="D5062" s="2" t="str">
        <f t="shared" si="78"/>
        <v>OK</v>
      </c>
    </row>
    <row r="5063" spans="1:4" x14ac:dyDescent="0.2">
      <c r="A5063" s="5">
        <v>5002</v>
      </c>
      <c r="B5063" s="138">
        <f>'Revenues 9-14'!C7</f>
        <v>48398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3303174</v>
      </c>
      <c r="C5066" s="2" t="s">
        <v>594</v>
      </c>
      <c r="D5066" s="2" t="str">
        <f t="shared" si="78"/>
        <v>Error?</v>
      </c>
    </row>
    <row r="5067" spans="1:4" x14ac:dyDescent="0.2">
      <c r="A5067" s="5">
        <v>5006</v>
      </c>
      <c r="B5067" s="138">
        <f>'Revenues 9-14'!C14</f>
        <v>831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288066</v>
      </c>
      <c r="D5069" s="2" t="str">
        <f t="shared" si="78"/>
        <v>Error?</v>
      </c>
    </row>
    <row r="5070" spans="1:4" x14ac:dyDescent="0.2">
      <c r="A5070" s="5">
        <v>5009</v>
      </c>
      <c r="B5070" s="138">
        <f>'Revenues 9-14'!C17</f>
        <v>50000</v>
      </c>
      <c r="D5070" s="2" t="str">
        <f t="shared" si="78"/>
        <v>Error?</v>
      </c>
    </row>
    <row r="5071" spans="1:4" x14ac:dyDescent="0.2">
      <c r="A5071" s="5">
        <v>5010</v>
      </c>
      <c r="B5071" s="138">
        <f>'Revenues 9-14'!C18</f>
        <v>338897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3600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2360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5960</v>
      </c>
      <c r="C5087" s="2" t="s">
        <v>594</v>
      </c>
      <c r="D5087" s="2" t="str">
        <f t="shared" si="78"/>
        <v>Error?</v>
      </c>
    </row>
    <row r="5088" spans="1:4" x14ac:dyDescent="0.2">
      <c r="A5088" s="5">
        <v>5027</v>
      </c>
      <c r="B5088" s="138">
        <f>'Revenues 9-14'!C65</f>
        <v>26979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26979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891</v>
      </c>
      <c r="D5094" s="2" t="str">
        <f t="shared" si="78"/>
        <v>Error?</v>
      </c>
    </row>
    <row r="5095" spans="1:4" x14ac:dyDescent="0.2">
      <c r="A5095" s="5">
        <v>5034</v>
      </c>
      <c r="B5095" s="138">
        <f>'Revenues 9-14'!C74</f>
        <v>609</v>
      </c>
      <c r="D5095" s="2" t="str">
        <f t="shared" si="78"/>
        <v>Error?</v>
      </c>
    </row>
    <row r="5096" spans="1:4" x14ac:dyDescent="0.2">
      <c r="A5096" s="5">
        <v>5035</v>
      </c>
      <c r="B5096" s="138">
        <f>'Revenues 9-14'!C75</f>
        <v>173581</v>
      </c>
      <c r="C5096" s="2" t="s">
        <v>594</v>
      </c>
      <c r="D5096" s="2" t="str">
        <f t="shared" si="78"/>
        <v>Error?</v>
      </c>
    </row>
    <row r="5097" spans="1:4" x14ac:dyDescent="0.2">
      <c r="A5097" s="5">
        <v>5036</v>
      </c>
      <c r="B5097" s="138">
        <f>'Revenues 9-14'!C77</f>
        <v>36355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58334</v>
      </c>
      <c r="D5101" s="2" t="str">
        <f t="shared" si="78"/>
        <v>Error?</v>
      </c>
    </row>
    <row r="5102" spans="1:4" x14ac:dyDescent="0.2">
      <c r="A5102" s="5">
        <v>5041</v>
      </c>
      <c r="B5102" s="138">
        <f>'Revenues 9-14'!C82</f>
        <v>97264</v>
      </c>
      <c r="C5102" s="2" t="s">
        <v>594</v>
      </c>
      <c r="D5102" s="2" t="str">
        <f t="shared" si="78"/>
        <v>Error?</v>
      </c>
    </row>
    <row r="5103" spans="1:4" x14ac:dyDescent="0.2">
      <c r="A5103" s="5">
        <v>5042</v>
      </c>
      <c r="B5103" s="138">
        <f>'Revenues 9-14'!C84</f>
        <v>81873</v>
      </c>
      <c r="D5103" s="2" t="str">
        <f t="shared" si="78"/>
        <v>Error?</v>
      </c>
    </row>
    <row r="5104" spans="1:4" x14ac:dyDescent="0.2">
      <c r="A5104" s="5">
        <v>5043</v>
      </c>
      <c r="B5104" s="138">
        <f>'Revenues 9-14'!C85</f>
        <v>825</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82698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3927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16122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29508</v>
      </c>
      <c r="D5119" s="2" t="str">
        <f t="shared" ref="D5119:D5182" si="79">IF(ISBLANK(B5119),"OK",IF(A5119-B5119=0,"OK","Error?"))</f>
        <v>Error?</v>
      </c>
    </row>
    <row r="5120" spans="1:4" x14ac:dyDescent="0.2">
      <c r="A5120" s="5">
        <v>5059</v>
      </c>
      <c r="B5120" s="138">
        <f>'Revenues 9-14'!C108</f>
        <v>53053</v>
      </c>
      <c r="C5120" s="2" t="s">
        <v>594</v>
      </c>
      <c r="D5120" s="2" t="str">
        <f t="shared" si="79"/>
        <v>Error?</v>
      </c>
    </row>
    <row r="5121" spans="1:4" x14ac:dyDescent="0.2">
      <c r="A5121" s="5">
        <v>5060</v>
      </c>
      <c r="B5121" s="138">
        <f>'Revenues 9-14'!C109</f>
        <v>4081606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2479062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2479062</v>
      </c>
      <c r="C5132" s="2" t="s">
        <v>594</v>
      </c>
      <c r="D5132" s="2" t="str">
        <f t="shared" si="79"/>
        <v>Error?</v>
      </c>
    </row>
    <row r="5133" spans="1:4" x14ac:dyDescent="0.2">
      <c r="A5133" s="5">
        <v>5072</v>
      </c>
      <c r="B5133" s="138">
        <f>'Revenues 9-14'!C124</f>
        <v>180547</v>
      </c>
      <c r="D5133" s="2" t="str">
        <f t="shared" si="79"/>
        <v>Error?</v>
      </c>
    </row>
    <row r="5134" spans="1:4" x14ac:dyDescent="0.2">
      <c r="A5134" s="5">
        <v>5073</v>
      </c>
      <c r="B5134" s="138">
        <f>'Revenues 9-14'!C125</f>
        <v>65996</v>
      </c>
      <c r="D5134" s="2" t="str">
        <f t="shared" si="79"/>
        <v>Error?</v>
      </c>
    </row>
    <row r="5135" spans="1:4" x14ac:dyDescent="0.2">
      <c r="A5135" s="5">
        <v>5074</v>
      </c>
      <c r="B5135" s="138">
        <f>'Revenues 9-14'!C126</f>
        <v>55989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302532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5045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2426</v>
      </c>
      <c r="D5167" s="2" t="str">
        <f t="shared" si="79"/>
        <v>Error?</v>
      </c>
    </row>
    <row r="5168" spans="1:4" x14ac:dyDescent="0.2">
      <c r="A5168" s="5">
        <v>5107</v>
      </c>
      <c r="B5168" s="138">
        <f>'Revenues 9-14'!C147</f>
        <v>11175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102063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426741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2905803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172078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21043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193121</v>
      </c>
      <c r="C5246" s="2" t="s">
        <v>594</v>
      </c>
      <c r="D5246" s="2" t="str">
        <f t="shared" si="80"/>
        <v>Error?</v>
      </c>
    </row>
    <row r="5247" spans="1:4" x14ac:dyDescent="0.2">
      <c r="A5247" s="5">
        <v>5186</v>
      </c>
      <c r="B5247" s="138">
        <f>'Revenues 9-14'!C203</f>
        <v>73131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73131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334721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334721</v>
      </c>
      <c r="C5326" s="2" t="s">
        <v>594</v>
      </c>
      <c r="D5326" s="2" t="str">
        <f t="shared" si="82"/>
        <v>Error?</v>
      </c>
    </row>
    <row r="5327" spans="1:4" x14ac:dyDescent="0.2">
      <c r="A5327" s="5">
        <v>5266</v>
      </c>
      <c r="B5327" s="138">
        <f>'Revenues 9-14'!C275</f>
        <v>7322130</v>
      </c>
      <c r="C5327" s="2" t="s">
        <v>594</v>
      </c>
      <c r="D5327" s="2" t="str">
        <f t="shared" si="82"/>
        <v>Error?</v>
      </c>
    </row>
    <row r="5328" spans="1:4" x14ac:dyDescent="0.2">
      <c r="A5328" s="5">
        <v>5267</v>
      </c>
      <c r="B5328" s="138">
        <f>'Revenues 9-14'!D5</f>
        <v>604978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604978</v>
      </c>
      <c r="C5334" s="2" t="s">
        <v>594</v>
      </c>
      <c r="D5334" s="2" t="str">
        <f t="shared" si="82"/>
        <v>Error?</v>
      </c>
    </row>
    <row r="5335" spans="1:4" x14ac:dyDescent="0.2">
      <c r="A5335" s="5">
        <v>5274</v>
      </c>
      <c r="B5335" s="138">
        <f>'Revenues 9-14'!D14</f>
        <v>152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152</v>
      </c>
      <c r="C5339" s="2" t="s">
        <v>594</v>
      </c>
      <c r="D5339" s="2" t="str">
        <f t="shared" si="82"/>
        <v>Error?</v>
      </c>
    </row>
    <row r="5340" spans="1:4" x14ac:dyDescent="0.2">
      <c r="A5340" s="5">
        <v>5279</v>
      </c>
      <c r="B5340" s="138">
        <f>'Revenues 9-14'!D65</f>
        <v>3371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3371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36075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10080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v>
      </c>
      <c r="D5354" s="2" t="str">
        <f t="shared" si="82"/>
        <v>Error?</v>
      </c>
    </row>
    <row r="5355" spans="1:4" x14ac:dyDescent="0.2">
      <c r="A5355" s="5">
        <v>5294</v>
      </c>
      <c r="B5355" s="138">
        <f>'Revenues 9-14'!D108</f>
        <v>46170</v>
      </c>
      <c r="C5355" s="2" t="s">
        <v>594</v>
      </c>
      <c r="D5355" s="2" t="str">
        <f t="shared" si="82"/>
        <v>Error?</v>
      </c>
    </row>
    <row r="5356" spans="1:4" x14ac:dyDescent="0.2">
      <c r="A5356" s="5">
        <v>5295</v>
      </c>
      <c r="B5356" s="138">
        <f>'Revenues 9-14'!D109</f>
        <v>654671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534076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534076</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534076</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1188747</v>
      </c>
      <c r="C5508" s="2" t="s">
        <v>594</v>
      </c>
      <c r="D5508" s="2" t="str">
        <f t="shared" si="85"/>
        <v>Error?</v>
      </c>
    </row>
    <row r="5509" spans="1:4" x14ac:dyDescent="0.2">
      <c r="A5509" s="5">
        <v>5448</v>
      </c>
      <c r="B5509" s="138">
        <f>'Revenues 9-14'!E5</f>
        <v>941063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941063</v>
      </c>
      <c r="C5513" s="2" t="s">
        <v>594</v>
      </c>
      <c r="D5513" s="2" t="str">
        <f t="shared" si="85"/>
        <v>Error?</v>
      </c>
    </row>
    <row r="5514" spans="1:4" x14ac:dyDescent="0.2">
      <c r="A5514" s="5">
        <v>5453</v>
      </c>
      <c r="B5514" s="138">
        <f>'Revenues 9-14'!E14</f>
        <v>234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234</v>
      </c>
      <c r="C5518" s="2" t="s">
        <v>594</v>
      </c>
      <c r="D5518" s="2" t="str">
        <f t="shared" si="85"/>
        <v>Error?</v>
      </c>
    </row>
    <row r="5519" spans="1:4" x14ac:dyDescent="0.2">
      <c r="A5519" s="5">
        <v>5458</v>
      </c>
      <c r="B5519" s="138">
        <f>'Revenues 9-14'!E65</f>
        <v>6192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6192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15000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6027</v>
      </c>
      <c r="D5525" s="2" t="str">
        <f t="shared" si="85"/>
        <v>Error?</v>
      </c>
    </row>
    <row r="5526" spans="1:4" x14ac:dyDescent="0.2">
      <c r="A5526" s="5">
        <v>5465</v>
      </c>
      <c r="B5526" s="138">
        <f>'Revenues 9-14'!E108</f>
        <v>227027</v>
      </c>
      <c r="C5526" s="2" t="s">
        <v>594</v>
      </c>
      <c r="D5526" s="2" t="str">
        <f t="shared" si="85"/>
        <v>Error?</v>
      </c>
    </row>
    <row r="5527" spans="1:4" x14ac:dyDescent="0.2">
      <c r="A5527" s="5">
        <v>5466</v>
      </c>
      <c r="B5527" s="138">
        <f>'Revenues 9-14'!E109</f>
        <v>1174516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1174516</v>
      </c>
      <c r="C5552" s="2" t="s">
        <v>594</v>
      </c>
      <c r="D5552" s="2" t="str">
        <f t="shared" si="85"/>
        <v>Error?</v>
      </c>
    </row>
    <row r="5553" spans="1:4" x14ac:dyDescent="0.2">
      <c r="A5553" s="5">
        <v>5492</v>
      </c>
      <c r="B5553" s="138">
        <f>'Revenues 9-14'!F5</f>
        <v>241991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241991</v>
      </c>
      <c r="C5557" s="2" t="s">
        <v>594</v>
      </c>
      <c r="D5557" s="2" t="str">
        <f t="shared" si="85"/>
        <v>Error?</v>
      </c>
    </row>
    <row r="5558" spans="1:4" x14ac:dyDescent="0.2">
      <c r="A5558" s="5">
        <v>5497</v>
      </c>
      <c r="B5558" s="138">
        <f>'Revenues 9-14'!F14</f>
        <v>61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2936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2936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65</v>
      </c>
      <c r="D5586" s="2" t="str">
        <f t="shared" si="86"/>
        <v>Error?</v>
      </c>
    </row>
    <row r="5587" spans="1:4" x14ac:dyDescent="0.2">
      <c r="A5587" s="5">
        <v>5526</v>
      </c>
      <c r="B5587" s="138">
        <f>'Revenues 9-14'!F108</f>
        <v>65</v>
      </c>
      <c r="C5587" s="2" t="s">
        <v>594</v>
      </c>
      <c r="D5587" s="2" t="str">
        <f t="shared" si="86"/>
        <v>Error?</v>
      </c>
    </row>
    <row r="5588" spans="1:4" x14ac:dyDescent="0.2">
      <c r="A5588" s="5">
        <v>5527</v>
      </c>
      <c r="B5588" s="138">
        <f>'Revenues 9-14'!F109</f>
        <v>245053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172053</v>
      </c>
      <c r="D5615" s="2" t="str">
        <f t="shared" si="86"/>
        <v>Error?</v>
      </c>
    </row>
    <row r="5616" spans="1:4" x14ac:dyDescent="0.2">
      <c r="A5616" s="10">
        <v>5555</v>
      </c>
      <c r="D5616" s="2" t="str">
        <f t="shared" si="86"/>
        <v>OK</v>
      </c>
    </row>
    <row r="5617" spans="1:4" x14ac:dyDescent="0.2">
      <c r="A5617" s="5">
        <v>5556</v>
      </c>
      <c r="B5617" s="138">
        <f>'Revenues 9-14'!F152</f>
        <v>40015</v>
      </c>
      <c r="D5617" s="2" t="str">
        <f t="shared" si="86"/>
        <v>Error?</v>
      </c>
    </row>
    <row r="5618" spans="1:4" x14ac:dyDescent="0.2">
      <c r="A5618" s="5">
        <v>5557</v>
      </c>
      <c r="B5618" s="138">
        <f>'Revenues 9-14'!F154</f>
        <v>212068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20070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232138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232138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477191</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153660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153660</v>
      </c>
      <c r="C5725" s="2" t="s">
        <v>594</v>
      </c>
      <c r="D5725" s="2" t="str">
        <f t="shared" si="88"/>
        <v>Error?</v>
      </c>
    </row>
    <row r="5726" spans="1:4" x14ac:dyDescent="0.2">
      <c r="A5726" s="5">
        <v>5665</v>
      </c>
      <c r="B5726" s="138">
        <f>'Revenues 9-14'!G14</f>
        <v>40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9400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9440</v>
      </c>
      <c r="C5730" s="2" t="s">
        <v>594</v>
      </c>
      <c r="D5730" s="2" t="str">
        <f t="shared" si="88"/>
        <v>Error?</v>
      </c>
    </row>
    <row r="5731" spans="1:4" x14ac:dyDescent="0.2">
      <c r="A5731" s="5">
        <v>5670</v>
      </c>
      <c r="B5731" s="138">
        <f>'Revenues 9-14'!G65</f>
        <v>3832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3832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166932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299132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299132</v>
      </c>
      <c r="C5915" s="2" t="s">
        <v>594</v>
      </c>
      <c r="D5915" s="2" t="str">
        <f t="shared" si="91"/>
        <v>Error?</v>
      </c>
    </row>
    <row r="5916" spans="1:4" x14ac:dyDescent="0.2">
      <c r="A5916" s="5">
        <v>5855</v>
      </c>
      <c r="B5916" s="138">
        <f>'Revenues 9-14'!I5</f>
        <v>60498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60498</v>
      </c>
      <c r="C5918" s="2" t="s">
        <v>594</v>
      </c>
      <c r="D5918" s="2" t="str">
        <f t="shared" si="91"/>
        <v>Error?</v>
      </c>
    </row>
    <row r="5919" spans="1:4" x14ac:dyDescent="0.2">
      <c r="A5919" s="5">
        <v>5858</v>
      </c>
      <c r="B5919" s="138">
        <f>'Revenues 9-14'!I14</f>
        <v>15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15</v>
      </c>
      <c r="C5923" s="2" t="s">
        <v>594</v>
      </c>
      <c r="D5923" s="2" t="str">
        <f t="shared" si="91"/>
        <v>Error?</v>
      </c>
    </row>
    <row r="5924" spans="1:4" x14ac:dyDescent="0.2">
      <c r="A5924" s="5">
        <v>5863</v>
      </c>
      <c r="B5924" s="138">
        <f>'Revenues 9-14'!I65</f>
        <v>17347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17347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77860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60498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60498</v>
      </c>
      <c r="C5987" s="2" t="s">
        <v>594</v>
      </c>
      <c r="D5987" s="2" t="str">
        <f t="shared" si="92"/>
        <v>Error?</v>
      </c>
    </row>
    <row r="5988" spans="1:4" x14ac:dyDescent="0.2">
      <c r="A5988" s="5">
        <v>5927</v>
      </c>
      <c r="B5988" s="138">
        <f>'Revenues 9-14'!K14</f>
        <v>15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15</v>
      </c>
      <c r="C5992" s="2" t="s">
        <v>594</v>
      </c>
      <c r="D5992" s="2" t="str">
        <f t="shared" si="92"/>
        <v>Error?</v>
      </c>
    </row>
    <row r="5993" spans="1:4" x14ac:dyDescent="0.2">
      <c r="A5993" s="5">
        <v>5932</v>
      </c>
      <c r="B5993" s="138">
        <f>'Revenues 9-14'!K65</f>
        <v>44599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44599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105112</v>
      </c>
      <c r="C6023" s="2" t="s">
        <v>594</v>
      </c>
      <c r="D6023" s="2" t="str">
        <f t="shared" si="93"/>
        <v>Error?</v>
      </c>
    </row>
    <row r="6024" spans="1:5" x14ac:dyDescent="0.2">
      <c r="A6024" s="5">
        <v>5963</v>
      </c>
      <c r="B6024" s="138">
        <f>'Revenues 9-14'!G109</f>
        <v>166932</v>
      </c>
      <c r="C6024" s="2" t="s">
        <v>594</v>
      </c>
      <c r="D6024" s="2" t="str">
        <f t="shared" si="93"/>
        <v>Error?</v>
      </c>
    </row>
    <row r="6025" spans="1:5" x14ac:dyDescent="0.2">
      <c r="A6025" s="5">
        <v>5964</v>
      </c>
      <c r="B6025" s="138">
        <f>'Revenues 9-14'!H109</f>
        <v>299132</v>
      </c>
      <c r="C6025" s="2" t="s">
        <v>594</v>
      </c>
      <c r="D6025" s="2" t="str">
        <f t="shared" si="93"/>
        <v>Error?</v>
      </c>
    </row>
    <row r="6026" spans="1:5" x14ac:dyDescent="0.2">
      <c r="A6026" s="5">
        <v>5965</v>
      </c>
      <c r="B6026" s="138">
        <f>'Revenues 9-14'!I109</f>
        <v>77860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105112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172081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38370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898.67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952</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152934</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249720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11</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2</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249718</v>
      </c>
      <c r="D6215" s="2" t="str">
        <f t="shared" si="96"/>
        <v>Error?</v>
      </c>
      <c r="E6215" s="2" t="s">
        <v>199</v>
      </c>
    </row>
    <row r="6216" spans="1:5" x14ac:dyDescent="0.2">
      <c r="A6216">
        <v>6155</v>
      </c>
      <c r="B6216" s="138">
        <f>'Assets-Liab 5-6'!J41</f>
        <v>249720</v>
      </c>
      <c r="D6216" s="2" t="str">
        <f t="shared" si="96"/>
        <v>Error?</v>
      </c>
      <c r="E6216" s="2" t="s">
        <v>199</v>
      </c>
    </row>
    <row r="6217" spans="1:5" x14ac:dyDescent="0.2">
      <c r="A6217">
        <v>6156</v>
      </c>
      <c r="B6217" s="138">
        <f>'Assets-Liab 5-6'!J4</f>
        <v>249720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308224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308224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308224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240152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240152</v>
      </c>
      <c r="D6229" s="2" t="str">
        <f t="shared" si="96"/>
        <v>Error?</v>
      </c>
      <c r="E6229" s="2" t="s">
        <v>199</v>
      </c>
    </row>
    <row r="6230" spans="1:5" x14ac:dyDescent="0.2">
      <c r="A6230">
        <v>6169</v>
      </c>
      <c r="B6230" s="138">
        <f>'Acct Summary 7-8'!J20</f>
        <v>68072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68072</v>
      </c>
      <c r="D6263" s="2" t="str">
        <f t="shared" si="96"/>
        <v>Error?</v>
      </c>
      <c r="E6263" s="2" t="s">
        <v>199</v>
      </c>
    </row>
    <row r="6264" spans="1:5" x14ac:dyDescent="0.2">
      <c r="A6264">
        <v>6203</v>
      </c>
      <c r="B6264" s="138">
        <f>'Acct Summary 7-8'!J79</f>
        <v>181646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249718</v>
      </c>
      <c r="D6266" s="2" t="str">
        <f t="shared" si="96"/>
        <v>Error?</v>
      </c>
      <c r="E6266" s="2" t="s">
        <v>199</v>
      </c>
    </row>
    <row r="6267" spans="1:5" x14ac:dyDescent="0.2">
      <c r="A6267">
        <v>6206</v>
      </c>
      <c r="B6267" s="138">
        <f>'Acct Summary 7-8'!C82</f>
        <v>-727485</v>
      </c>
      <c r="D6267" s="2" t="str">
        <f t="shared" si="96"/>
        <v>Error?</v>
      </c>
      <c r="E6267" s="2" t="s">
        <v>199</v>
      </c>
    </row>
    <row r="6268" spans="1:5" x14ac:dyDescent="0.2">
      <c r="A6268">
        <v>6207</v>
      </c>
      <c r="B6268" s="138">
        <f>'Acct Summary 7-8'!D82</f>
        <v>421544</v>
      </c>
      <c r="D6268" s="2" t="str">
        <f t="shared" si="96"/>
        <v>Error?</v>
      </c>
      <c r="E6268" s="2" t="s">
        <v>199</v>
      </c>
    </row>
    <row r="6269" spans="1:5" x14ac:dyDescent="0.2">
      <c r="A6269">
        <v>6208</v>
      </c>
      <c r="B6269" s="138">
        <f>'Acct Summary 7-8'!E82</f>
        <v>69123</v>
      </c>
      <c r="D6269" s="2" t="str">
        <f t="shared" si="96"/>
        <v>Error?</v>
      </c>
      <c r="E6269" s="2" t="s">
        <v>199</v>
      </c>
    </row>
    <row r="6270" spans="1:5" x14ac:dyDescent="0.2">
      <c r="A6270">
        <v>6209</v>
      </c>
      <c r="B6270" s="138">
        <f>'Acct Summary 7-8'!F82</f>
        <v>58397</v>
      </c>
      <c r="D6270" s="2" t="str">
        <f t="shared" si="96"/>
        <v>Error?</v>
      </c>
      <c r="E6270" s="2" t="s">
        <v>199</v>
      </c>
    </row>
    <row r="6271" spans="1:5" x14ac:dyDescent="0.2">
      <c r="A6271">
        <v>6210</v>
      </c>
      <c r="B6271" s="138">
        <f>'Acct Summary 7-8'!G82</f>
        <v>-30840</v>
      </c>
      <c r="D6271" s="2" t="str">
        <f t="shared" ref="D6271:D6334" si="97">IF(ISBLANK(B6271),"OK",IF(A6271-B6271=0,"OK","Error?"))</f>
        <v>Error?</v>
      </c>
      <c r="E6271" s="2" t="s">
        <v>199</v>
      </c>
    </row>
    <row r="6272" spans="1:5" x14ac:dyDescent="0.2">
      <c r="A6272">
        <v>6211</v>
      </c>
      <c r="B6272" s="138">
        <f>'Acct Summary 7-8'!H82</f>
        <v>2271336</v>
      </c>
      <c r="D6272" s="2" t="str">
        <f t="shared" si="97"/>
        <v>Error?</v>
      </c>
      <c r="E6272" s="2" t="s">
        <v>199</v>
      </c>
    </row>
    <row r="6273" spans="1:5" x14ac:dyDescent="0.2">
      <c r="A6273">
        <v>6212</v>
      </c>
      <c r="B6273" s="138">
        <f>'Acct Summary 7-8'!I82</f>
        <v>96735</v>
      </c>
      <c r="D6273" s="2" t="str">
        <f t="shared" si="97"/>
        <v>Error?</v>
      </c>
      <c r="E6273" s="2" t="s">
        <v>199</v>
      </c>
    </row>
    <row r="6274" spans="1:5" x14ac:dyDescent="0.2">
      <c r="A6274">
        <v>6213</v>
      </c>
      <c r="B6274" s="138">
        <f>'Acct Summary 7-8'!J82</f>
        <v>68072</v>
      </c>
      <c r="D6274" s="2" t="str">
        <f t="shared" si="97"/>
        <v>Error?</v>
      </c>
      <c r="E6274" s="2" t="s">
        <v>199</v>
      </c>
    </row>
    <row r="6275" spans="1:5" x14ac:dyDescent="0.2">
      <c r="A6275">
        <v>6214</v>
      </c>
      <c r="B6275" s="138">
        <f>'Acct Summary 7-8'!K82</f>
        <v>3823789</v>
      </c>
      <c r="D6275" s="2" t="str">
        <f t="shared" si="97"/>
        <v>Error?</v>
      </c>
      <c r="E6275" s="2" t="s">
        <v>199</v>
      </c>
    </row>
    <row r="6276" spans="1:5" x14ac:dyDescent="0.2">
      <c r="A6276">
        <v>6215</v>
      </c>
      <c r="B6276" s="138">
        <f>'Acct Summary 7-8'!C83</f>
        <v>-0.15880481143750022</v>
      </c>
      <c r="D6276" s="2" t="str">
        <f t="shared" si="97"/>
        <v>Error?</v>
      </c>
      <c r="E6276" s="2" t="s">
        <v>199</v>
      </c>
    </row>
    <row r="6277" spans="1:5" x14ac:dyDescent="0.2">
      <c r="A6277">
        <v>6216</v>
      </c>
      <c r="B6277" s="138">
        <f>'Acct Summary 7-8'!D83</f>
        <v>0.65039135123792891</v>
      </c>
      <c r="D6277" s="2" t="str">
        <f t="shared" si="97"/>
        <v>Error?</v>
      </c>
      <c r="E6277" s="2" t="s">
        <v>199</v>
      </c>
    </row>
    <row r="6278" spans="1:5" x14ac:dyDescent="0.2">
      <c r="A6278">
        <v>6217</v>
      </c>
      <c r="B6278" s="138">
        <f>'Acct Summary 7-8'!E83</f>
        <v>7.316577489163742E-2</v>
      </c>
      <c r="D6278" s="2" t="str">
        <f t="shared" si="97"/>
        <v>Error?</v>
      </c>
      <c r="E6278" s="2" t="s">
        <v>199</v>
      </c>
    </row>
    <row r="6279" spans="1:5" x14ac:dyDescent="0.2">
      <c r="A6279">
        <v>6218</v>
      </c>
      <c r="B6279" s="138">
        <f>'Acct Summary 7-8'!F83</f>
        <v>0.12514465236286956</v>
      </c>
      <c r="D6279" s="2" t="str">
        <f t="shared" si="97"/>
        <v>Error?</v>
      </c>
      <c r="E6279" s="2" t="s">
        <v>199</v>
      </c>
    </row>
    <row r="6280" spans="1:5" x14ac:dyDescent="0.2">
      <c r="A6280">
        <v>6219</v>
      </c>
      <c r="B6280" s="138">
        <f>'Acct Summary 7-8'!G83</f>
        <v>-5.6987532591362064E-2</v>
      </c>
      <c r="D6280" s="2" t="str">
        <f t="shared" si="97"/>
        <v>Error?</v>
      </c>
      <c r="E6280" s="2" t="s">
        <v>199</v>
      </c>
    </row>
    <row r="6281" spans="1:5" x14ac:dyDescent="0.2">
      <c r="A6281">
        <v>6220</v>
      </c>
      <c r="B6281" s="138">
        <f>'Acct Summary 7-8'!H83</f>
        <v>0.99824728258480988</v>
      </c>
      <c r="D6281" s="2" t="str">
        <f t="shared" si="97"/>
        <v>Error?</v>
      </c>
      <c r="E6281" s="2" t="s">
        <v>199</v>
      </c>
    </row>
    <row r="6282" spans="1:5" x14ac:dyDescent="0.2">
      <c r="A6282">
        <v>6221</v>
      </c>
      <c r="B6282" s="138">
        <f>'Acct Summary 7-8'!I83</f>
        <v>0.10830840267638812</v>
      </c>
      <c r="D6282" s="2" t="str">
        <f t="shared" si="97"/>
        <v>Error?</v>
      </c>
      <c r="E6282" s="2" t="s">
        <v>199</v>
      </c>
    </row>
    <row r="6283" spans="1:5" x14ac:dyDescent="0.2">
      <c r="A6283">
        <v>6222</v>
      </c>
      <c r="B6283" s="138">
        <f>'Acct Summary 7-8'!J83</f>
        <v>0.27259548771013703</v>
      </c>
      <c r="D6283" s="2" t="str">
        <f t="shared" si="97"/>
        <v>Error?</v>
      </c>
      <c r="E6283" s="2" t="s">
        <v>199</v>
      </c>
    </row>
    <row r="6284" spans="1:5" x14ac:dyDescent="0.2">
      <c r="A6284">
        <v>6223</v>
      </c>
      <c r="B6284" s="138">
        <f>'Acct Summary 7-8'!K83</f>
        <v>0.91242372585308218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307038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307038</v>
      </c>
      <c r="D6301" s="2" t="str">
        <f t="shared" si="97"/>
        <v>Error?</v>
      </c>
      <c r="E6301" s="2" t="s">
        <v>199</v>
      </c>
    </row>
    <row r="6302" spans="1:5" x14ac:dyDescent="0.2">
      <c r="A6302">
        <v>6241</v>
      </c>
      <c r="B6302" s="138">
        <f>'Revenues 9-14'!J14</f>
        <v>79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79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1107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1107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3496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308224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82018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103539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261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40361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249846</v>
      </c>
      <c r="D6880" s="2" t="str">
        <f t="shared" si="106"/>
        <v>Error?</v>
      </c>
    </row>
    <row r="6881" spans="1:4" x14ac:dyDescent="0.2">
      <c r="A6881">
        <v>6820</v>
      </c>
      <c r="B6881" s="138">
        <f>'Expenditures 15-22'!K22</f>
        <v>249846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6000</v>
      </c>
      <c r="D6890" s="2" t="str">
        <f t="shared" si="106"/>
        <v>Error?</v>
      </c>
    </row>
    <row r="6891" spans="1:4" x14ac:dyDescent="0.2">
      <c r="A6891">
        <v>6830</v>
      </c>
      <c r="B6891" s="138">
        <f>'Expenditures 15-22'!K27</f>
        <v>6000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190608</v>
      </c>
      <c r="D6983" s="2" t="str">
        <f t="shared" si="108"/>
        <v>Error?</v>
      </c>
    </row>
    <row r="6984" spans="1:4" x14ac:dyDescent="0.2">
      <c r="A6984">
        <v>6923</v>
      </c>
      <c r="B6984" s="138">
        <f>'Expenditures 15-22'!K86</f>
        <v>190608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29771</v>
      </c>
      <c r="D6987" s="2" t="str">
        <f t="shared" si="108"/>
        <v>Error?</v>
      </c>
    </row>
    <row r="6988" spans="1:4" x14ac:dyDescent="0.2">
      <c r="A6988">
        <v>6927</v>
      </c>
      <c r="B6988" s="138">
        <f>'Expenditures 15-22'!K88</f>
        <v>29771</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220379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240152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308224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3361</v>
      </c>
      <c r="D7073" s="2" t="str">
        <f t="shared" si="109"/>
        <v>Error?</v>
      </c>
    </row>
    <row r="7074" spans="1:4" x14ac:dyDescent="0.2">
      <c r="A7074">
        <v>7013</v>
      </c>
      <c r="B7074" s="138">
        <f>'Expenditures 15-22'!K216</f>
        <v>3361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409</v>
      </c>
      <c r="D7079" s="2" t="str">
        <f t="shared" si="109"/>
        <v>Error?</v>
      </c>
    </row>
    <row r="7080" spans="1:4" x14ac:dyDescent="0.2">
      <c r="A7080">
        <v>7019</v>
      </c>
      <c r="B7080" s="138">
        <f>'Expenditures 15-22'!K226</f>
        <v>409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1662</v>
      </c>
      <c r="D7093" s="2" t="str">
        <f t="shared" si="109"/>
        <v>Error?</v>
      </c>
    </row>
    <row r="7094" spans="1:4" x14ac:dyDescent="0.2">
      <c r="A7094">
        <v>7033</v>
      </c>
      <c r="B7094" s="138">
        <f>'Expenditures 15-22'!K254</f>
        <v>1662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1020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1020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65019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65019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6219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6219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80069</v>
      </c>
      <c r="D7172" s="2" t="str">
        <f t="shared" si="111"/>
        <v>Error?</v>
      </c>
    </row>
    <row r="7173" spans="1:4" x14ac:dyDescent="0.2">
      <c r="A7173">
        <v>7112</v>
      </c>
      <c r="B7173" s="138">
        <f>'Expenditures 15-22'!D325</f>
        <v>14065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94134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73760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73760</v>
      </c>
      <c r="D7198" s="2" t="str">
        <f t="shared" si="111"/>
        <v>Error?</v>
      </c>
    </row>
    <row r="7199" spans="1:4" x14ac:dyDescent="0.2">
      <c r="A7199">
        <v>7138</v>
      </c>
      <c r="B7199" s="138">
        <f>'Expenditures 15-22'!C330</f>
        <v>80069</v>
      </c>
      <c r="D7199" s="2" t="str">
        <f t="shared" si="111"/>
        <v>Error?</v>
      </c>
    </row>
    <row r="7200" spans="1:4" x14ac:dyDescent="0.2">
      <c r="A7200">
        <v>7139</v>
      </c>
      <c r="B7200" s="138">
        <f>'Expenditures 15-22'!D330</f>
        <v>14065</v>
      </c>
      <c r="D7200" s="2" t="str">
        <f t="shared" si="111"/>
        <v>Error?</v>
      </c>
    </row>
    <row r="7201" spans="1:4" x14ac:dyDescent="0.2">
      <c r="A7201">
        <v>7140</v>
      </c>
      <c r="B7201" s="138">
        <f>'Expenditures 15-22'!E330</f>
        <v>146018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240152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80069</v>
      </c>
      <c r="D7216" s="2" t="str">
        <f t="shared" si="111"/>
        <v>Error?</v>
      </c>
    </row>
    <row r="7217" spans="1:4" x14ac:dyDescent="0.2">
      <c r="A7217">
        <v>7156</v>
      </c>
      <c r="B7217" s="138">
        <f>'Expenditures 15-22'!D342</f>
        <v>14065</v>
      </c>
      <c r="D7217" s="2" t="str">
        <f t="shared" si="111"/>
        <v>Error?</v>
      </c>
    </row>
    <row r="7218" spans="1:4" x14ac:dyDescent="0.2">
      <c r="A7218">
        <v>7157</v>
      </c>
      <c r="B7218" s="138">
        <f>'Expenditures 15-22'!E342</f>
        <v>146018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240152</v>
      </c>
      <c r="D7224" s="2" t="str">
        <f t="shared" si="111"/>
        <v>Error?</v>
      </c>
    </row>
    <row r="7225" spans="1:4" x14ac:dyDescent="0.2">
      <c r="A7225">
        <v>7164</v>
      </c>
      <c r="B7225" s="138">
        <f>'Expenditures 15-22'!K343</f>
        <v>68072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18311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3210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261</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28447</v>
      </c>
      <c r="D7263" s="2" t="str">
        <f t="shared" si="112"/>
        <v>Error?</v>
      </c>
    </row>
    <row r="7264" spans="1:4" x14ac:dyDescent="0.2">
      <c r="A7264">
        <f t="shared" si="113"/>
        <v>7203</v>
      </c>
      <c r="B7264" s="138">
        <f>'Expenditures 15-22'!D17</f>
        <v>7905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4009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617041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3988</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3496</v>
      </c>
      <c r="D7712" s="2" t="str">
        <f t="shared" si="126"/>
        <v>Error?</v>
      </c>
      <c r="E7712" s="2" t="s">
        <v>881</v>
      </c>
    </row>
    <row r="7713" spans="1:6" x14ac:dyDescent="0.2">
      <c r="A7713">
        <v>7652</v>
      </c>
      <c r="B7713" s="138">
        <f>'Rest Tax Levies-Tort Im 25'!J8</f>
        <v>505132</v>
      </c>
      <c r="D7713" s="2" t="str">
        <f t="shared" si="126"/>
        <v>Error?</v>
      </c>
      <c r="E7713" s="2" t="s">
        <v>881</v>
      </c>
    </row>
    <row r="7714" spans="1:6" x14ac:dyDescent="0.2">
      <c r="A7714">
        <v>7653</v>
      </c>
      <c r="B7714" s="138">
        <f>'Rest Tax Levies-Tort Im 25'!K9</f>
        <v>11175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505132</v>
      </c>
      <c r="D7718" s="2" t="str">
        <f t="shared" si="126"/>
        <v>Error?</v>
      </c>
      <c r="E7718" s="2" t="s">
        <v>881</v>
      </c>
    </row>
    <row r="7719" spans="1:6" x14ac:dyDescent="0.2">
      <c r="A7719">
        <v>7658</v>
      </c>
      <c r="B7719" s="138">
        <f>'Rest Tax Levies-Tort Im 25'!K12</f>
        <v>14671</v>
      </c>
      <c r="D7719" s="2" t="str">
        <f t="shared" si="126"/>
        <v>Error?</v>
      </c>
      <c r="E7719" s="2" t="s">
        <v>881</v>
      </c>
    </row>
    <row r="7720" spans="1:6" x14ac:dyDescent="0.2">
      <c r="A7720">
        <v>7659</v>
      </c>
      <c r="B7720" s="138">
        <f>'Rest Tax Levies-Tort Im 25'!H14</f>
        <v>48432</v>
      </c>
      <c r="D7720" s="2" t="str">
        <f t="shared" si="126"/>
        <v>Error?</v>
      </c>
      <c r="E7720" s="2" t="s">
        <v>881</v>
      </c>
    </row>
    <row r="7721" spans="1:6" x14ac:dyDescent="0.2">
      <c r="A7721">
        <v>7660</v>
      </c>
      <c r="B7721" s="138">
        <f>'Rest Tax Levies-Tort Im 25'!K14</f>
        <v>14671</v>
      </c>
      <c r="D7721" s="2" t="str">
        <f t="shared" si="126"/>
        <v>Error?</v>
      </c>
      <c r="E7721" s="2" t="s">
        <v>881</v>
      </c>
    </row>
    <row r="7722" spans="1:6" x14ac:dyDescent="0.2">
      <c r="A7722">
        <v>7661</v>
      </c>
      <c r="B7722" s="138">
        <f>'Rest Tax Levies-Tort Im 25'!J15</f>
        <v>27796</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206000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206000</v>
      </c>
      <c r="D7727" s="2" t="str">
        <f t="shared" si="126"/>
        <v>Error?</v>
      </c>
      <c r="E7727" s="2" t="s">
        <v>881</v>
      </c>
    </row>
    <row r="7728" spans="1:6" x14ac:dyDescent="0.2">
      <c r="A7728">
        <v>7667</v>
      </c>
      <c r="B7728" s="138">
        <f>'Revenues 9-14'!E103</f>
        <v>206000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233796</v>
      </c>
      <c r="D7730" s="2" t="str">
        <f t="shared" si="126"/>
        <v>Error?</v>
      </c>
      <c r="E7730" s="2" t="s">
        <v>881</v>
      </c>
    </row>
    <row r="7731" spans="1:6" x14ac:dyDescent="0.2">
      <c r="A7731">
        <v>7670</v>
      </c>
      <c r="B7731" s="138">
        <f>'Revenues 9-14'!H103</f>
        <v>299132</v>
      </c>
      <c r="D7731" s="2" t="str">
        <f t="shared" si="126"/>
        <v>Error?</v>
      </c>
      <c r="E7731" s="2" t="s">
        <v>881</v>
      </c>
    </row>
    <row r="7732" spans="1:6" x14ac:dyDescent="0.2">
      <c r="A7732">
        <v>7671</v>
      </c>
      <c r="B7732" s="138">
        <f>'Rest Tax Levies-Tort Im 25'!J24</f>
        <v>275324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275324</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70000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2000000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333542</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308542</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9" t="s">
        <v>1253</v>
      </c>
      <c r="B2" s="2409"/>
      <c r="C2" s="2409"/>
      <c r="D2" s="2409"/>
      <c r="E2" s="2409"/>
      <c r="F2" s="2409"/>
      <c r="G2" s="2409"/>
      <c r="H2" s="2409"/>
      <c r="I2" s="2409"/>
      <c r="J2" s="2409"/>
      <c r="K2" s="2409"/>
      <c r="L2" s="2409"/>
    </row>
    <row r="3" spans="1:29" ht="13.5" customHeight="1" x14ac:dyDescent="0.2">
      <c r="A3" s="2440" t="s">
        <v>1252</v>
      </c>
      <c r="B3" s="2440"/>
      <c r="C3" s="2440"/>
      <c r="D3" s="2440"/>
      <c r="E3" s="2440"/>
      <c r="F3" s="2440"/>
      <c r="G3" s="2440"/>
      <c r="H3" s="2440"/>
      <c r="I3" s="2440"/>
      <c r="J3" s="2440"/>
      <c r="K3" s="2440"/>
      <c r="L3" s="2440"/>
    </row>
    <row r="4" spans="1:29" ht="13.5" customHeight="1" x14ac:dyDescent="0.2">
      <c r="A4" s="2409" t="s">
        <v>1799</v>
      </c>
      <c r="B4" s="2430"/>
      <c r="C4" s="2430"/>
      <c r="D4" s="2430"/>
      <c r="E4" s="2430"/>
      <c r="F4" s="2430"/>
      <c r="G4" s="2430"/>
      <c r="H4" s="2430"/>
      <c r="I4" s="2430"/>
      <c r="J4" s="2430"/>
      <c r="K4" s="2430"/>
      <c r="L4" s="243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31" t="str">
        <f>COVER!A17</f>
        <v>Morrison CUSD 6</v>
      </c>
      <c r="B7" s="2432"/>
      <c r="C7" s="2432"/>
      <c r="D7" s="2433"/>
      <c r="E7" s="2434">
        <f>COVER!A13</f>
        <v>47098006026</v>
      </c>
      <c r="F7" s="2435"/>
      <c r="G7" s="2441" t="str">
        <f>COVER!T23</f>
        <v>066-005027</v>
      </c>
      <c r="H7" s="2442"/>
      <c r="I7" s="2442"/>
      <c r="J7" s="2442"/>
      <c r="K7" s="2442"/>
      <c r="L7" s="2443"/>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44"/>
      <c r="B9" s="2445"/>
      <c r="C9" s="2445"/>
      <c r="D9" s="2445"/>
      <c r="E9" s="2445"/>
      <c r="F9" s="2446"/>
      <c r="G9" s="2415" t="str">
        <f>COVER!T13</f>
        <v>Gorenz and Associates, Ltd.</v>
      </c>
      <c r="H9" s="2447"/>
      <c r="I9" s="2447"/>
      <c r="J9" s="2447"/>
      <c r="K9" s="2447"/>
      <c r="L9" s="2448"/>
    </row>
    <row r="10" spans="1:29" ht="13.5" customHeight="1" x14ac:dyDescent="0.2">
      <c r="A10" s="2421" t="str">
        <f>COVER!A38</f>
        <v>Scott Vance</v>
      </c>
      <c r="B10" s="2422"/>
      <c r="C10" s="2422"/>
      <c r="D10" s="2422"/>
      <c r="E10" s="2422"/>
      <c r="F10" s="2423"/>
      <c r="G10" s="2415" t="str">
        <f>COVER!T17</f>
        <v>4200 N Knoxville Ave</v>
      </c>
      <c r="H10" s="2416"/>
      <c r="I10" s="2416"/>
      <c r="J10" s="2416"/>
      <c r="K10" s="2416"/>
      <c r="L10" s="2417"/>
    </row>
    <row r="11" spans="1:29" ht="13.5" customHeight="1" x14ac:dyDescent="0.2">
      <c r="A11" s="1183" t="s">
        <v>1599</v>
      </c>
      <c r="B11" s="1184"/>
      <c r="C11" s="1185"/>
      <c r="D11" s="1190"/>
      <c r="E11" s="1185"/>
      <c r="F11" s="1189"/>
      <c r="G11" s="2415" t="str">
        <f>COVER!T19</f>
        <v>Peoria</v>
      </c>
      <c r="H11" s="2416"/>
      <c r="I11" s="2416"/>
      <c r="J11" s="2416"/>
      <c r="K11" s="2416"/>
      <c r="L11" s="2417"/>
    </row>
    <row r="12" spans="1:29" ht="13.5" customHeight="1" x14ac:dyDescent="0.2">
      <c r="A12" s="2424" t="s">
        <v>1598</v>
      </c>
      <c r="B12" s="2425"/>
      <c r="C12" s="2425"/>
      <c r="D12" s="2425"/>
      <c r="E12" s="2425"/>
      <c r="F12" s="2426"/>
      <c r="G12" s="2418"/>
      <c r="H12" s="2419"/>
      <c r="I12" s="2419"/>
      <c r="J12" s="2419"/>
      <c r="K12" s="2419"/>
      <c r="L12" s="2420"/>
    </row>
    <row r="13" spans="1:29" ht="13.5" customHeight="1" x14ac:dyDescent="0.2">
      <c r="A13" s="2415"/>
      <c r="B13" s="2416"/>
      <c r="C13" s="2416"/>
      <c r="D13" s="2416"/>
      <c r="E13" s="2416"/>
      <c r="F13" s="2417"/>
      <c r="G13" s="2410" t="s">
        <v>1600</v>
      </c>
      <c r="H13" s="2411"/>
      <c r="I13" s="2427" t="str">
        <f>COVER!T25</f>
        <v>rrumbold@gorenzcpa.com</v>
      </c>
      <c r="J13" s="2428"/>
      <c r="K13" s="2428"/>
      <c r="L13" s="2429"/>
    </row>
    <row r="14" spans="1:29" ht="13.5" customHeight="1" x14ac:dyDescent="0.2">
      <c r="A14" s="2415" t="str">
        <f>COVER!A19</f>
        <v>643 Genesee Avenue</v>
      </c>
      <c r="B14" s="2416"/>
      <c r="C14" s="2416"/>
      <c r="D14" s="2416"/>
      <c r="E14" s="2416"/>
      <c r="F14" s="2417"/>
      <c r="G14" s="1194" t="s">
        <v>1247</v>
      </c>
      <c r="H14" s="1192"/>
      <c r="I14" s="1192"/>
      <c r="J14" s="1192"/>
      <c r="K14" s="1192"/>
      <c r="L14" s="1193"/>
    </row>
    <row r="15" spans="1:29" ht="13.5" customHeight="1" x14ac:dyDescent="0.2">
      <c r="A15" s="2415" t="str">
        <f>COVER!A21</f>
        <v>Morrison</v>
      </c>
      <c r="B15" s="2416"/>
      <c r="C15" s="2416"/>
      <c r="D15" s="2416"/>
      <c r="E15" s="2416"/>
      <c r="F15" s="2417"/>
      <c r="G15" s="2412" t="str">
        <f>COVER!T15</f>
        <v>Russell J. Rumbold II, CPA</v>
      </c>
      <c r="H15" s="2413"/>
      <c r="I15" s="2413"/>
      <c r="J15" s="2413"/>
      <c r="K15" s="2413"/>
      <c r="L15" s="2414"/>
    </row>
    <row r="16" spans="1:29" ht="12.2" customHeight="1" x14ac:dyDescent="0.2">
      <c r="A16" s="2437" t="str">
        <f>COVER!A25</f>
        <v>61270-2999</v>
      </c>
      <c r="B16" s="2438"/>
      <c r="C16" s="2438"/>
      <c r="D16" s="2438"/>
      <c r="E16" s="2438"/>
      <c r="F16" s="2439"/>
      <c r="G16" s="2449"/>
      <c r="H16" s="2450"/>
      <c r="I16" s="2450"/>
      <c r="J16" s="2450"/>
      <c r="K16" s="2450"/>
      <c r="L16" s="2451"/>
    </row>
    <row r="17" spans="1:13" ht="12.2" customHeight="1" x14ac:dyDescent="0.2">
      <c r="A17" s="2452"/>
      <c r="B17" s="2438"/>
      <c r="C17" s="2438"/>
      <c r="D17" s="2438"/>
      <c r="E17" s="2438"/>
      <c r="F17" s="2439"/>
      <c r="G17" s="1194" t="s">
        <v>1246</v>
      </c>
      <c r="H17" s="1192"/>
      <c r="I17" s="1192"/>
      <c r="J17" s="1192"/>
      <c r="K17" s="1196" t="s">
        <v>1245</v>
      </c>
      <c r="L17" s="1189"/>
      <c r="M17" s="1182"/>
    </row>
    <row r="18" spans="1:13" ht="12.2" customHeight="1" x14ac:dyDescent="0.2">
      <c r="A18" s="2421"/>
      <c r="B18" s="2422"/>
      <c r="C18" s="2422"/>
      <c r="D18" s="2422"/>
      <c r="E18" s="2422"/>
      <c r="F18" s="2423"/>
      <c r="G18" s="2431" t="str">
        <f>COVER!T21</f>
        <v>309-685-7621</v>
      </c>
      <c r="H18" s="2432"/>
      <c r="I18" s="2432"/>
      <c r="J18" s="2432"/>
      <c r="K18" s="2431" t="str">
        <f>COVER!X21</f>
        <v>309-685-4758</v>
      </c>
      <c r="L18" s="243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53" t="str">
        <f>'Single Audit Cover'!A7</f>
        <v>Morrison CUSD 6</v>
      </c>
      <c r="B1" s="2430"/>
      <c r="C1" s="2430"/>
      <c r="D1" s="2430"/>
    </row>
    <row r="2" spans="1:11" s="1213" customFormat="1" ht="12.75" x14ac:dyDescent="0.2">
      <c r="A2" s="2454">
        <f>'Single Audit Cover'!E7</f>
        <v>47098006026</v>
      </c>
      <c r="B2" s="2455"/>
      <c r="C2" s="2455"/>
      <c r="D2" s="2455"/>
    </row>
    <row r="3" spans="1:11" s="1213" customFormat="1" ht="12.75" x14ac:dyDescent="0.2">
      <c r="A3" s="2453" t="s">
        <v>1593</v>
      </c>
      <c r="B3" s="2430"/>
      <c r="C3" s="2430"/>
      <c r="D3" s="243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7" t="str">
        <f>'Single Audit Cover'!A7</f>
        <v>Morrison CUSD 6</v>
      </c>
      <c r="B1" s="2457"/>
      <c r="C1" s="2457"/>
      <c r="D1" s="2457"/>
      <c r="E1" s="2457"/>
    </row>
    <row r="2" spans="1:5" x14ac:dyDescent="0.2">
      <c r="A2" s="2458">
        <f>'Single Audit Cover'!E7</f>
        <v>47098006026</v>
      </c>
      <c r="B2" s="2458"/>
      <c r="C2" s="2458"/>
      <c r="D2" s="2458"/>
      <c r="E2" s="2458"/>
    </row>
    <row r="3" spans="1:5" ht="4.5" customHeight="1" x14ac:dyDescent="0.2"/>
    <row r="4" spans="1:5" x14ac:dyDescent="0.2">
      <c r="A4" s="2457" t="s">
        <v>1307</v>
      </c>
      <c r="B4" s="2457"/>
      <c r="C4" s="2457"/>
      <c r="D4" s="2457"/>
      <c r="E4" s="2457"/>
    </row>
    <row r="5" spans="1:5" x14ac:dyDescent="0.2">
      <c r="A5" s="2460" t="str">
        <f>'Single Audit Cover'!A4</f>
        <v>Year Ending June 30, 2018</v>
      </c>
      <c r="B5" s="2460"/>
      <c r="C5" s="2460"/>
      <c r="D5" s="2460"/>
      <c r="E5" s="2460"/>
    </row>
    <row r="6" spans="1:5" x14ac:dyDescent="0.2">
      <c r="A6" s="2457" t="s">
        <v>1306</v>
      </c>
      <c r="B6" s="2457"/>
      <c r="C6" s="2457"/>
      <c r="D6" s="2457"/>
      <c r="E6" s="2457"/>
    </row>
    <row r="8" spans="1:5" x14ac:dyDescent="0.2">
      <c r="A8" s="1258" t="s">
        <v>1305</v>
      </c>
    </row>
    <row r="10" spans="1:5" x14ac:dyDescent="0.2">
      <c r="A10" s="1259" t="s">
        <v>1304</v>
      </c>
      <c r="B10" s="1260" t="s">
        <v>1303</v>
      </c>
      <c r="C10" s="1260"/>
      <c r="D10" s="1261">
        <f>SUM('Acct Summary 7-8'!C7:K7)</f>
        <v>334721</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38370</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-3798</v>
      </c>
    </row>
    <row r="19" spans="1:4" ht="13.5" thickBot="1" x14ac:dyDescent="0.25">
      <c r="A19" s="1263" t="s">
        <v>1297</v>
      </c>
      <c r="D19" s="1264">
        <f>SUM(D10:D17)</f>
        <v>369293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9"/>
      <c r="B24" s="2459"/>
      <c r="D24" s="1266"/>
    </row>
    <row r="25" spans="1:4" x14ac:dyDescent="0.2">
      <c r="A25" s="2456"/>
      <c r="B25" s="2456"/>
      <c r="D25" s="1266"/>
    </row>
    <row r="26" spans="1:4" x14ac:dyDescent="0.2">
      <c r="A26" s="2456"/>
      <c r="B26" s="2456"/>
      <c r="D26" s="1266"/>
    </row>
    <row r="27" spans="1:4" x14ac:dyDescent="0.2">
      <c r="A27" s="2456"/>
      <c r="B27" s="2456"/>
      <c r="D27" s="1266"/>
    </row>
    <row r="28" spans="1:4" x14ac:dyDescent="0.2">
      <c r="A28" s="2456"/>
      <c r="B28" s="2456"/>
      <c r="D28" s="1266"/>
    </row>
    <row r="29" spans="1:4" x14ac:dyDescent="0.2">
      <c r="A29" s="2456"/>
      <c r="B29" s="2456"/>
      <c r="D29" s="1266"/>
    </row>
    <row r="30" spans="1:4" x14ac:dyDescent="0.2">
      <c r="A30" s="2456"/>
      <c r="B30" s="2456"/>
      <c r="D30" s="1266"/>
    </row>
    <row r="32" spans="1:4" x14ac:dyDescent="0.2">
      <c r="A32" s="1258" t="s">
        <v>1295</v>
      </c>
      <c r="D32" s="1261">
        <f>SUM(D19:D30)</f>
        <v>369293</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56"/>
      <c r="B40" s="2456"/>
      <c r="D40" s="1266"/>
    </row>
    <row r="41" spans="1:4" x14ac:dyDescent="0.2">
      <c r="A41" s="2456"/>
      <c r="B41" s="2456"/>
      <c r="D41" s="1269"/>
    </row>
    <row r="42" spans="1:4" x14ac:dyDescent="0.2">
      <c r="A42" s="2456"/>
      <c r="B42" s="2456"/>
      <c r="D42" s="1269"/>
    </row>
    <row r="43" spans="1:4" x14ac:dyDescent="0.2">
      <c r="A43" s="2456"/>
      <c r="B43" s="2456"/>
      <c r="D43" s="1269"/>
    </row>
    <row r="44" spans="1:4" x14ac:dyDescent="0.2">
      <c r="A44" s="2456"/>
      <c r="B44" s="2456"/>
      <c r="D44" s="1269"/>
    </row>
    <row r="45" spans="1:4" x14ac:dyDescent="0.2">
      <c r="A45" s="2456"/>
      <c r="B45" s="2456"/>
      <c r="D45" s="1269"/>
    </row>
    <row r="47" spans="1:4" x14ac:dyDescent="0.2">
      <c r="B47" s="1270" t="s">
        <v>1289</v>
      </c>
      <c r="C47" s="1270"/>
      <c r="D47" s="1271">
        <f>SUM(D35:D45)</f>
        <v>0</v>
      </c>
    </row>
    <row r="49" spans="2:4" x14ac:dyDescent="0.2">
      <c r="B49" s="1270" t="s">
        <v>1288</v>
      </c>
      <c r="C49" s="1270"/>
      <c r="D49" s="1271">
        <f>D32-D47</f>
        <v>369293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Morrison CUSD 6</v>
      </c>
      <c r="B1" s="2470"/>
      <c r="C1" s="2470"/>
      <c r="D1" s="2470"/>
      <c r="E1" s="2470"/>
      <c r="F1" s="2470"/>
    </row>
    <row r="2" spans="1:7" ht="13.5" customHeight="1" x14ac:dyDescent="0.2">
      <c r="A2" s="2471">
        <f>'Single Audit Cover'!E7</f>
        <v>47098006026</v>
      </c>
      <c r="B2" s="2471"/>
      <c r="C2" s="2471"/>
      <c r="D2" s="2471"/>
      <c r="E2" s="2471"/>
      <c r="F2" s="2471"/>
      <c r="G2" s="1273"/>
    </row>
    <row r="3" spans="1:7" ht="15.75" customHeight="1" x14ac:dyDescent="0.2">
      <c r="A3" s="2472" t="s">
        <v>1333</v>
      </c>
      <c r="B3" s="2472"/>
      <c r="C3" s="2472"/>
      <c r="D3" s="2472"/>
      <c r="E3" s="2472"/>
      <c r="F3" s="2472"/>
    </row>
    <row r="4" spans="1:7" ht="13.5" customHeight="1" x14ac:dyDescent="0.2">
      <c r="A4" s="2473" t="str">
        <f>'Single Audit Cover'!A4</f>
        <v>Year Ending June 30, 2018</v>
      </c>
      <c r="B4" s="2473"/>
      <c r="C4" s="2473"/>
      <c r="D4" s="2473"/>
      <c r="E4" s="2473"/>
      <c r="F4" s="2473"/>
    </row>
    <row r="5" spans="1:7" ht="8.25" customHeight="1" x14ac:dyDescent="0.2">
      <c r="C5" s="317"/>
      <c r="D5" s="317"/>
    </row>
    <row r="6" spans="1:7" ht="13.5" customHeight="1" x14ac:dyDescent="0.2">
      <c r="A6" s="1274" t="s">
        <v>1831</v>
      </c>
      <c r="C6" s="317"/>
      <c r="D6" s="317"/>
    </row>
    <row r="7" spans="1:7" ht="60.95" customHeight="1" x14ac:dyDescent="0.2">
      <c r="A7" s="2469" t="s">
        <v>1832</v>
      </c>
      <c r="B7" s="2469"/>
      <c r="C7" s="2469"/>
      <c r="D7" s="2469"/>
      <c r="E7" s="2469"/>
      <c r="F7" s="246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69" t="s">
        <v>1834</v>
      </c>
      <c r="B13" s="2469"/>
      <c r="C13" s="2469"/>
      <c r="D13" s="2469"/>
      <c r="E13" s="2469"/>
      <c r="F13" s="2469"/>
    </row>
    <row r="14" spans="1:7" ht="9.75" customHeight="1" x14ac:dyDescent="0.2">
      <c r="C14" s="1258"/>
      <c r="D14" s="1258"/>
    </row>
    <row r="15" spans="1:7" ht="13.5" customHeight="1" x14ac:dyDescent="0.2">
      <c r="C15" s="1869" t="s">
        <v>1332</v>
      </c>
      <c r="D15" s="2467" t="s">
        <v>1331</v>
      </c>
      <c r="E15" s="2467"/>
      <c r="F15" s="2467"/>
    </row>
    <row r="16" spans="1:7" ht="13.5" customHeight="1" x14ac:dyDescent="0.2">
      <c r="A16" s="1280"/>
      <c r="B16" s="1274" t="s">
        <v>1330</v>
      </c>
      <c r="C16" s="1869" t="s">
        <v>1329</v>
      </c>
      <c r="D16" s="2468" t="s">
        <v>1670</v>
      </c>
      <c r="E16" s="2468"/>
      <c r="F16" s="2468"/>
    </row>
    <row r="17" spans="1:6" ht="20.45" customHeight="1" x14ac:dyDescent="0.2">
      <c r="A17" s="1281"/>
      <c r="B17" s="1282"/>
      <c r="C17" s="1283"/>
      <c r="D17" s="2462"/>
      <c r="E17" s="2462"/>
      <c r="F17" s="2462"/>
    </row>
    <row r="18" spans="1:6" ht="20.65" customHeight="1" x14ac:dyDescent="0.2">
      <c r="A18" s="1281"/>
      <c r="B18" s="1282"/>
      <c r="C18" s="1283"/>
      <c r="D18" s="2462"/>
      <c r="E18" s="2462"/>
      <c r="F18" s="2462"/>
    </row>
    <row r="19" spans="1:6" ht="20.65" customHeight="1" x14ac:dyDescent="0.2">
      <c r="A19" s="1281"/>
      <c r="B19" s="1282"/>
      <c r="C19" s="1283"/>
      <c r="D19" s="2462"/>
      <c r="E19" s="2462"/>
      <c r="F19" s="2462"/>
    </row>
    <row r="20" spans="1:6" ht="20.65" customHeight="1" x14ac:dyDescent="0.2">
      <c r="A20" s="1281"/>
      <c r="B20" s="1282"/>
      <c r="C20" s="1283"/>
      <c r="D20" s="2462"/>
      <c r="E20" s="2462"/>
      <c r="F20" s="2462"/>
    </row>
    <row r="21" spans="1:6" ht="20.65" customHeight="1" x14ac:dyDescent="0.2">
      <c r="A21" s="1281"/>
      <c r="B21" s="1282"/>
      <c r="C21" s="1283"/>
      <c r="D21" s="2462"/>
      <c r="E21" s="2462"/>
      <c r="F21" s="2462"/>
    </row>
    <row r="22" spans="1:6" ht="20.65" customHeight="1" x14ac:dyDescent="0.2">
      <c r="A22" s="1281"/>
      <c r="B22" s="1282"/>
      <c r="C22" s="1283"/>
      <c r="D22" s="2462"/>
      <c r="E22" s="2462"/>
      <c r="F22" s="2462"/>
    </row>
    <row r="23" spans="1:6" ht="20.65" customHeight="1" x14ac:dyDescent="0.2">
      <c r="A23" s="1281"/>
      <c r="B23" s="1282"/>
      <c r="C23" s="1283"/>
      <c r="D23" s="2462"/>
      <c r="E23" s="2462"/>
      <c r="F23" s="2462"/>
    </row>
    <row r="24" spans="1:6" ht="20.65" customHeight="1" x14ac:dyDescent="0.2">
      <c r="A24" s="1281"/>
      <c r="B24" s="1282"/>
      <c r="C24" s="1283"/>
      <c r="D24" s="2462"/>
      <c r="E24" s="2462"/>
      <c r="F24" s="2462"/>
    </row>
    <row r="25" spans="1:6" ht="20.65" customHeight="1" x14ac:dyDescent="0.2">
      <c r="A25" s="1281"/>
      <c r="B25" s="1282"/>
      <c r="C25" s="1283"/>
      <c r="D25" s="2462"/>
      <c r="E25" s="2462"/>
      <c r="F25" s="2462"/>
    </row>
    <row r="26" spans="1:6" ht="20.65" customHeight="1" x14ac:dyDescent="0.2">
      <c r="A26" s="1281"/>
      <c r="B26" s="1282"/>
      <c r="C26" s="1283"/>
      <c r="D26" s="2462"/>
      <c r="E26" s="2462"/>
      <c r="F26" s="2462"/>
    </row>
    <row r="27" spans="1:6" ht="20.65" customHeight="1" x14ac:dyDescent="0.2">
      <c r="A27" s="1281"/>
      <c r="B27" s="1282"/>
      <c r="C27" s="1283"/>
      <c r="D27" s="2462"/>
      <c r="E27" s="2462"/>
      <c r="F27" s="2462"/>
    </row>
    <row r="28" spans="1:6" ht="20.65" customHeight="1" x14ac:dyDescent="0.2">
      <c r="A28" s="1281"/>
      <c r="B28" s="1282"/>
      <c r="C28" s="1283"/>
      <c r="D28" s="2462"/>
      <c r="E28" s="2462"/>
      <c r="F28" s="2462"/>
    </row>
    <row r="29" spans="1:6" ht="20.65" customHeight="1" x14ac:dyDescent="0.2">
      <c r="A29" s="1281"/>
      <c r="B29" s="1282"/>
      <c r="C29" s="1283"/>
      <c r="D29" s="2462"/>
      <c r="E29" s="2462"/>
      <c r="F29" s="2462"/>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63" t="s">
        <v>1835</v>
      </c>
      <c r="B32" s="2463"/>
      <c r="C32" s="2463"/>
      <c r="D32" s="2463"/>
      <c r="E32" s="2463"/>
      <c r="F32" s="2463"/>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64">
        <f>+C33+C34</f>
        <v>0</v>
      </c>
      <c r="F34" s="2465"/>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6" t="s">
        <v>1672</v>
      </c>
      <c r="C49" s="2466"/>
      <c r="D49" s="2466"/>
      <c r="E49" s="1397"/>
    </row>
    <row r="50" spans="1:5" s="1298" customFormat="1" ht="3.75" customHeight="1" x14ac:dyDescent="0.2">
      <c r="A50" s="1297"/>
      <c r="B50" s="1868"/>
      <c r="C50" s="1868"/>
      <c r="D50" s="1868"/>
      <c r="E50" s="1397"/>
    </row>
    <row r="51" spans="1:5" s="1298" customFormat="1" ht="20.25" customHeight="1" x14ac:dyDescent="0.2">
      <c r="A51" s="1299">
        <v>6</v>
      </c>
      <c r="B51" s="2461" t="s">
        <v>1632</v>
      </c>
      <c r="C51" s="2461"/>
      <c r="D51" s="2461"/>
    </row>
    <row r="52" spans="1:5" ht="14.25" customHeight="1" x14ac:dyDescent="0.2">
      <c r="A52" s="1299"/>
      <c r="B52" s="2461"/>
      <c r="C52" s="2461"/>
      <c r="D52" s="246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40" t="str">
        <f>'Single Audit Cover'!A7</f>
        <v>Morrison CUSD 6</v>
      </c>
      <c r="C1" s="2474"/>
      <c r="D1" s="2474"/>
      <c r="E1" s="2474"/>
      <c r="F1" s="2474"/>
      <c r="G1" s="2474"/>
      <c r="H1" s="2474"/>
      <c r="I1" s="2474"/>
      <c r="J1" s="2474"/>
      <c r="K1" s="2474"/>
      <c r="L1" s="2474"/>
      <c r="M1" s="2474"/>
    </row>
    <row r="2" spans="2:14" ht="15" x14ac:dyDescent="0.2">
      <c r="B2" s="2471">
        <f>'Single Audit Cover'!E7</f>
        <v>47098006026</v>
      </c>
      <c r="C2" s="2471"/>
      <c r="D2" s="2471"/>
      <c r="E2" s="2471"/>
      <c r="F2" s="2471"/>
      <c r="G2" s="2471"/>
      <c r="H2" s="2471"/>
      <c r="I2" s="2471"/>
      <c r="J2" s="2471"/>
      <c r="K2" s="2471"/>
      <c r="L2" s="2471"/>
      <c r="M2" s="2471"/>
      <c r="N2" s="1300"/>
    </row>
    <row r="3" spans="2:14" ht="15" x14ac:dyDescent="0.2">
      <c r="B3" s="2475" t="s">
        <v>1281</v>
      </c>
      <c r="C3" s="2475"/>
      <c r="D3" s="2475"/>
      <c r="E3" s="2475"/>
      <c r="F3" s="2475"/>
      <c r="G3" s="2475"/>
      <c r="H3" s="2475"/>
      <c r="I3" s="2475"/>
      <c r="J3" s="2475"/>
      <c r="K3" s="2475"/>
      <c r="L3" s="2475"/>
      <c r="M3" s="2475"/>
      <c r="N3" s="1300"/>
    </row>
    <row r="4" spans="2:14" ht="15" x14ac:dyDescent="0.2">
      <c r="B4" s="2476" t="str">
        <f>'Single Audit Cover'!A4</f>
        <v>Year Ending June 30, 2018</v>
      </c>
      <c r="C4" s="2476"/>
      <c r="D4" s="2476"/>
      <c r="E4" s="2476"/>
      <c r="F4" s="2476"/>
      <c r="G4" s="2476"/>
      <c r="H4" s="2476"/>
      <c r="I4" s="2476"/>
      <c r="J4" s="2476"/>
      <c r="K4" s="2476"/>
      <c r="L4" s="2476"/>
      <c r="M4" s="2476"/>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2076</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2076</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6" t="s">
        <v>1731</v>
      </c>
      <c r="B35" s="2097"/>
      <c r="C35" s="2097"/>
      <c r="D35" s="2097"/>
      <c r="E35" s="2098"/>
      <c r="F35" s="2098"/>
      <c r="G35" s="2098"/>
      <c r="H35" s="2098"/>
      <c r="I35" s="209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6" t="s">
        <v>331</v>
      </c>
      <c r="B47" s="2099"/>
      <c r="C47" s="2099"/>
      <c r="D47" s="2099"/>
      <c r="E47" s="2100"/>
      <c r="F47" s="2100"/>
      <c r="G47" s="2100"/>
      <c r="H47" s="2100"/>
      <c r="I47" s="210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3" t="s">
        <v>2157</v>
      </c>
      <c r="C57" s="2104"/>
      <c r="D57" s="2104"/>
      <c r="E57" s="2104"/>
      <c r="F57" s="2104"/>
      <c r="G57" s="2104"/>
      <c r="H57" s="2104"/>
      <c r="I57" s="2104"/>
      <c r="J57" s="2105"/>
    </row>
    <row r="58" spans="1:10" s="181" customFormat="1" x14ac:dyDescent="0.2">
      <c r="A58" s="253"/>
      <c r="B58" s="2106"/>
      <c r="C58" s="2107"/>
      <c r="D58" s="2107"/>
      <c r="E58" s="2107"/>
      <c r="F58" s="2107"/>
      <c r="G58" s="2107"/>
      <c r="H58" s="2107"/>
      <c r="I58" s="2107"/>
      <c r="J58" s="2108"/>
    </row>
    <row r="59" spans="1:10" s="181" customFormat="1" x14ac:dyDescent="0.2">
      <c r="A59" s="253"/>
      <c r="B59" s="2106"/>
      <c r="C59" s="2107"/>
      <c r="D59" s="2107"/>
      <c r="E59" s="2107"/>
      <c r="F59" s="2107"/>
      <c r="G59" s="2107"/>
      <c r="H59" s="2107"/>
      <c r="I59" s="2107"/>
      <c r="J59" s="2108"/>
    </row>
    <row r="60" spans="1:10" s="181" customFormat="1" x14ac:dyDescent="0.2">
      <c r="A60" s="253"/>
      <c r="B60" s="2106"/>
      <c r="C60" s="2107"/>
      <c r="D60" s="2107"/>
      <c r="E60" s="2107"/>
      <c r="F60" s="2107"/>
      <c r="G60" s="2107"/>
      <c r="H60" s="2107"/>
      <c r="I60" s="2107"/>
      <c r="J60" s="2108"/>
    </row>
    <row r="61" spans="1:10" s="181" customFormat="1" x14ac:dyDescent="0.2">
      <c r="A61" s="253"/>
      <c r="B61" s="2106"/>
      <c r="C61" s="2107"/>
      <c r="D61" s="2107"/>
      <c r="E61" s="2107"/>
      <c r="F61" s="2107"/>
      <c r="G61" s="2107"/>
      <c r="H61" s="2107"/>
      <c r="I61" s="2107"/>
      <c r="J61" s="2108"/>
    </row>
    <row r="62" spans="1:10" s="181" customFormat="1" x14ac:dyDescent="0.2">
      <c r="A62" s="253"/>
      <c r="B62" s="2106"/>
      <c r="C62" s="2107"/>
      <c r="D62" s="2107"/>
      <c r="E62" s="2107"/>
      <c r="F62" s="2107"/>
      <c r="G62" s="2107"/>
      <c r="H62" s="2107"/>
      <c r="I62" s="2107"/>
      <c r="J62" s="2108"/>
    </row>
    <row r="63" spans="1:10" s="181" customFormat="1" x14ac:dyDescent="0.2">
      <c r="A63" s="253"/>
      <c r="B63" s="2106"/>
      <c r="C63" s="2107"/>
      <c r="D63" s="2107"/>
      <c r="E63" s="2107"/>
      <c r="F63" s="2107"/>
      <c r="G63" s="2107"/>
      <c r="H63" s="2107"/>
      <c r="I63" s="2107"/>
      <c r="J63" s="2108"/>
    </row>
    <row r="64" spans="1:10" s="181" customFormat="1" x14ac:dyDescent="0.2">
      <c r="A64" s="253"/>
      <c r="B64" s="2106"/>
      <c r="C64" s="2107"/>
      <c r="D64" s="2107"/>
      <c r="E64" s="2107"/>
      <c r="F64" s="2107"/>
      <c r="G64" s="2107"/>
      <c r="H64" s="2107"/>
      <c r="I64" s="2107"/>
      <c r="J64" s="2108"/>
    </row>
    <row r="65" spans="1:10" s="181" customFormat="1" x14ac:dyDescent="0.2">
      <c r="A65" s="253"/>
      <c r="B65" s="2106"/>
      <c r="C65" s="2107"/>
      <c r="D65" s="2107"/>
      <c r="E65" s="2107"/>
      <c r="F65" s="2107"/>
      <c r="G65" s="2107"/>
      <c r="H65" s="2107"/>
      <c r="I65" s="2107"/>
      <c r="J65" s="2108"/>
    </row>
    <row r="66" spans="1:10" s="181" customFormat="1" x14ac:dyDescent="0.2">
      <c r="A66" s="253"/>
      <c r="B66" s="2106"/>
      <c r="C66" s="2107"/>
      <c r="D66" s="2107"/>
      <c r="E66" s="2107"/>
      <c r="F66" s="2107"/>
      <c r="G66" s="2107"/>
      <c r="H66" s="2107"/>
      <c r="I66" s="2107"/>
      <c r="J66" s="2108"/>
    </row>
    <row r="67" spans="1:10" s="181" customFormat="1" ht="9" customHeight="1" x14ac:dyDescent="0.2">
      <c r="A67" s="254"/>
      <c r="B67" s="2109"/>
      <c r="C67" s="2110"/>
      <c r="D67" s="2110"/>
      <c r="E67" s="2110"/>
      <c r="F67" s="2110"/>
      <c r="G67" s="2110"/>
      <c r="H67" s="2110"/>
      <c r="I67" s="2110"/>
      <c r="J67" s="211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6" t="s">
        <v>1390</v>
      </c>
      <c r="B70" s="2099"/>
      <c r="C70" s="2099"/>
      <c r="D70" s="2099"/>
      <c r="E70" s="2100"/>
      <c r="F70" s="2100"/>
      <c r="G70" s="2100"/>
      <c r="H70" s="2100"/>
      <c r="I70" s="210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1" t="s">
        <v>1387</v>
      </c>
      <c r="B83" s="2101"/>
      <c r="C83" s="2101"/>
      <c r="D83" s="210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3" t="s">
        <v>2182</v>
      </c>
      <c r="C102" s="2084"/>
      <c r="D102" s="2084"/>
      <c r="E102" s="2084"/>
      <c r="F102" s="2084"/>
      <c r="G102" s="2084"/>
      <c r="H102" s="2084"/>
      <c r="I102" s="2085"/>
    </row>
    <row r="103" spans="1:9" s="181" customFormat="1" ht="11.25" customHeight="1" x14ac:dyDescent="0.2">
      <c r="A103" s="316"/>
      <c r="B103" s="2086"/>
      <c r="C103" s="2087"/>
      <c r="D103" s="2087"/>
      <c r="E103" s="2087"/>
      <c r="F103" s="2087"/>
      <c r="G103" s="2087"/>
      <c r="H103" s="2087"/>
      <c r="I103" s="2088"/>
    </row>
    <row r="104" spans="1:9" s="181" customFormat="1" ht="11.25" customHeight="1" x14ac:dyDescent="0.2">
      <c r="A104" s="316"/>
      <c r="B104" s="2086"/>
      <c r="C104" s="2087"/>
      <c r="D104" s="2087"/>
      <c r="E104" s="2087"/>
      <c r="F104" s="2087"/>
      <c r="G104" s="2087"/>
      <c r="H104" s="2087"/>
      <c r="I104" s="2088"/>
    </row>
    <row r="105" spans="1:9" s="181" customFormat="1" x14ac:dyDescent="0.2">
      <c r="A105" s="316"/>
      <c r="B105" s="2086"/>
      <c r="C105" s="2087"/>
      <c r="D105" s="2087"/>
      <c r="E105" s="2087"/>
      <c r="F105" s="2087"/>
      <c r="G105" s="2087"/>
      <c r="H105" s="2087"/>
      <c r="I105" s="2088"/>
    </row>
    <row r="106" spans="1:9" s="181" customFormat="1" ht="11.25" customHeight="1" x14ac:dyDescent="0.2">
      <c r="A106" s="316"/>
      <c r="B106" s="2086"/>
      <c r="C106" s="2087"/>
      <c r="D106" s="2087"/>
      <c r="E106" s="2087"/>
      <c r="F106" s="2087"/>
      <c r="G106" s="2087"/>
      <c r="H106" s="2087"/>
      <c r="I106" s="2088"/>
    </row>
    <row r="107" spans="1:9" s="181" customFormat="1" ht="11.25" customHeight="1" x14ac:dyDescent="0.2">
      <c r="A107" s="316"/>
      <c r="B107" s="2086"/>
      <c r="C107" s="2087"/>
      <c r="D107" s="2087"/>
      <c r="E107" s="2087"/>
      <c r="F107" s="2087"/>
      <c r="G107" s="2087"/>
      <c r="H107" s="2087"/>
      <c r="I107" s="2088"/>
    </row>
    <row r="108" spans="1:9" s="181" customFormat="1" ht="11.25" customHeight="1" x14ac:dyDescent="0.2">
      <c r="A108" s="316"/>
      <c r="B108" s="2086"/>
      <c r="C108" s="2087"/>
      <c r="D108" s="2087"/>
      <c r="E108" s="2087"/>
      <c r="F108" s="2087"/>
      <c r="G108" s="2087"/>
      <c r="H108" s="2087"/>
      <c r="I108" s="2088"/>
    </row>
    <row r="109" spans="1:9" s="181" customFormat="1" ht="11.25" customHeight="1" x14ac:dyDescent="0.2">
      <c r="A109" s="316"/>
      <c r="B109" s="2086"/>
      <c r="C109" s="2087"/>
      <c r="D109" s="2087"/>
      <c r="E109" s="2087"/>
      <c r="F109" s="2087"/>
      <c r="G109" s="2087"/>
      <c r="H109" s="2087"/>
      <c r="I109" s="2088"/>
    </row>
    <row r="110" spans="1:9" s="181" customFormat="1" ht="11.25" customHeight="1" x14ac:dyDescent="0.2">
      <c r="A110" s="316"/>
      <c r="B110" s="2086"/>
      <c r="C110" s="2087"/>
      <c r="D110" s="2087"/>
      <c r="E110" s="2087"/>
      <c r="F110" s="2087"/>
      <c r="G110" s="2087"/>
      <c r="H110" s="2087"/>
      <c r="I110" s="2088"/>
    </row>
    <row r="111" spans="1:9" s="181" customFormat="1" ht="11.25" customHeight="1" x14ac:dyDescent="0.2">
      <c r="A111" s="316"/>
      <c r="B111" s="2086"/>
      <c r="C111" s="2087"/>
      <c r="D111" s="2087"/>
      <c r="E111" s="2087"/>
      <c r="F111" s="2087"/>
      <c r="G111" s="2087"/>
      <c r="H111" s="2087"/>
      <c r="I111" s="2088"/>
    </row>
    <row r="112" spans="1:9" s="181" customFormat="1" ht="11.25" customHeight="1" x14ac:dyDescent="0.2">
      <c r="A112" s="316"/>
      <c r="B112" s="2089"/>
      <c r="C112" s="2090"/>
      <c r="D112" s="2090"/>
      <c r="E112" s="2090"/>
      <c r="F112" s="2090"/>
      <c r="G112" s="2090"/>
      <c r="H112" s="2090"/>
      <c r="I112" s="209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2" t="s">
        <v>2083</v>
      </c>
      <c r="D114" s="209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3" t="s">
        <v>1397</v>
      </c>
      <c r="D117" s="2094"/>
      <c r="E117" s="2095"/>
      <c r="F117" s="2095"/>
      <c r="G117" s="2095"/>
      <c r="H117" s="2095"/>
      <c r="I117" s="304"/>
    </row>
    <row r="118" spans="1:9" s="181" customFormat="1" ht="24" customHeight="1" x14ac:dyDescent="0.2">
      <c r="A118" s="316"/>
      <c r="B118" s="316"/>
      <c r="C118" s="316"/>
      <c r="D118" s="323" t="s">
        <v>2196</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8" t="str">
        <f>'Single Audit Cover'!A7</f>
        <v>Morrison CUSD 6</v>
      </c>
      <c r="C1" s="2489"/>
      <c r="D1" s="2489"/>
      <c r="E1" s="2489"/>
      <c r="F1" s="2489"/>
      <c r="G1" s="2489"/>
      <c r="H1" s="2489"/>
      <c r="I1" s="2489"/>
      <c r="J1" s="1420"/>
    </row>
    <row r="2" spans="2:10" s="317" customFormat="1" ht="12.75" customHeight="1" x14ac:dyDescent="0.2">
      <c r="B2" s="2490">
        <f>'Single Audit Cover'!E7</f>
        <v>47098006026</v>
      </c>
      <c r="C2" s="2491"/>
      <c r="D2" s="2491"/>
      <c r="E2" s="2491"/>
      <c r="F2" s="2491"/>
      <c r="G2" s="2491"/>
      <c r="H2" s="2491"/>
      <c r="I2" s="2491"/>
      <c r="J2" s="1420"/>
    </row>
    <row r="3" spans="2:10" s="317" customFormat="1" ht="12.75" customHeight="1" x14ac:dyDescent="0.2">
      <c r="B3" s="2492" t="s">
        <v>1347</v>
      </c>
      <c r="C3" s="2493"/>
      <c r="D3" s="2493"/>
      <c r="E3" s="2493"/>
      <c r="F3" s="2493"/>
      <c r="G3" s="2493"/>
      <c r="H3" s="2493"/>
      <c r="I3" s="2493"/>
      <c r="J3" s="1421"/>
    </row>
    <row r="4" spans="2:10" s="317" customFormat="1" ht="12.75" customHeight="1" x14ac:dyDescent="0.2">
      <c r="B4" s="2492" t="str">
        <f>'Single Audit Cover'!A4</f>
        <v>Year Ending June 30, 2018</v>
      </c>
      <c r="C4" s="2493"/>
      <c r="D4" s="2493"/>
      <c r="E4" s="2493"/>
      <c r="F4" s="2493"/>
      <c r="G4" s="2493"/>
      <c r="H4" s="2493"/>
      <c r="I4" s="2493"/>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92" t="s">
        <v>1346</v>
      </c>
      <c r="C7" s="2493"/>
      <c r="D7" s="2493"/>
      <c r="E7" s="2493"/>
      <c r="F7" s="2493"/>
      <c r="G7" s="2493"/>
      <c r="H7" s="2493"/>
      <c r="I7" s="2493"/>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94"/>
      <c r="D11" s="2494"/>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95"/>
      <c r="E29" s="2495"/>
      <c r="F29" s="2495"/>
      <c r="G29" s="2495"/>
      <c r="H29" s="2495"/>
      <c r="I29" s="2495"/>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96" t="s">
        <v>1854</v>
      </c>
      <c r="D37" s="2497"/>
      <c r="E37" s="2497"/>
      <c r="F37" s="2498"/>
      <c r="G37" s="2496" t="s">
        <v>1674</v>
      </c>
      <c r="H37" s="2497"/>
      <c r="I37" s="2498"/>
    </row>
    <row r="38" spans="2:9" ht="16.5" customHeight="1" x14ac:dyDescent="0.2">
      <c r="B38" s="1442"/>
      <c r="C38" s="2484"/>
      <c r="D38" s="2485"/>
      <c r="E38" s="2485"/>
      <c r="F38" s="2486"/>
      <c r="G38" s="2499"/>
      <c r="H38" s="2500"/>
      <c r="I38" s="2501"/>
    </row>
    <row r="39" spans="2:9" ht="16.5" customHeight="1" x14ac:dyDescent="0.2">
      <c r="B39" s="1442"/>
      <c r="C39" s="2484"/>
      <c r="D39" s="2485"/>
      <c r="E39" s="2485"/>
      <c r="F39" s="2486"/>
      <c r="G39" s="2487"/>
      <c r="H39" s="2487"/>
      <c r="I39" s="2487"/>
    </row>
    <row r="40" spans="2:9" ht="16.5" customHeight="1" x14ac:dyDescent="0.2">
      <c r="B40" s="1442"/>
      <c r="C40" s="2484"/>
      <c r="D40" s="2485"/>
      <c r="E40" s="2485"/>
      <c r="F40" s="2486"/>
      <c r="G40" s="2487"/>
      <c r="H40" s="2487"/>
      <c r="I40" s="2487"/>
    </row>
    <row r="41" spans="2:9" ht="16.5" customHeight="1" x14ac:dyDescent="0.2">
      <c r="B41" s="1442"/>
      <c r="C41" s="2484"/>
      <c r="D41" s="2485"/>
      <c r="E41" s="2485"/>
      <c r="F41" s="2486"/>
      <c r="G41" s="2487"/>
      <c r="H41" s="2487"/>
      <c r="I41" s="2487"/>
    </row>
    <row r="42" spans="2:9" ht="16.5" customHeight="1" x14ac:dyDescent="0.2">
      <c r="B42" s="1442"/>
      <c r="C42" s="2484"/>
      <c r="D42" s="2485"/>
      <c r="E42" s="2485"/>
      <c r="F42" s="2486"/>
      <c r="G42" s="2487"/>
      <c r="H42" s="2487"/>
      <c r="I42" s="2487"/>
    </row>
    <row r="43" spans="2:9" ht="16.5" customHeight="1" x14ac:dyDescent="0.2">
      <c r="B43" s="1442"/>
      <c r="C43" s="2477" t="s">
        <v>1675</v>
      </c>
      <c r="D43" s="2478"/>
      <c r="E43" s="2478"/>
      <c r="F43" s="2479"/>
      <c r="G43" s="2480">
        <f>SUM(G38:I42)</f>
        <v>0</v>
      </c>
      <c r="H43" s="2480"/>
      <c r="I43" s="2480"/>
    </row>
    <row r="44" spans="2:9" ht="12.75" customHeight="1" x14ac:dyDescent="0.2"/>
    <row r="45" spans="2:9" ht="12.75" customHeight="1" x14ac:dyDescent="0.2">
      <c r="B45" s="1433" t="s">
        <v>1951</v>
      </c>
      <c r="D45" s="2481">
        <v>0</v>
      </c>
      <c r="E45" s="2482"/>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3"/>
      <c r="F49" s="2483"/>
      <c r="G49" s="2483"/>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Morrison CUSD 6</v>
      </c>
      <c r="C1" s="2488"/>
      <c r="D1" s="2488"/>
      <c r="E1" s="2488"/>
      <c r="F1" s="2488"/>
      <c r="G1" s="2488"/>
      <c r="H1" s="2488"/>
      <c r="I1" s="2488"/>
      <c r="J1" s="2488"/>
      <c r="K1" s="2488"/>
      <c r="L1" s="1372"/>
      <c r="M1" s="1372"/>
    </row>
    <row r="2" spans="1:13" ht="12" customHeight="1" x14ac:dyDescent="0.2">
      <c r="B2" s="2490">
        <f>'Single Audit Cover'!E7</f>
        <v>47098006026</v>
      </c>
      <c r="C2" s="2490"/>
      <c r="D2" s="2490"/>
      <c r="E2" s="2490"/>
      <c r="F2" s="2490"/>
      <c r="G2" s="2490"/>
      <c r="H2" s="2490"/>
      <c r="I2" s="2490"/>
      <c r="J2" s="2490"/>
      <c r="K2" s="2490"/>
      <c r="L2" s="1373"/>
      <c r="M2" s="1374"/>
    </row>
    <row r="3" spans="1:13" ht="10.35" customHeight="1" x14ac:dyDescent="0.2">
      <c r="B3" s="2504" t="s">
        <v>1347</v>
      </c>
      <c r="C3" s="2504"/>
      <c r="D3" s="2504"/>
      <c r="E3" s="2504"/>
      <c r="F3" s="2504"/>
      <c r="G3" s="2504"/>
      <c r="H3" s="2504"/>
      <c r="I3" s="2504"/>
      <c r="J3" s="2504"/>
      <c r="K3" s="2504"/>
      <c r="L3" s="1375"/>
      <c r="M3" s="1375"/>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5" t="s">
        <v>1363</v>
      </c>
      <c r="C7" s="2505"/>
      <c r="D7" s="2506"/>
      <c r="E7" s="2506"/>
      <c r="F7" s="2506"/>
      <c r="G7" s="2506"/>
      <c r="H7" s="2506"/>
      <c r="I7" s="2506"/>
      <c r="J7" s="2506"/>
      <c r="K7" s="250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3"/>
      <c r="C14" s="2503"/>
      <c r="D14" s="2503"/>
      <c r="E14" s="2503"/>
      <c r="F14" s="2503"/>
      <c r="G14" s="2503"/>
      <c r="H14" s="2503"/>
      <c r="I14" s="2503"/>
      <c r="J14" s="2503"/>
      <c r="K14" s="250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3"/>
      <c r="C17" s="2503"/>
      <c r="D17" s="2503"/>
      <c r="E17" s="2503"/>
      <c r="F17" s="2503"/>
      <c r="G17" s="2503"/>
      <c r="H17" s="2503"/>
      <c r="I17" s="2503"/>
      <c r="J17" s="2503"/>
      <c r="K17" s="250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7"/>
      <c r="C20" s="2507"/>
      <c r="D20" s="2503"/>
      <c r="E20" s="2503"/>
      <c r="F20" s="2503"/>
      <c r="G20" s="2503"/>
      <c r="H20" s="2503"/>
      <c r="I20" s="2503"/>
      <c r="J20" s="2503"/>
      <c r="K20" s="250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3"/>
      <c r="C23" s="2503"/>
      <c r="D23" s="2503"/>
      <c r="E23" s="2503"/>
      <c r="F23" s="2503"/>
      <c r="G23" s="2503"/>
      <c r="H23" s="2503"/>
      <c r="I23" s="2503"/>
      <c r="J23" s="2503"/>
      <c r="K23" s="250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3"/>
      <c r="C26" s="2503"/>
      <c r="D26" s="2503"/>
      <c r="E26" s="2503"/>
      <c r="F26" s="2503"/>
      <c r="G26" s="2503"/>
      <c r="H26" s="2503"/>
      <c r="I26" s="2503"/>
      <c r="J26" s="2503"/>
      <c r="K26" s="250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2"/>
      <c r="C29" s="2502"/>
      <c r="D29" s="2503"/>
      <c r="E29" s="2503"/>
      <c r="F29" s="2503"/>
      <c r="G29" s="2503"/>
      <c r="H29" s="2503"/>
      <c r="I29" s="2503"/>
      <c r="J29" s="2503"/>
      <c r="K29" s="250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02"/>
      <c r="C32" s="2502"/>
      <c r="D32" s="2503"/>
      <c r="E32" s="2503"/>
      <c r="F32" s="2503"/>
      <c r="G32" s="2503"/>
      <c r="H32" s="2503"/>
      <c r="I32" s="2503"/>
      <c r="J32" s="2503"/>
      <c r="K32" s="250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Morrison CUSD 6</v>
      </c>
      <c r="C1" s="2488"/>
      <c r="D1" s="2488"/>
      <c r="E1" s="2488"/>
      <c r="F1" s="2488"/>
      <c r="G1" s="2488"/>
      <c r="H1" s="2488"/>
      <c r="I1" s="2488"/>
      <c r="J1" s="2488"/>
      <c r="K1" s="2488"/>
      <c r="L1" s="1372"/>
      <c r="M1" s="1372"/>
    </row>
    <row r="2" spans="1:13" ht="12" customHeight="1" x14ac:dyDescent="0.2">
      <c r="B2" s="2490">
        <f>'Single Audit Cover'!E7</f>
        <v>47098006026</v>
      </c>
      <c r="C2" s="2490"/>
      <c r="D2" s="2490"/>
      <c r="E2" s="2490"/>
      <c r="F2" s="2490"/>
      <c r="G2" s="2490"/>
      <c r="H2" s="2490"/>
      <c r="I2" s="2490"/>
      <c r="J2" s="2490"/>
      <c r="K2" s="2490"/>
      <c r="L2" s="1373"/>
      <c r="M2" s="1374"/>
    </row>
    <row r="3" spans="1:13" ht="10.35" customHeight="1" x14ac:dyDescent="0.2">
      <c r="B3" s="2504" t="s">
        <v>1347</v>
      </c>
      <c r="C3" s="2504"/>
      <c r="D3" s="2504"/>
      <c r="E3" s="2504"/>
      <c r="F3" s="2504"/>
      <c r="G3" s="2504"/>
      <c r="H3" s="2504"/>
      <c r="I3" s="2504"/>
      <c r="J3" s="2504"/>
      <c r="K3" s="2504"/>
      <c r="L3" s="1954"/>
      <c r="M3" s="1954"/>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5" t="s">
        <v>1363</v>
      </c>
      <c r="C7" s="2505"/>
      <c r="D7" s="2506"/>
      <c r="E7" s="2506"/>
      <c r="F7" s="2506"/>
      <c r="G7" s="2506"/>
      <c r="H7" s="2506"/>
      <c r="I7" s="2506"/>
      <c r="J7" s="2506"/>
      <c r="K7" s="250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1</v>
      </c>
      <c r="E10" s="322"/>
      <c r="F10" s="1385" t="s">
        <v>1362</v>
      </c>
      <c r="G10" s="1386"/>
      <c r="H10" s="1387" t="s">
        <v>1361</v>
      </c>
      <c r="I10" s="1386" t="s">
        <v>2085</v>
      </c>
      <c r="J10" s="1388" t="s">
        <v>1360</v>
      </c>
      <c r="K10" s="322"/>
      <c r="L10" s="1379"/>
    </row>
    <row r="11" spans="1:13" ht="13.5" customHeight="1" x14ac:dyDescent="0.2">
      <c r="B11" s="322"/>
      <c r="C11" s="322"/>
      <c r="D11" s="322"/>
      <c r="E11" s="322"/>
      <c r="F11" s="322"/>
      <c r="G11" s="1381"/>
      <c r="H11" s="322"/>
      <c r="I11" s="1389" t="s">
        <v>1359</v>
      </c>
      <c r="J11" s="322"/>
      <c r="K11" s="1390">
        <v>2003</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3" t="s">
        <v>2088</v>
      </c>
      <c r="C14" s="2503"/>
      <c r="D14" s="2503"/>
      <c r="E14" s="2503"/>
      <c r="F14" s="2503"/>
      <c r="G14" s="2503"/>
      <c r="H14" s="2503"/>
      <c r="I14" s="2503"/>
      <c r="J14" s="2503"/>
      <c r="K14" s="250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3" t="s">
        <v>2089</v>
      </c>
      <c r="C17" s="2503"/>
      <c r="D17" s="2503"/>
      <c r="E17" s="2503"/>
      <c r="F17" s="2503"/>
      <c r="G17" s="2503"/>
      <c r="H17" s="2503"/>
      <c r="I17" s="2503"/>
      <c r="J17" s="2503"/>
      <c r="K17" s="250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7" t="s">
        <v>2090</v>
      </c>
      <c r="C20" s="2507"/>
      <c r="D20" s="2503"/>
      <c r="E20" s="2503"/>
      <c r="F20" s="2503"/>
      <c r="G20" s="2503"/>
      <c r="H20" s="2503"/>
      <c r="I20" s="2503"/>
      <c r="J20" s="2503"/>
      <c r="K20" s="250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3" t="s">
        <v>2091</v>
      </c>
      <c r="C23" s="2503"/>
      <c r="D23" s="2503"/>
      <c r="E23" s="2503"/>
      <c r="F23" s="2503"/>
      <c r="G23" s="2503"/>
      <c r="H23" s="2503"/>
      <c r="I23" s="2503"/>
      <c r="J23" s="2503"/>
      <c r="K23" s="250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3" t="s">
        <v>2092</v>
      </c>
      <c r="C26" s="2503"/>
      <c r="D26" s="2503"/>
      <c r="E26" s="2503"/>
      <c r="F26" s="2503"/>
      <c r="G26" s="2503"/>
      <c r="H26" s="2503"/>
      <c r="I26" s="2503"/>
      <c r="J26" s="2503"/>
      <c r="K26" s="250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2" t="s">
        <v>2093</v>
      </c>
      <c r="C29" s="2502"/>
      <c r="D29" s="2503"/>
      <c r="E29" s="2503"/>
      <c r="F29" s="2503"/>
      <c r="G29" s="2503"/>
      <c r="H29" s="2503"/>
      <c r="I29" s="2503"/>
      <c r="J29" s="2503"/>
      <c r="K29" s="250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02" t="s">
        <v>2094</v>
      </c>
      <c r="C32" s="2502"/>
      <c r="D32" s="2503"/>
      <c r="E32" s="2503"/>
      <c r="F32" s="2503"/>
      <c r="G32" s="2503"/>
      <c r="H32" s="2503"/>
      <c r="I32" s="2503"/>
      <c r="J32" s="2503"/>
      <c r="K32" s="250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Morrison CUSD 6</v>
      </c>
      <c r="C1" s="2488"/>
      <c r="D1" s="2488"/>
      <c r="E1" s="2488"/>
      <c r="F1" s="2488"/>
      <c r="G1" s="2488"/>
      <c r="H1" s="2488"/>
      <c r="I1" s="2488"/>
      <c r="J1" s="2488"/>
      <c r="K1" s="2488"/>
      <c r="L1" s="1372"/>
      <c r="M1" s="1372"/>
    </row>
    <row r="2" spans="1:13" ht="12" customHeight="1" x14ac:dyDescent="0.2">
      <c r="B2" s="2490">
        <f>'Single Audit Cover'!E7</f>
        <v>47098006026</v>
      </c>
      <c r="C2" s="2490"/>
      <c r="D2" s="2490"/>
      <c r="E2" s="2490"/>
      <c r="F2" s="2490"/>
      <c r="G2" s="2490"/>
      <c r="H2" s="2490"/>
      <c r="I2" s="2490"/>
      <c r="J2" s="2490"/>
      <c r="K2" s="2490"/>
      <c r="L2" s="1373"/>
      <c r="M2" s="1374"/>
    </row>
    <row r="3" spans="1:13" ht="10.35" customHeight="1" x14ac:dyDescent="0.2">
      <c r="B3" s="2504" t="s">
        <v>1347</v>
      </c>
      <c r="C3" s="2504"/>
      <c r="D3" s="2504"/>
      <c r="E3" s="2504"/>
      <c r="F3" s="2504"/>
      <c r="G3" s="2504"/>
      <c r="H3" s="2504"/>
      <c r="I3" s="2504"/>
      <c r="J3" s="2504"/>
      <c r="K3" s="2504"/>
      <c r="L3" s="1954"/>
      <c r="M3" s="1954"/>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5" t="s">
        <v>1363</v>
      </c>
      <c r="C7" s="2505"/>
      <c r="D7" s="2506"/>
      <c r="E7" s="2506"/>
      <c r="F7" s="2506"/>
      <c r="G7" s="2506"/>
      <c r="H7" s="2506"/>
      <c r="I7" s="2506"/>
      <c r="J7" s="2506"/>
      <c r="K7" s="250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2</v>
      </c>
      <c r="E10" s="322"/>
      <c r="F10" s="1385" t="s">
        <v>1362</v>
      </c>
      <c r="G10" s="1386"/>
      <c r="H10" s="1387" t="s">
        <v>1361</v>
      </c>
      <c r="I10" s="1386" t="s">
        <v>2085</v>
      </c>
      <c r="J10" s="1388" t="s">
        <v>1360</v>
      </c>
      <c r="K10" s="322"/>
      <c r="L10" s="1379"/>
    </row>
    <row r="11" spans="1:13" ht="13.5" customHeight="1" x14ac:dyDescent="0.2">
      <c r="B11" s="322"/>
      <c r="C11" s="322"/>
      <c r="D11" s="322"/>
      <c r="E11" s="322"/>
      <c r="F11" s="322"/>
      <c r="G11" s="1381"/>
      <c r="H11" s="322"/>
      <c r="I11" s="1389" t="s">
        <v>1359</v>
      </c>
      <c r="J11" s="322"/>
      <c r="K11" s="1390">
        <v>2016</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3" t="s">
        <v>2095</v>
      </c>
      <c r="C14" s="2503"/>
      <c r="D14" s="2503"/>
      <c r="E14" s="2503"/>
      <c r="F14" s="2503"/>
      <c r="G14" s="2503"/>
      <c r="H14" s="2503"/>
      <c r="I14" s="2503"/>
      <c r="J14" s="2503"/>
      <c r="K14" s="250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3" t="s">
        <v>2096</v>
      </c>
      <c r="C17" s="2503"/>
      <c r="D17" s="2503"/>
      <c r="E17" s="2503"/>
      <c r="F17" s="2503"/>
      <c r="G17" s="2503"/>
      <c r="H17" s="2503"/>
      <c r="I17" s="2503"/>
      <c r="J17" s="2503"/>
      <c r="K17" s="250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7" t="s">
        <v>2097</v>
      </c>
      <c r="C20" s="2507"/>
      <c r="D20" s="2503"/>
      <c r="E20" s="2503"/>
      <c r="F20" s="2503"/>
      <c r="G20" s="2503"/>
      <c r="H20" s="2503"/>
      <c r="I20" s="2503"/>
      <c r="J20" s="2503"/>
      <c r="K20" s="250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3" t="s">
        <v>2098</v>
      </c>
      <c r="C23" s="2503"/>
      <c r="D23" s="2503"/>
      <c r="E23" s="2503"/>
      <c r="F23" s="2503"/>
      <c r="G23" s="2503"/>
      <c r="H23" s="2503"/>
      <c r="I23" s="2503"/>
      <c r="J23" s="2503"/>
      <c r="K23" s="250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54.75" customHeight="1" x14ac:dyDescent="0.2">
      <c r="B26" s="2503" t="s">
        <v>2183</v>
      </c>
      <c r="C26" s="2503"/>
      <c r="D26" s="2503"/>
      <c r="E26" s="2503"/>
      <c r="F26" s="2503"/>
      <c r="G26" s="2503"/>
      <c r="H26" s="2503"/>
      <c r="I26" s="2503"/>
      <c r="J26" s="2503"/>
      <c r="K26" s="250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2" t="s">
        <v>2099</v>
      </c>
      <c r="C29" s="2502"/>
      <c r="D29" s="2503"/>
      <c r="E29" s="2503"/>
      <c r="F29" s="2503"/>
      <c r="G29" s="2503"/>
      <c r="H29" s="2503"/>
      <c r="I29" s="2503"/>
      <c r="J29" s="2503"/>
      <c r="K29" s="250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02" t="s">
        <v>2184</v>
      </c>
      <c r="C32" s="2502"/>
      <c r="D32" s="2503"/>
      <c r="E32" s="2503"/>
      <c r="F32" s="2503"/>
      <c r="G32" s="2503"/>
      <c r="H32" s="2503"/>
      <c r="I32" s="2503"/>
      <c r="J32" s="2503"/>
      <c r="K32" s="250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Morrison CUSD 6</v>
      </c>
      <c r="C1" s="2488"/>
      <c r="D1" s="2488"/>
      <c r="E1" s="2488"/>
      <c r="F1" s="2488"/>
      <c r="G1" s="2488"/>
      <c r="H1" s="2488"/>
      <c r="I1" s="2488"/>
      <c r="J1" s="2488"/>
      <c r="K1" s="2488"/>
      <c r="L1" s="1372"/>
      <c r="M1" s="1372"/>
    </row>
    <row r="2" spans="1:13" ht="12" customHeight="1" x14ac:dyDescent="0.2">
      <c r="B2" s="2490">
        <f>'Single Audit Cover'!E7</f>
        <v>47098006026</v>
      </c>
      <c r="C2" s="2490"/>
      <c r="D2" s="2490"/>
      <c r="E2" s="2490"/>
      <c r="F2" s="2490"/>
      <c r="G2" s="2490"/>
      <c r="H2" s="2490"/>
      <c r="I2" s="2490"/>
      <c r="J2" s="2490"/>
      <c r="K2" s="2490"/>
      <c r="L2" s="1373"/>
      <c r="M2" s="1374"/>
    </row>
    <row r="3" spans="1:13" ht="10.35" customHeight="1" x14ac:dyDescent="0.2">
      <c r="B3" s="2504" t="s">
        <v>1347</v>
      </c>
      <c r="C3" s="2504"/>
      <c r="D3" s="2504"/>
      <c r="E3" s="2504"/>
      <c r="F3" s="2504"/>
      <c r="G3" s="2504"/>
      <c r="H3" s="2504"/>
      <c r="I3" s="2504"/>
      <c r="J3" s="2504"/>
      <c r="K3" s="2504"/>
      <c r="L3" s="1954"/>
      <c r="M3" s="1954"/>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5" t="s">
        <v>1363</v>
      </c>
      <c r="C7" s="2505"/>
      <c r="D7" s="2506"/>
      <c r="E7" s="2506"/>
      <c r="F7" s="2506"/>
      <c r="G7" s="2506"/>
      <c r="H7" s="2506"/>
      <c r="I7" s="2506"/>
      <c r="J7" s="2506"/>
      <c r="K7" s="250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3</v>
      </c>
      <c r="E10" s="322"/>
      <c r="F10" s="1385" t="s">
        <v>1362</v>
      </c>
      <c r="G10" s="1386"/>
      <c r="H10" s="1387" t="s">
        <v>1361</v>
      </c>
      <c r="I10" s="1386" t="s">
        <v>2085</v>
      </c>
      <c r="J10" s="1388" t="s">
        <v>1360</v>
      </c>
      <c r="K10" s="322"/>
      <c r="L10" s="1379"/>
    </row>
    <row r="11" spans="1:13" ht="13.5" customHeight="1" x14ac:dyDescent="0.2">
      <c r="B11" s="322"/>
      <c r="C11" s="322"/>
      <c r="D11" s="322"/>
      <c r="E11" s="322"/>
      <c r="F11" s="322"/>
      <c r="G11" s="1381"/>
      <c r="H11" s="322"/>
      <c r="I11" s="1389" t="s">
        <v>1359</v>
      </c>
      <c r="J11" s="322"/>
      <c r="K11" s="1390">
        <v>2016</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3" t="s">
        <v>2100</v>
      </c>
      <c r="C14" s="2503"/>
      <c r="D14" s="2503"/>
      <c r="E14" s="2503"/>
      <c r="F14" s="2503"/>
      <c r="G14" s="2503"/>
      <c r="H14" s="2503"/>
      <c r="I14" s="2503"/>
      <c r="J14" s="2503"/>
      <c r="K14" s="250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3" t="s">
        <v>2101</v>
      </c>
      <c r="C17" s="2503"/>
      <c r="D17" s="2503"/>
      <c r="E17" s="2503"/>
      <c r="F17" s="2503"/>
      <c r="G17" s="2503"/>
      <c r="H17" s="2503"/>
      <c r="I17" s="2503"/>
      <c r="J17" s="2503"/>
      <c r="K17" s="250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7" t="s">
        <v>2102</v>
      </c>
      <c r="C20" s="2507"/>
      <c r="D20" s="2503"/>
      <c r="E20" s="2503"/>
      <c r="F20" s="2503"/>
      <c r="G20" s="2503"/>
      <c r="H20" s="2503"/>
      <c r="I20" s="2503"/>
      <c r="J20" s="2503"/>
      <c r="K20" s="250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3" t="s">
        <v>2142</v>
      </c>
      <c r="C23" s="2503"/>
      <c r="D23" s="2503"/>
      <c r="E23" s="2503"/>
      <c r="F23" s="2503"/>
      <c r="G23" s="2503"/>
      <c r="H23" s="2503"/>
      <c r="I23" s="2503"/>
      <c r="J23" s="2503"/>
      <c r="K23" s="250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58.5" customHeight="1" x14ac:dyDescent="0.2">
      <c r="B26" s="2503" t="s">
        <v>2143</v>
      </c>
      <c r="C26" s="2503"/>
      <c r="D26" s="2503"/>
      <c r="E26" s="2503"/>
      <c r="F26" s="2503"/>
      <c r="G26" s="2503"/>
      <c r="H26" s="2503"/>
      <c r="I26" s="2503"/>
      <c r="J26" s="2503"/>
      <c r="K26" s="250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2" t="s">
        <v>2144</v>
      </c>
      <c r="C29" s="2502"/>
      <c r="D29" s="2503"/>
      <c r="E29" s="2503"/>
      <c r="F29" s="2503"/>
      <c r="G29" s="2503"/>
      <c r="H29" s="2503"/>
      <c r="I29" s="2503"/>
      <c r="J29" s="2503"/>
      <c r="K29" s="250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02" t="s">
        <v>2145</v>
      </c>
      <c r="C32" s="2502"/>
      <c r="D32" s="2503"/>
      <c r="E32" s="2503"/>
      <c r="F32" s="2503"/>
      <c r="G32" s="2503"/>
      <c r="H32" s="2503"/>
      <c r="I32" s="2503"/>
      <c r="J32" s="2503"/>
      <c r="K32" s="250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Morrison CUSD 6</v>
      </c>
      <c r="C1" s="2488"/>
      <c r="D1" s="2488"/>
      <c r="E1" s="2488"/>
      <c r="F1" s="2488"/>
      <c r="G1" s="2488"/>
      <c r="H1" s="2488"/>
      <c r="I1" s="2488"/>
      <c r="J1" s="2488"/>
      <c r="K1" s="2488"/>
      <c r="L1" s="1372"/>
      <c r="M1" s="1372"/>
    </row>
    <row r="2" spans="1:13" ht="12" customHeight="1" x14ac:dyDescent="0.2">
      <c r="B2" s="2490">
        <f>'Single Audit Cover'!E7</f>
        <v>47098006026</v>
      </c>
      <c r="C2" s="2490"/>
      <c r="D2" s="2490"/>
      <c r="E2" s="2490"/>
      <c r="F2" s="2490"/>
      <c r="G2" s="2490"/>
      <c r="H2" s="2490"/>
      <c r="I2" s="2490"/>
      <c r="J2" s="2490"/>
      <c r="K2" s="2490"/>
      <c r="L2" s="1373"/>
      <c r="M2" s="1374"/>
    </row>
    <row r="3" spans="1:13" ht="10.35" customHeight="1" x14ac:dyDescent="0.2">
      <c r="B3" s="2504" t="s">
        <v>1347</v>
      </c>
      <c r="C3" s="2504"/>
      <c r="D3" s="2504"/>
      <c r="E3" s="2504"/>
      <c r="F3" s="2504"/>
      <c r="G3" s="2504"/>
      <c r="H3" s="2504"/>
      <c r="I3" s="2504"/>
      <c r="J3" s="2504"/>
      <c r="K3" s="2504"/>
      <c r="L3" s="1954"/>
      <c r="M3" s="1954"/>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5" t="s">
        <v>1363</v>
      </c>
      <c r="C7" s="2505"/>
      <c r="D7" s="2506"/>
      <c r="E7" s="2506"/>
      <c r="F7" s="2506"/>
      <c r="G7" s="2506"/>
      <c r="H7" s="2506"/>
      <c r="I7" s="2506"/>
      <c r="J7" s="2506"/>
      <c r="K7" s="250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4</v>
      </c>
      <c r="E10" s="322"/>
      <c r="F10" s="1385" t="s">
        <v>1362</v>
      </c>
      <c r="G10" s="1386"/>
      <c r="H10" s="1387" t="s">
        <v>1361</v>
      </c>
      <c r="I10" s="1386" t="s">
        <v>2085</v>
      </c>
      <c r="J10" s="1388" t="s">
        <v>1360</v>
      </c>
      <c r="K10" s="322"/>
      <c r="L10" s="1379"/>
    </row>
    <row r="11" spans="1:13" ht="13.5" customHeight="1" x14ac:dyDescent="0.2">
      <c r="B11" s="322"/>
      <c r="C11" s="322"/>
      <c r="D11" s="322"/>
      <c r="E11" s="322"/>
      <c r="F11" s="322"/>
      <c r="G11" s="1381"/>
      <c r="H11" s="322"/>
      <c r="I11" s="1389" t="s">
        <v>1359</v>
      </c>
      <c r="J11" s="322"/>
      <c r="K11" s="1390">
        <v>2017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3" t="s">
        <v>2103</v>
      </c>
      <c r="C14" s="2503"/>
      <c r="D14" s="2503"/>
      <c r="E14" s="2503"/>
      <c r="F14" s="2503"/>
      <c r="G14" s="2503"/>
      <c r="H14" s="2503"/>
      <c r="I14" s="2503"/>
      <c r="J14" s="2503"/>
      <c r="K14" s="250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3" t="s">
        <v>2104</v>
      </c>
      <c r="C17" s="2503"/>
      <c r="D17" s="2503"/>
      <c r="E17" s="2503"/>
      <c r="F17" s="2503"/>
      <c r="G17" s="2503"/>
      <c r="H17" s="2503"/>
      <c r="I17" s="2503"/>
      <c r="J17" s="2503"/>
      <c r="K17" s="250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7" t="s">
        <v>2105</v>
      </c>
      <c r="C20" s="2507"/>
      <c r="D20" s="2503"/>
      <c r="E20" s="2503"/>
      <c r="F20" s="2503"/>
      <c r="G20" s="2503"/>
      <c r="H20" s="2503"/>
      <c r="I20" s="2503"/>
      <c r="J20" s="2503"/>
      <c r="K20" s="250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3" t="s">
        <v>2106</v>
      </c>
      <c r="C23" s="2503"/>
      <c r="D23" s="2503"/>
      <c r="E23" s="2503"/>
      <c r="F23" s="2503"/>
      <c r="G23" s="2503"/>
      <c r="H23" s="2503"/>
      <c r="I23" s="2503"/>
      <c r="J23" s="2503"/>
      <c r="K23" s="250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3" t="s">
        <v>2107</v>
      </c>
      <c r="C26" s="2503"/>
      <c r="D26" s="2503"/>
      <c r="E26" s="2503"/>
      <c r="F26" s="2503"/>
      <c r="G26" s="2503"/>
      <c r="H26" s="2503"/>
      <c r="I26" s="2503"/>
      <c r="J26" s="2503"/>
      <c r="K26" s="250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2" t="s">
        <v>2108</v>
      </c>
      <c r="C29" s="2502"/>
      <c r="D29" s="2503"/>
      <c r="E29" s="2503"/>
      <c r="F29" s="2503"/>
      <c r="G29" s="2503"/>
      <c r="H29" s="2503"/>
      <c r="I29" s="2503"/>
      <c r="J29" s="2503"/>
      <c r="K29" s="250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02" t="s">
        <v>2109</v>
      </c>
      <c r="C32" s="2502"/>
      <c r="D32" s="2503"/>
      <c r="E32" s="2503"/>
      <c r="F32" s="2503"/>
      <c r="G32" s="2503"/>
      <c r="H32" s="2503"/>
      <c r="I32" s="2503"/>
      <c r="J32" s="2503"/>
      <c r="K32" s="250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showGridLines="0" zoomScale="110" zoomScaleNormal="110" zoomScaleSheetLayoutView="9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2"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Morrison CUSD 6</v>
      </c>
      <c r="C1" s="2488"/>
      <c r="D1" s="2488"/>
      <c r="E1" s="2488"/>
      <c r="F1" s="2488"/>
      <c r="G1" s="2488"/>
      <c r="H1" s="2488"/>
      <c r="I1" s="2488"/>
      <c r="J1" s="2488"/>
      <c r="K1" s="2488"/>
      <c r="L1" s="1372"/>
      <c r="M1" s="1372"/>
    </row>
    <row r="2" spans="1:13" ht="12" customHeight="1" x14ac:dyDescent="0.2">
      <c r="B2" s="2490">
        <f>'Single Audit Cover'!E7</f>
        <v>47098006026</v>
      </c>
      <c r="C2" s="2490"/>
      <c r="D2" s="2490"/>
      <c r="E2" s="2490"/>
      <c r="F2" s="2490"/>
      <c r="G2" s="2490"/>
      <c r="H2" s="2490"/>
      <c r="I2" s="2490"/>
      <c r="J2" s="2490"/>
      <c r="K2" s="2490"/>
      <c r="L2" s="1373"/>
      <c r="M2" s="1374"/>
    </row>
    <row r="3" spans="1:13" ht="10.35" customHeight="1" x14ac:dyDescent="0.2">
      <c r="B3" s="2504" t="s">
        <v>1347</v>
      </c>
      <c r="C3" s="2504"/>
      <c r="D3" s="2504"/>
      <c r="E3" s="2504"/>
      <c r="F3" s="2504"/>
      <c r="G3" s="2504"/>
      <c r="H3" s="2504"/>
      <c r="I3" s="2504"/>
      <c r="J3" s="2504"/>
      <c r="K3" s="2504"/>
      <c r="L3" s="1954"/>
      <c r="M3" s="1954"/>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5" t="s">
        <v>1363</v>
      </c>
      <c r="C7" s="2505"/>
      <c r="D7" s="2506"/>
      <c r="E7" s="2506"/>
      <c r="F7" s="2506"/>
      <c r="G7" s="2506"/>
      <c r="H7" s="2506"/>
      <c r="I7" s="2506"/>
      <c r="J7" s="2506"/>
      <c r="K7" s="250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5</v>
      </c>
      <c r="E10" s="322"/>
      <c r="F10" s="1385" t="s">
        <v>1362</v>
      </c>
      <c r="G10" s="1386"/>
      <c r="H10" s="1387" t="s">
        <v>1361</v>
      </c>
      <c r="I10" s="1386" t="s">
        <v>2085</v>
      </c>
      <c r="J10" s="1388" t="s">
        <v>1360</v>
      </c>
      <c r="K10" s="322"/>
      <c r="L10" s="1379"/>
    </row>
    <row r="11" spans="1:13" ht="13.5" customHeight="1" x14ac:dyDescent="0.2">
      <c r="B11" s="322"/>
      <c r="C11" s="322"/>
      <c r="D11" s="322"/>
      <c r="E11" s="322"/>
      <c r="F11" s="322"/>
      <c r="G11" s="1381"/>
      <c r="H11" s="322"/>
      <c r="I11" s="1389" t="s">
        <v>1359</v>
      </c>
      <c r="J11" s="322"/>
      <c r="K11" s="1390">
        <v>2017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3" t="s">
        <v>2189</v>
      </c>
      <c r="C14" s="2503"/>
      <c r="D14" s="2503"/>
      <c r="E14" s="2503"/>
      <c r="F14" s="2503"/>
      <c r="G14" s="2503"/>
      <c r="H14" s="2503"/>
      <c r="I14" s="2503"/>
      <c r="J14" s="2503"/>
      <c r="K14" s="250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s="1280" customFormat="1" ht="13.5" customHeight="1" x14ac:dyDescent="0.2">
      <c r="B17" s="1956" t="s">
        <v>2111</v>
      </c>
      <c r="C17" s="1956"/>
      <c r="D17" s="1957"/>
      <c r="E17" s="1957"/>
      <c r="F17" s="1957"/>
      <c r="G17" s="1958"/>
      <c r="H17" s="1957"/>
      <c r="I17" s="1958"/>
      <c r="J17" s="1957"/>
      <c r="K17" s="1957"/>
      <c r="L17" s="1394"/>
    </row>
    <row r="18" spans="2:12" s="1280" customFormat="1" ht="13.5" customHeight="1" x14ac:dyDescent="0.2">
      <c r="B18" s="1956"/>
      <c r="C18" s="1956"/>
      <c r="D18" s="1957"/>
      <c r="E18" s="1957"/>
      <c r="F18" s="1965" t="s">
        <v>2112</v>
      </c>
      <c r="G18" s="1965"/>
      <c r="H18" s="1965" t="s">
        <v>30</v>
      </c>
      <c r="I18" s="1958"/>
      <c r="J18" s="1957"/>
      <c r="K18" s="1957"/>
      <c r="L18" s="1394"/>
    </row>
    <row r="19" spans="2:12" s="1280" customFormat="1" ht="13.5" customHeight="1" x14ac:dyDescent="0.2">
      <c r="B19" s="1956" t="s">
        <v>2113</v>
      </c>
      <c r="C19" s="1956"/>
      <c r="D19" s="1957"/>
      <c r="E19" s="1957"/>
      <c r="F19" s="1961">
        <v>8119615</v>
      </c>
      <c r="G19" s="1958"/>
      <c r="H19" s="1962">
        <v>7512488</v>
      </c>
      <c r="I19" s="1958"/>
      <c r="J19" s="1957"/>
      <c r="K19" s="1957"/>
      <c r="L19" s="1394"/>
    </row>
    <row r="20" spans="2:12" s="1280" customFormat="1" ht="13.5" customHeight="1" x14ac:dyDescent="0.2">
      <c r="B20" s="1956" t="s">
        <v>458</v>
      </c>
      <c r="C20" s="1956"/>
      <c r="D20" s="1957"/>
      <c r="E20" s="1957"/>
      <c r="F20" s="1963">
        <v>1386815</v>
      </c>
      <c r="G20" s="1958"/>
      <c r="H20" s="1959">
        <v>1185500</v>
      </c>
      <c r="I20" s="1958"/>
      <c r="J20" s="1957"/>
      <c r="K20" s="1957"/>
      <c r="L20" s="1394"/>
    </row>
    <row r="21" spans="2:12" s="1280" customFormat="1" ht="13.5" customHeight="1" x14ac:dyDescent="0.2">
      <c r="B21" s="1956" t="s">
        <v>157</v>
      </c>
      <c r="C21" s="1956"/>
      <c r="D21" s="1957"/>
      <c r="E21" s="1957"/>
      <c r="F21" s="1963">
        <v>418794</v>
      </c>
      <c r="G21" s="1958"/>
      <c r="H21" s="1959">
        <v>383500</v>
      </c>
      <c r="I21" s="1958"/>
      <c r="J21" s="1957"/>
      <c r="K21" s="1957"/>
      <c r="L21" s="1394"/>
    </row>
    <row r="22" spans="2:12" s="1280" customFormat="1" ht="13.5" customHeight="1" x14ac:dyDescent="0.2">
      <c r="B22" s="1956" t="s">
        <v>2114</v>
      </c>
      <c r="C22" s="1956"/>
      <c r="D22" s="1957"/>
      <c r="E22" s="1957"/>
      <c r="F22" s="1963">
        <v>197772</v>
      </c>
      <c r="G22" s="1958"/>
      <c r="H22" s="1959">
        <v>185900</v>
      </c>
      <c r="I22" s="1958"/>
      <c r="J22" s="1957"/>
      <c r="K22" s="1957"/>
      <c r="L22" s="1394"/>
    </row>
    <row r="23" spans="2:12" s="1280" customFormat="1" ht="13.5" customHeight="1" x14ac:dyDescent="0.2">
      <c r="B23" s="1956" t="s">
        <v>457</v>
      </c>
      <c r="C23" s="1956"/>
      <c r="D23" s="1957"/>
      <c r="E23" s="1957"/>
      <c r="F23" s="1963">
        <v>27796</v>
      </c>
      <c r="G23" s="1958"/>
      <c r="H23" s="1959">
        <v>0</v>
      </c>
      <c r="I23" s="1958"/>
      <c r="J23" s="1957"/>
      <c r="K23" s="1957"/>
      <c r="L23" s="1394"/>
    </row>
    <row r="24" spans="2:12" s="1280" customFormat="1" ht="13.5" customHeight="1" x14ac:dyDescent="0.2">
      <c r="B24" s="1956" t="s">
        <v>2115</v>
      </c>
      <c r="C24" s="1956"/>
      <c r="D24" s="1957"/>
      <c r="E24" s="1957"/>
      <c r="F24" s="1963">
        <v>2070000</v>
      </c>
      <c r="G24" s="1958"/>
      <c r="H24" s="1959">
        <v>0</v>
      </c>
      <c r="I24" s="1958"/>
      <c r="J24" s="1957"/>
      <c r="K24" s="1957"/>
      <c r="L24" s="1394"/>
    </row>
    <row r="25" spans="2:12" x14ac:dyDescent="0.2">
      <c r="B25" s="1955" t="s">
        <v>2116</v>
      </c>
      <c r="C25" s="1955"/>
      <c r="D25" s="1955"/>
      <c r="E25" s="1955"/>
      <c r="F25" s="1964">
        <v>2462343</v>
      </c>
      <c r="G25" s="1955"/>
      <c r="H25" s="1960">
        <v>0</v>
      </c>
      <c r="I25" s="1955"/>
      <c r="J25" s="1955"/>
      <c r="K25" s="1955"/>
      <c r="L25" s="1379"/>
    </row>
    <row r="26" spans="2:12" x14ac:dyDescent="0.2">
      <c r="B26" s="1955"/>
      <c r="C26" s="1955"/>
      <c r="D26" s="1955"/>
      <c r="E26" s="1955"/>
      <c r="F26" s="1955"/>
      <c r="G26" s="1955"/>
      <c r="H26" s="1955"/>
      <c r="I26" s="1955"/>
      <c r="J26" s="1955"/>
      <c r="K26" s="1955"/>
      <c r="L26" s="1379"/>
    </row>
    <row r="27" spans="2:12" ht="4.5" customHeight="1" x14ac:dyDescent="0.2">
      <c r="B27" s="1396"/>
      <c r="C27" s="1396"/>
      <c r="L27" s="1379"/>
    </row>
    <row r="28" spans="2:12" s="1280" customFormat="1" ht="13.5" customHeight="1" x14ac:dyDescent="0.2">
      <c r="B28" s="1391" t="s">
        <v>1846</v>
      </c>
      <c r="C28" s="1391"/>
      <c r="D28" s="1392"/>
      <c r="E28" s="1392"/>
      <c r="F28" s="1392"/>
      <c r="G28" s="1393"/>
      <c r="H28" s="1392"/>
      <c r="I28" s="1393"/>
      <c r="J28" s="1392"/>
      <c r="K28" s="1392"/>
      <c r="L28" s="1394"/>
    </row>
    <row r="29" spans="2:12" ht="45.75" customHeight="1" x14ac:dyDescent="0.2">
      <c r="B29" s="2507" t="s">
        <v>2185</v>
      </c>
      <c r="C29" s="2507"/>
      <c r="D29" s="2503"/>
      <c r="E29" s="2503"/>
      <c r="F29" s="2503"/>
      <c r="G29" s="2503"/>
      <c r="H29" s="2503"/>
      <c r="I29" s="2503"/>
      <c r="J29" s="2503"/>
      <c r="K29" s="2503"/>
      <c r="L29" s="1379"/>
    </row>
    <row r="30" spans="2:12" ht="4.5" customHeight="1" x14ac:dyDescent="0.2">
      <c r="B30" s="1398"/>
      <c r="C30" s="1398"/>
      <c r="L30" s="1379"/>
    </row>
    <row r="31" spans="2:12" ht="13.5" customHeight="1" x14ac:dyDescent="0.2">
      <c r="B31" s="1391" t="s">
        <v>1356</v>
      </c>
      <c r="C31" s="1391"/>
      <c r="D31" s="1377"/>
      <c r="E31" s="1377"/>
      <c r="F31" s="1377"/>
      <c r="G31" s="1378"/>
      <c r="H31" s="1377"/>
      <c r="I31" s="1378"/>
      <c r="J31" s="1377"/>
      <c r="K31" s="1377"/>
      <c r="L31" s="1379"/>
    </row>
    <row r="32" spans="2:12" ht="45" customHeight="1" x14ac:dyDescent="0.2">
      <c r="B32" s="2503" t="s">
        <v>2186</v>
      </c>
      <c r="C32" s="2503"/>
      <c r="D32" s="2503"/>
      <c r="E32" s="2503"/>
      <c r="F32" s="2503"/>
      <c r="G32" s="2503"/>
      <c r="H32" s="2503"/>
      <c r="I32" s="2503"/>
      <c r="J32" s="2503"/>
      <c r="K32" s="2503"/>
      <c r="L32" s="1379"/>
    </row>
    <row r="33" spans="1:13" ht="4.5" customHeight="1" x14ac:dyDescent="0.2">
      <c r="B33" s="1396"/>
      <c r="C33" s="1396"/>
      <c r="L33" s="1379"/>
    </row>
    <row r="34" spans="1:13" ht="13.5" customHeight="1" x14ac:dyDescent="0.2">
      <c r="B34" s="1391" t="s">
        <v>1355</v>
      </c>
      <c r="C34" s="1391"/>
      <c r="D34" s="1377"/>
      <c r="E34" s="1377"/>
      <c r="F34" s="1377"/>
      <c r="G34" s="1378"/>
      <c r="H34" s="1377"/>
      <c r="I34" s="1378"/>
      <c r="J34" s="1377"/>
      <c r="K34" s="1377"/>
      <c r="L34" s="1379"/>
    </row>
    <row r="35" spans="1:13" ht="45.75" customHeight="1" x14ac:dyDescent="0.2">
      <c r="B35" s="2503" t="s">
        <v>2110</v>
      </c>
      <c r="C35" s="2503"/>
      <c r="D35" s="2503"/>
      <c r="E35" s="2503"/>
      <c r="F35" s="2503"/>
      <c r="G35" s="2503"/>
      <c r="H35" s="2503"/>
      <c r="I35" s="2503"/>
      <c r="J35" s="2503"/>
      <c r="K35" s="2503"/>
      <c r="L35" s="1379"/>
    </row>
    <row r="36" spans="1:13" ht="4.5" customHeight="1" x14ac:dyDescent="0.2">
      <c r="B36" s="1396"/>
      <c r="C36" s="1396"/>
      <c r="L36" s="1379"/>
    </row>
    <row r="37" spans="1:13" ht="13.5" customHeight="1" x14ac:dyDescent="0.2">
      <c r="B37" s="1399" t="s">
        <v>1354</v>
      </c>
      <c r="C37" s="1399"/>
      <c r="D37" s="1377"/>
      <c r="E37" s="1377"/>
      <c r="F37" s="1377"/>
      <c r="G37" s="1378"/>
      <c r="H37" s="1377"/>
      <c r="I37" s="1378"/>
      <c r="J37" s="1377"/>
      <c r="K37" s="1377"/>
      <c r="L37" s="1379"/>
    </row>
    <row r="38" spans="1:13" ht="45.75" customHeight="1" x14ac:dyDescent="0.2">
      <c r="B38" s="2502" t="s">
        <v>2187</v>
      </c>
      <c r="C38" s="2502"/>
      <c r="D38" s="2503"/>
      <c r="E38" s="2503"/>
      <c r="F38" s="2503"/>
      <c r="G38" s="2503"/>
      <c r="H38" s="2503"/>
      <c r="I38" s="2503"/>
      <c r="J38" s="2503"/>
      <c r="K38" s="2503"/>
      <c r="L38" s="1379"/>
    </row>
    <row r="39" spans="1:13" ht="4.5" customHeight="1" x14ac:dyDescent="0.2">
      <c r="B39" s="1400"/>
      <c r="C39" s="1400"/>
      <c r="D39" s="322"/>
      <c r="E39" s="322"/>
      <c r="F39" s="322"/>
      <c r="G39" s="1381"/>
      <c r="H39" s="322"/>
      <c r="I39" s="1381"/>
      <c r="J39" s="322"/>
      <c r="K39" s="322"/>
      <c r="L39" s="1379"/>
    </row>
    <row r="40" spans="1:13" s="322" customFormat="1" ht="13.5" customHeight="1" x14ac:dyDescent="0.2">
      <c r="B40" s="1401" t="s">
        <v>1847</v>
      </c>
      <c r="C40" s="1401"/>
      <c r="D40" s="1376"/>
      <c r="E40" s="1377"/>
      <c r="F40" s="1377"/>
      <c r="G40" s="1378"/>
      <c r="H40" s="1377"/>
      <c r="I40" s="1378"/>
      <c r="J40" s="1377"/>
      <c r="K40" s="1377"/>
      <c r="L40" s="1379"/>
    </row>
    <row r="41" spans="1:13" s="322" customFormat="1" ht="44.25" customHeight="1" x14ac:dyDescent="0.2">
      <c r="B41" s="2502" t="s">
        <v>2188</v>
      </c>
      <c r="C41" s="2502"/>
      <c r="D41" s="2503"/>
      <c r="E41" s="2503"/>
      <c r="F41" s="2503"/>
      <c r="G41" s="2503"/>
      <c r="H41" s="2503"/>
      <c r="I41" s="2503"/>
      <c r="J41" s="2503"/>
      <c r="K41" s="2503"/>
      <c r="L41" s="1379"/>
    </row>
    <row r="42" spans="1:13" s="322" customFormat="1" ht="4.5" customHeight="1" x14ac:dyDescent="0.2">
      <c r="B42" s="1400"/>
      <c r="C42" s="1400"/>
      <c r="G42" s="1381"/>
      <c r="I42" s="1381"/>
      <c r="L42" s="1379"/>
    </row>
    <row r="43" spans="1:13" s="322" customFormat="1" x14ac:dyDescent="0.2">
      <c r="A43" s="1295"/>
      <c r="B43" s="1415"/>
      <c r="C43" s="1415"/>
      <c r="D43" s="1415"/>
      <c r="E43" s="1415"/>
      <c r="F43" s="1415"/>
      <c r="G43" s="1416"/>
      <c r="H43" s="1415"/>
      <c r="I43" s="1416"/>
      <c r="J43" s="1415"/>
      <c r="K43" s="1415"/>
      <c r="L43" s="1379"/>
    </row>
    <row r="44" spans="1:13" ht="11.85" customHeight="1" x14ac:dyDescent="0.2">
      <c r="B44" s="1417" t="s">
        <v>1848</v>
      </c>
      <c r="C44" s="1417"/>
      <c r="D44" s="322"/>
      <c r="E44" s="322"/>
      <c r="F44" s="322"/>
      <c r="L44" s="1379"/>
    </row>
    <row r="45" spans="1:13" ht="9.6" customHeight="1" x14ac:dyDescent="0.2">
      <c r="B45" s="1298" t="s">
        <v>1953</v>
      </c>
      <c r="C45" s="1298"/>
      <c r="L45" s="1379"/>
    </row>
    <row r="46" spans="1:13" ht="9.6" customHeight="1" x14ac:dyDescent="0.2">
      <c r="B46" s="1298" t="s">
        <v>1954</v>
      </c>
      <c r="C46" s="1298"/>
    </row>
    <row r="47" spans="1:13" ht="11.85" customHeight="1" x14ac:dyDescent="0.2">
      <c r="B47" s="1418" t="s">
        <v>1849</v>
      </c>
      <c r="C47" s="1418"/>
    </row>
    <row r="48" spans="1:13" ht="9.6" customHeight="1" x14ac:dyDescent="0.2">
      <c r="B48" s="1298" t="s">
        <v>1348</v>
      </c>
      <c r="C48" s="1298"/>
      <c r="M48" s="1419"/>
    </row>
    <row r="49" spans="2:13" ht="12.6" customHeight="1" x14ac:dyDescent="0.2">
      <c r="B49" s="1418" t="s">
        <v>1850</v>
      </c>
      <c r="C49" s="1418"/>
      <c r="M49" s="1419"/>
    </row>
    <row r="50" spans="2:13" ht="9.6" customHeight="1" x14ac:dyDescent="0.2">
      <c r="B50" s="1298"/>
      <c r="C50" s="1298"/>
      <c r="M50" s="1419"/>
    </row>
  </sheetData>
  <mergeCells count="11">
    <mergeCell ref="B14:K14"/>
    <mergeCell ref="B1:K1"/>
    <mergeCell ref="B2:K2"/>
    <mergeCell ref="B3:K3"/>
    <mergeCell ref="B4:K4"/>
    <mergeCell ref="B7:K7"/>
    <mergeCell ref="B29:K29"/>
    <mergeCell ref="B32:K32"/>
    <mergeCell ref="B35:K35"/>
    <mergeCell ref="B38:K38"/>
    <mergeCell ref="B41:K41"/>
  </mergeCells>
  <pageMargins left="0.32" right="0.27" top="0.68" bottom="0.47" header="0.26" footer="0.31"/>
  <pageSetup scale="96"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Morrison CUSD 6</v>
      </c>
      <c r="C1" s="2488"/>
      <c r="D1" s="2488"/>
      <c r="E1" s="2488"/>
      <c r="F1" s="2488"/>
      <c r="G1" s="2488"/>
      <c r="H1" s="2488"/>
      <c r="I1" s="2488"/>
      <c r="J1" s="2488"/>
      <c r="K1" s="2488"/>
      <c r="L1" s="1372"/>
      <c r="M1" s="1372"/>
    </row>
    <row r="2" spans="1:13" ht="12" customHeight="1" x14ac:dyDescent="0.2">
      <c r="B2" s="2490">
        <f>'Single Audit Cover'!E7</f>
        <v>47098006026</v>
      </c>
      <c r="C2" s="2490"/>
      <c r="D2" s="2490"/>
      <c r="E2" s="2490"/>
      <c r="F2" s="2490"/>
      <c r="G2" s="2490"/>
      <c r="H2" s="2490"/>
      <c r="I2" s="2490"/>
      <c r="J2" s="2490"/>
      <c r="K2" s="2490"/>
      <c r="L2" s="1373"/>
      <c r="M2" s="1374"/>
    </row>
    <row r="3" spans="1:13" ht="10.35" customHeight="1" x14ac:dyDescent="0.2">
      <c r="B3" s="2504" t="s">
        <v>1347</v>
      </c>
      <c r="C3" s="2504"/>
      <c r="D3" s="2504"/>
      <c r="E3" s="2504"/>
      <c r="F3" s="2504"/>
      <c r="G3" s="2504"/>
      <c r="H3" s="2504"/>
      <c r="I3" s="2504"/>
      <c r="J3" s="2504"/>
      <c r="K3" s="2504"/>
      <c r="L3" s="1954"/>
      <c r="M3" s="1954"/>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5" t="s">
        <v>1363</v>
      </c>
      <c r="C7" s="2505"/>
      <c r="D7" s="2506"/>
      <c r="E7" s="2506"/>
      <c r="F7" s="2506"/>
      <c r="G7" s="2506"/>
      <c r="H7" s="2506"/>
      <c r="I7" s="2506"/>
      <c r="J7" s="2506"/>
      <c r="K7" s="250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6</v>
      </c>
      <c r="E10" s="322"/>
      <c r="F10" s="1385" t="s">
        <v>1362</v>
      </c>
      <c r="G10" s="1386"/>
      <c r="H10" s="1387" t="s">
        <v>1361</v>
      </c>
      <c r="I10" s="1386" t="s">
        <v>2085</v>
      </c>
      <c r="J10" s="1388" t="s">
        <v>1360</v>
      </c>
      <c r="K10" s="322"/>
      <c r="L10" s="1379"/>
    </row>
    <row r="11" spans="1:13" ht="13.5" customHeight="1" x14ac:dyDescent="0.2">
      <c r="B11" s="322"/>
      <c r="C11" s="322"/>
      <c r="D11" s="322"/>
      <c r="E11" s="322"/>
      <c r="F11" s="322"/>
      <c r="G11" s="1381"/>
      <c r="H11" s="322"/>
      <c r="I11" s="1389" t="s">
        <v>1359</v>
      </c>
      <c r="J11" s="322"/>
      <c r="K11" s="1390">
        <v>2017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4.75" customHeight="1" x14ac:dyDescent="0.2">
      <c r="B14" s="2503" t="s">
        <v>2117</v>
      </c>
      <c r="C14" s="2503"/>
      <c r="D14" s="2503"/>
      <c r="E14" s="2503"/>
      <c r="F14" s="2503"/>
      <c r="G14" s="2503"/>
      <c r="H14" s="2503"/>
      <c r="I14" s="2503"/>
      <c r="J14" s="2503"/>
      <c r="K14" s="250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3" t="s">
        <v>2193</v>
      </c>
      <c r="C17" s="2503"/>
      <c r="D17" s="2503"/>
      <c r="E17" s="2503"/>
      <c r="F17" s="2503"/>
      <c r="G17" s="2503"/>
      <c r="H17" s="2503"/>
      <c r="I17" s="2503"/>
      <c r="J17" s="2503"/>
      <c r="K17" s="250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7" t="s">
        <v>2191</v>
      </c>
      <c r="C20" s="2507"/>
      <c r="D20" s="2503"/>
      <c r="E20" s="2503"/>
      <c r="F20" s="2503"/>
      <c r="G20" s="2503"/>
      <c r="H20" s="2503"/>
      <c r="I20" s="2503"/>
      <c r="J20" s="2503"/>
      <c r="K20" s="250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3" t="s">
        <v>2192</v>
      </c>
      <c r="C23" s="2503"/>
      <c r="D23" s="2503"/>
      <c r="E23" s="2503"/>
      <c r="F23" s="2503"/>
      <c r="G23" s="2503"/>
      <c r="H23" s="2503"/>
      <c r="I23" s="2503"/>
      <c r="J23" s="2503"/>
      <c r="K23" s="250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3" t="s">
        <v>2194</v>
      </c>
      <c r="C26" s="2503"/>
      <c r="D26" s="2503"/>
      <c r="E26" s="2503"/>
      <c r="F26" s="2503"/>
      <c r="G26" s="2503"/>
      <c r="H26" s="2503"/>
      <c r="I26" s="2503"/>
      <c r="J26" s="2503"/>
      <c r="K26" s="250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2" t="s">
        <v>2190</v>
      </c>
      <c r="C29" s="2502"/>
      <c r="D29" s="2503"/>
      <c r="E29" s="2503"/>
      <c r="F29" s="2503"/>
      <c r="G29" s="2503"/>
      <c r="H29" s="2503"/>
      <c r="I29" s="2503"/>
      <c r="J29" s="2503"/>
      <c r="K29" s="250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02" t="s">
        <v>2118</v>
      </c>
      <c r="C32" s="2502"/>
      <c r="D32" s="2503"/>
      <c r="E32" s="2503"/>
      <c r="F32" s="2503"/>
      <c r="G32" s="2503"/>
      <c r="H32" s="2503"/>
      <c r="I32" s="2503"/>
      <c r="J32" s="2503"/>
      <c r="K32" s="250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Morrison CUSD 6</v>
      </c>
      <c r="C1" s="2511"/>
      <c r="D1" s="2511"/>
      <c r="E1" s="2511"/>
      <c r="F1" s="2511"/>
      <c r="G1" s="2511"/>
      <c r="H1" s="2511"/>
      <c r="I1" s="2511"/>
      <c r="J1" s="2511"/>
      <c r="K1" s="2511"/>
      <c r="L1" s="1463"/>
    </row>
    <row r="2" spans="1:12" ht="12.75" customHeight="1" x14ac:dyDescent="0.2">
      <c r="B2" s="2512">
        <f>'Single Audit Cover'!E7</f>
        <v>47098006026</v>
      </c>
      <c r="C2" s="2512"/>
      <c r="D2" s="2512"/>
      <c r="E2" s="2512"/>
      <c r="F2" s="2512"/>
      <c r="G2" s="2512"/>
      <c r="H2" s="2512"/>
      <c r="I2" s="2512"/>
      <c r="J2" s="2512"/>
      <c r="K2" s="2512"/>
      <c r="L2" s="1464"/>
    </row>
    <row r="3" spans="1:12" ht="12.75" customHeight="1" x14ac:dyDescent="0.2">
      <c r="B3" s="2504" t="s">
        <v>1347</v>
      </c>
      <c r="C3" s="2504"/>
      <c r="D3" s="2504"/>
      <c r="E3" s="2504"/>
      <c r="F3" s="2504"/>
      <c r="G3" s="2504"/>
      <c r="H3" s="2504"/>
      <c r="I3" s="2504"/>
      <c r="J3" s="2504"/>
      <c r="K3" s="2504"/>
      <c r="L3" s="1375"/>
    </row>
    <row r="4" spans="1:12" ht="12.75" customHeight="1" x14ac:dyDescent="0.2">
      <c r="B4" s="2504" t="str">
        <f>'Single Audit Cover'!A4</f>
        <v>Year Ending June 30, 2018</v>
      </c>
      <c r="C4" s="2504"/>
      <c r="D4" s="2504"/>
      <c r="E4" s="2504"/>
      <c r="F4" s="2504"/>
      <c r="G4" s="2504"/>
      <c r="H4" s="2504"/>
      <c r="I4" s="2504"/>
      <c r="J4" s="2504"/>
      <c r="K4" s="2504"/>
      <c r="L4" s="1375"/>
    </row>
    <row r="5" spans="1:12" ht="5.25" customHeight="1" x14ac:dyDescent="0.2">
      <c r="B5" s="1258" t="s">
        <v>1231</v>
      </c>
      <c r="C5" s="1258"/>
      <c r="L5" s="322"/>
    </row>
    <row r="6" spans="1:12" ht="30.75" customHeight="1" x14ac:dyDescent="0.2">
      <c r="A6" s="322"/>
      <c r="B6" s="2513" t="s">
        <v>1375</v>
      </c>
      <c r="C6" s="2513"/>
      <c r="D6" s="2513"/>
      <c r="E6" s="2513"/>
      <c r="F6" s="2513"/>
      <c r="G6" s="2513"/>
      <c r="H6" s="2513"/>
      <c r="I6" s="2513"/>
      <c r="J6" s="2513"/>
      <c r="K6" s="2513"/>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95"/>
      <c r="G12" s="2495"/>
      <c r="H12" s="2495"/>
      <c r="I12" s="2495"/>
      <c r="J12" s="2495"/>
      <c r="K12" s="249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8"/>
      <c r="E14" s="2508"/>
      <c r="F14" s="2508"/>
      <c r="H14" s="1473" t="s">
        <v>1370</v>
      </c>
      <c r="I14" s="2509"/>
      <c r="J14" s="2509"/>
      <c r="K14" s="250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9"/>
      <c r="E16" s="2509"/>
      <c r="F16" s="2509"/>
      <c r="G16" s="2509"/>
      <c r="H16" s="2509"/>
      <c r="I16" s="2509"/>
      <c r="J16" s="2509"/>
      <c r="K16" s="2509"/>
      <c r="L16" s="322"/>
    </row>
    <row r="17" spans="2:12" ht="13.5" customHeight="1" x14ac:dyDescent="0.2">
      <c r="B17" s="1385" t="s">
        <v>1368</v>
      </c>
      <c r="C17" s="1385"/>
      <c r="D17" s="2510"/>
      <c r="E17" s="2510"/>
      <c r="F17" s="2510"/>
      <c r="G17" s="2510"/>
      <c r="H17" s="2510"/>
      <c r="I17" s="2510"/>
      <c r="J17" s="2510"/>
      <c r="K17" s="251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03"/>
      <c r="C20" s="2503"/>
      <c r="D20" s="2503"/>
      <c r="E20" s="2503"/>
      <c r="F20" s="2503"/>
      <c r="G20" s="2503"/>
      <c r="H20" s="2503"/>
      <c r="I20" s="2503"/>
      <c r="J20" s="2503"/>
      <c r="K20" s="250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03"/>
      <c r="C23" s="2503"/>
      <c r="D23" s="2503"/>
      <c r="E23" s="2503"/>
      <c r="F23" s="2503"/>
      <c r="G23" s="2503"/>
      <c r="H23" s="2503"/>
      <c r="I23" s="2503"/>
      <c r="J23" s="2503"/>
      <c r="K23" s="2503"/>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03"/>
      <c r="C26" s="2503"/>
      <c r="D26" s="2503"/>
      <c r="E26" s="2503"/>
      <c r="F26" s="2503"/>
      <c r="G26" s="2503"/>
      <c r="H26" s="2503"/>
      <c r="I26" s="2503"/>
      <c r="J26" s="2503"/>
      <c r="K26" s="2503"/>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03"/>
      <c r="C29" s="2503"/>
      <c r="D29" s="2503"/>
      <c r="E29" s="2503"/>
      <c r="F29" s="2503"/>
      <c r="G29" s="2503"/>
      <c r="H29" s="2503"/>
      <c r="I29" s="2503"/>
      <c r="J29" s="2503"/>
      <c r="K29" s="2503"/>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03"/>
      <c r="C32" s="2503"/>
      <c r="D32" s="2503"/>
      <c r="E32" s="2503"/>
      <c r="F32" s="2503"/>
      <c r="G32" s="2503"/>
      <c r="H32" s="2503"/>
      <c r="I32" s="2503"/>
      <c r="J32" s="2503"/>
      <c r="K32" s="2503"/>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3"/>
      <c r="C35" s="2503"/>
      <c r="D35" s="2503"/>
      <c r="E35" s="2503"/>
      <c r="F35" s="2503"/>
      <c r="G35" s="2503"/>
      <c r="H35" s="2503"/>
      <c r="I35" s="2503"/>
      <c r="J35" s="2503"/>
      <c r="K35" s="2503"/>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3"/>
      <c r="C38" s="2503"/>
      <c r="D38" s="2503"/>
      <c r="E38" s="2503"/>
      <c r="F38" s="2503"/>
      <c r="G38" s="2503"/>
      <c r="H38" s="2503"/>
      <c r="I38" s="2503"/>
      <c r="J38" s="2503"/>
      <c r="K38" s="2503"/>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03"/>
      <c r="C41" s="2503"/>
      <c r="D41" s="2503"/>
      <c r="E41" s="2503"/>
      <c r="F41" s="2503"/>
      <c r="G41" s="2503"/>
      <c r="H41" s="2503"/>
      <c r="I41" s="2503"/>
      <c r="J41" s="2503"/>
      <c r="K41" s="2503"/>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4.28515625" style="317" bestFit="1"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88" t="str">
        <f>'Single Audit Cover'!A7</f>
        <v>Morrison CUSD 6</v>
      </c>
      <c r="C1" s="2488"/>
      <c r="D1" s="2488"/>
      <c r="E1" s="1489"/>
    </row>
    <row r="2" spans="2:5" s="1280" customFormat="1" ht="12.75" customHeight="1" x14ac:dyDescent="0.2">
      <c r="B2" s="2490">
        <f>'Single Audit Cover'!E7</f>
        <v>47098006026</v>
      </c>
      <c r="C2" s="2490"/>
      <c r="D2" s="2490"/>
      <c r="E2" s="1490"/>
    </row>
    <row r="3" spans="2:5" ht="12.75" customHeight="1" x14ac:dyDescent="0.2">
      <c r="B3" s="2504" t="s">
        <v>1869</v>
      </c>
      <c r="C3" s="2504"/>
      <c r="D3" s="2504"/>
      <c r="E3" s="1272"/>
    </row>
    <row r="4" spans="2:5" s="1280" customFormat="1" ht="12.75" customHeight="1" x14ac:dyDescent="0.2">
      <c r="B4" s="2514" t="str">
        <f>'Single Audit Cover'!A4</f>
        <v>Year Ending June 30, 2018</v>
      </c>
      <c r="C4" s="2514"/>
      <c r="D4" s="2514"/>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t="s">
        <v>2119</v>
      </c>
      <c r="C7" s="324" t="s">
        <v>2120</v>
      </c>
      <c r="D7" s="324" t="s">
        <v>2121</v>
      </c>
      <c r="E7" s="324"/>
    </row>
    <row r="8" spans="2:5" ht="13.5" customHeight="1" x14ac:dyDescent="0.2">
      <c r="B8" s="1494" t="s">
        <v>2122</v>
      </c>
      <c r="C8" s="324" t="s">
        <v>2123</v>
      </c>
      <c r="D8" s="324" t="s">
        <v>2146</v>
      </c>
      <c r="E8" s="324"/>
    </row>
    <row r="9" spans="2:5" ht="13.5" customHeight="1" x14ac:dyDescent="0.2">
      <c r="B9" s="1495" t="s">
        <v>2124</v>
      </c>
      <c r="C9" s="323" t="s">
        <v>2125</v>
      </c>
      <c r="D9" s="323" t="s">
        <v>2195</v>
      </c>
      <c r="E9" s="323"/>
    </row>
    <row r="10" spans="2:5" ht="13.5" customHeight="1" x14ac:dyDescent="0.2">
      <c r="B10" s="1494" t="s">
        <v>2126</v>
      </c>
      <c r="C10" s="323" t="s">
        <v>2127</v>
      </c>
      <c r="D10" s="323" t="s">
        <v>2128</v>
      </c>
      <c r="E10" s="323"/>
    </row>
    <row r="11" spans="2:5" ht="13.5" customHeight="1" x14ac:dyDescent="0.2">
      <c r="B11" s="1494" t="s">
        <v>2130</v>
      </c>
      <c r="C11" s="323" t="s">
        <v>2131</v>
      </c>
      <c r="D11" s="323" t="s">
        <v>2132</v>
      </c>
      <c r="E11" s="323"/>
    </row>
    <row r="12" spans="2:5" ht="13.5" customHeight="1" x14ac:dyDescent="0.2">
      <c r="B12" s="1494" t="s">
        <v>2129</v>
      </c>
      <c r="C12" s="323" t="s">
        <v>2133</v>
      </c>
      <c r="D12" s="323" t="s">
        <v>2134</v>
      </c>
      <c r="E12" s="323"/>
    </row>
    <row r="13" spans="2:5" ht="13.5" customHeight="1" x14ac:dyDescent="0.2">
      <c r="B13" s="1494" t="s">
        <v>2135</v>
      </c>
      <c r="C13" s="323" t="s">
        <v>2136</v>
      </c>
      <c r="D13" s="323" t="s">
        <v>2132</v>
      </c>
      <c r="E13" s="323"/>
    </row>
    <row r="14" spans="2:5" ht="13.5" customHeight="1" x14ac:dyDescent="0.2">
      <c r="B14" s="1494" t="s">
        <v>2137</v>
      </c>
      <c r="C14" s="323" t="s">
        <v>2138</v>
      </c>
      <c r="D14" s="323" t="s">
        <v>2132</v>
      </c>
      <c r="E14" s="323"/>
    </row>
    <row r="15" spans="2:5" ht="13.5" customHeight="1" x14ac:dyDescent="0.2">
      <c r="B15" s="1494" t="s">
        <v>2139</v>
      </c>
      <c r="C15" s="323" t="s">
        <v>2140</v>
      </c>
      <c r="D15" s="323" t="s">
        <v>2141</v>
      </c>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2" t="s">
        <v>404</v>
      </c>
      <c r="B1" s="2112"/>
      <c r="C1" s="2112"/>
      <c r="D1" s="2112"/>
      <c r="E1" s="2112"/>
      <c r="F1" s="2112"/>
      <c r="G1" s="2112"/>
      <c r="H1" s="2112"/>
      <c r="I1" s="2112"/>
      <c r="J1" s="2112"/>
      <c r="K1" s="2112"/>
      <c r="L1" s="2112"/>
      <c r="M1" s="211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120653195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2.64E-2</v>
      </c>
      <c r="E10" s="356" t="s">
        <v>1062</v>
      </c>
      <c r="F10" s="355">
        <v>5.0000000000000001E-3</v>
      </c>
      <c r="G10" s="356" t="s">
        <v>1062</v>
      </c>
      <c r="H10" s="355">
        <v>2E-3</v>
      </c>
      <c r="I10" s="356" t="s">
        <v>1063</v>
      </c>
      <c r="J10" s="1752">
        <f>ROUND(D10+F10+H10,5)</f>
        <v>3.3399999999999999E-2</v>
      </c>
      <c r="K10" s="222"/>
      <c r="L10" s="355">
        <v>5.0000000000000001E-4</v>
      </c>
      <c r="M10" s="222"/>
    </row>
    <row r="11" spans="1:14" ht="7.5" customHeight="1" x14ac:dyDescent="0.2">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9065928</v>
      </c>
      <c r="E16" s="356"/>
      <c r="F16" s="1753">
        <f>SUM('Acct Summary 7-8'!C17,'Acct Summary 7-8'!D17,'Acct Summary 7-8'!F17)</f>
        <v>9305612</v>
      </c>
      <c r="G16" s="356"/>
      <c r="H16" s="1753">
        <f>SUM(D16-F16)</f>
        <v>-239684</v>
      </c>
      <c r="I16" s="222"/>
      <c r="J16" s="1753">
        <f>SUM('Acct Summary 7-8'!C81,'Acct Summary 7-8'!D81,'Acct Summary 7-8'!F81,'Acct Summary 7-8'!I81)</f>
        <v>6588920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16650140.910000002</v>
      </c>
      <c r="I31" s="368"/>
      <c r="J31" s="222"/>
      <c r="K31" s="222"/>
      <c r="L31" s="222"/>
      <c r="M31" s="222"/>
    </row>
    <row r="32" spans="1:13" ht="13.35" customHeight="1" x14ac:dyDescent="0.2">
      <c r="B32" s="369" t="s">
        <v>2076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9870000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3"/>
      <c r="C54" s="2114"/>
      <c r="D54" s="2114"/>
      <c r="E54" s="2114"/>
      <c r="F54" s="2114"/>
      <c r="G54" s="2114"/>
      <c r="H54" s="2114"/>
      <c r="I54" s="2114"/>
      <c r="J54" s="2114"/>
      <c r="K54" s="2114"/>
      <c r="L54" s="2115"/>
      <c r="M54" s="380"/>
    </row>
    <row r="55" spans="1:13" ht="12.75" customHeight="1" x14ac:dyDescent="0.2">
      <c r="B55" s="2116"/>
      <c r="C55" s="2117"/>
      <c r="D55" s="2117"/>
      <c r="E55" s="2117"/>
      <c r="F55" s="2117"/>
      <c r="G55" s="2117"/>
      <c r="H55" s="2117"/>
      <c r="I55" s="2117"/>
      <c r="J55" s="2117"/>
      <c r="K55" s="2117"/>
      <c r="L55" s="2118"/>
      <c r="M55" s="380"/>
    </row>
    <row r="56" spans="1:13" ht="12.75" customHeight="1" x14ac:dyDescent="0.2">
      <c r="B56" s="2116"/>
      <c r="C56" s="2117"/>
      <c r="D56" s="2117"/>
      <c r="E56" s="2117"/>
      <c r="F56" s="2117"/>
      <c r="G56" s="2117"/>
      <c r="H56" s="2117"/>
      <c r="I56" s="2117"/>
      <c r="J56" s="2117"/>
      <c r="K56" s="2117"/>
      <c r="L56" s="2118"/>
      <c r="M56" s="222"/>
    </row>
    <row r="57" spans="1:13" ht="12.75" customHeight="1" x14ac:dyDescent="0.2">
      <c r="B57" s="2116"/>
      <c r="C57" s="2117"/>
      <c r="D57" s="2117"/>
      <c r="E57" s="2117"/>
      <c r="F57" s="2117"/>
      <c r="G57" s="2117"/>
      <c r="H57" s="2117"/>
      <c r="I57" s="2117"/>
      <c r="J57" s="2117"/>
      <c r="K57" s="2117"/>
      <c r="L57" s="2118"/>
      <c r="M57" s="222"/>
    </row>
    <row r="58" spans="1:13" x14ac:dyDescent="0.2">
      <c r="B58" s="2119"/>
      <c r="C58" s="2120"/>
      <c r="D58" s="2120"/>
      <c r="E58" s="2120"/>
      <c r="F58" s="2120"/>
      <c r="G58" s="2120"/>
      <c r="H58" s="2120"/>
      <c r="I58" s="2120"/>
      <c r="J58" s="2120"/>
      <c r="K58" s="2120"/>
      <c r="L58" s="212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4"/>
      <c r="D61" s="212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7"/>
      <c r="B1" s="2128"/>
      <c r="C1" s="2128"/>
      <c r="D1" s="384"/>
      <c r="E1" s="384"/>
      <c r="F1" s="384"/>
      <c r="G1" s="384"/>
      <c r="H1" s="384"/>
      <c r="I1" s="384"/>
      <c r="J1" s="384"/>
      <c r="K1" s="384"/>
      <c r="L1" s="384"/>
      <c r="M1" s="384"/>
      <c r="N1" s="384"/>
      <c r="O1" s="2127"/>
      <c r="P1" s="2128"/>
      <c r="Q1" s="2128"/>
    </row>
    <row r="2" spans="1:18" ht="15" x14ac:dyDescent="0.2">
      <c r="A2" s="2131" t="s">
        <v>577</v>
      </c>
      <c r="B2" s="2131"/>
      <c r="C2" s="2131"/>
      <c r="D2" s="2131"/>
      <c r="E2" s="2131"/>
      <c r="F2" s="2131"/>
      <c r="G2" s="2131"/>
      <c r="H2" s="2131"/>
      <c r="I2" s="2131"/>
      <c r="J2" s="2131"/>
      <c r="K2" s="2131"/>
      <c r="L2" s="2131"/>
      <c r="M2" s="2131"/>
      <c r="N2" s="2131"/>
      <c r="O2" s="2131"/>
      <c r="P2" s="2131"/>
      <c r="Q2" s="2131"/>
      <c r="R2" s="2131"/>
    </row>
    <row r="3" spans="1:18" ht="12.75" x14ac:dyDescent="0.2">
      <c r="A3" s="2132" t="s">
        <v>1480</v>
      </c>
      <c r="B3" s="2132"/>
      <c r="C3" s="2132"/>
      <c r="D3" s="2132"/>
      <c r="E3" s="2132"/>
      <c r="F3" s="2132"/>
      <c r="G3" s="2132"/>
      <c r="H3" s="2132"/>
      <c r="I3" s="2132"/>
      <c r="J3" s="2132"/>
      <c r="K3" s="2132"/>
      <c r="L3" s="2132"/>
      <c r="M3" s="2132"/>
      <c r="N3" s="2132"/>
      <c r="O3" s="2132"/>
      <c r="P3" s="2132"/>
      <c r="Q3" s="2132"/>
      <c r="R3" s="2132"/>
    </row>
    <row r="4" spans="1:18" x14ac:dyDescent="0.2">
      <c r="A4" s="2133" t="s">
        <v>1635</v>
      </c>
      <c r="B4" s="2133"/>
      <c r="C4" s="2133"/>
      <c r="D4" s="2133"/>
      <c r="E4" s="2133"/>
      <c r="F4" s="2133"/>
      <c r="G4" s="2133"/>
      <c r="H4" s="2133"/>
      <c r="I4" s="2133"/>
      <c r="J4" s="2133"/>
      <c r="K4" s="2133"/>
      <c r="L4" s="2133"/>
      <c r="M4" s="2133"/>
      <c r="N4" s="2133"/>
      <c r="O4" s="2133"/>
      <c r="P4" s="2133"/>
      <c r="Q4" s="2133"/>
      <c r="R4" s="213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Morrison CUSD 6</v>
      </c>
      <c r="E7" s="391"/>
      <c r="G7" s="252"/>
      <c r="H7" s="387"/>
      <c r="I7" s="387"/>
      <c r="J7" s="387"/>
      <c r="K7" s="387"/>
      <c r="L7" s="329"/>
      <c r="M7" s="329"/>
      <c r="N7" s="329"/>
      <c r="O7" s="329"/>
      <c r="P7" s="329"/>
    </row>
    <row r="8" spans="1:18" ht="12.75" x14ac:dyDescent="0.2">
      <c r="A8" s="329"/>
      <c r="B8" s="329"/>
      <c r="C8" s="389" t="s">
        <v>1187</v>
      </c>
      <c r="D8" s="392">
        <f>COVER!A13</f>
        <v>47098006026</v>
      </c>
      <c r="E8" s="393"/>
      <c r="G8" s="329"/>
      <c r="H8" s="329"/>
      <c r="I8" s="329"/>
      <c r="J8" s="329"/>
      <c r="K8" s="329"/>
      <c r="L8" s="329"/>
      <c r="M8" s="329"/>
      <c r="N8" s="329"/>
      <c r="O8" s="329"/>
      <c r="P8" s="329"/>
    </row>
    <row r="9" spans="1:18" ht="12.75" x14ac:dyDescent="0.2">
      <c r="A9" s="329"/>
      <c r="B9" s="329"/>
      <c r="C9" s="389" t="s">
        <v>737</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6588920</v>
      </c>
      <c r="I12" s="404"/>
      <c r="J12" s="404"/>
      <c r="K12" s="405">
        <f>TRUNC((H12/H13*100000),5)/100000</f>
        <v>0.72677832870000003</v>
      </c>
      <c r="L12" s="406"/>
      <c r="M12" s="360" t="s">
        <v>1206</v>
      </c>
      <c r="N12" s="360"/>
      <c r="O12" s="407">
        <v>0.35</v>
      </c>
      <c r="P12" s="218"/>
      <c r="Q12" s="218"/>
    </row>
    <row r="13" spans="1:18" s="408" customFormat="1" ht="12.75" x14ac:dyDescent="0.2">
      <c r="A13" s="218"/>
      <c r="B13" s="401"/>
      <c r="C13" s="2129" t="s">
        <v>1391</v>
      </c>
      <c r="D13" s="2130"/>
      <c r="E13" s="218"/>
      <c r="F13" s="409" t="s">
        <v>826</v>
      </c>
      <c r="G13" s="402"/>
      <c r="H13" s="403">
        <f>SUM('Acct Summary 7-8'!C8+'Acct Summary 7-8'!D8+'Acct Summary 7-8'!F8+'Acct Summary 7-8'!I8)+H14</f>
        <v>9065928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9305612</v>
      </c>
      <c r="I17" s="404"/>
      <c r="J17" s="416"/>
      <c r="K17" s="405">
        <f>TRUNC((H17/H18*100000),5)/100000</f>
        <v>1.0264378892000001</v>
      </c>
      <c r="L17" s="406"/>
      <c r="M17" s="417" t="s">
        <v>1233</v>
      </c>
      <c r="O17" s="418" t="str">
        <f>IF(AND(O16="2", J20 &gt; 2),"1",IF(AND(O16 = "1", J20 &gt; 2),"2",IF(AND(O16="1", J20 &gt;1),"1","0")))</f>
        <v>0</v>
      </c>
      <c r="P17" s="218"/>
    </row>
    <row r="18" spans="1:18" s="408" customFormat="1" ht="11.25" x14ac:dyDescent="0.2">
      <c r="A18" s="218"/>
      <c r="B18" s="401"/>
      <c r="C18" s="2129" t="s">
        <v>1384</v>
      </c>
      <c r="D18" s="2130"/>
      <c r="E18" s="218"/>
      <c r="F18" s="419" t="s">
        <v>827</v>
      </c>
      <c r="G18" s="402"/>
      <c r="H18" s="403">
        <f>SUM('Acct Summary 7-8'!C8+'Acct Summary 7-8'!D8+'Acct Summary 7-8'!F8+'Acct Summary 7-8'!I8)+H19</f>
        <v>9065928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23.707578300000002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6" t="s">
        <v>1479</v>
      </c>
      <c r="D24" s="2126"/>
      <c r="E24" s="218"/>
      <c r="F24" s="218" t="s">
        <v>465</v>
      </c>
      <c r="G24" s="402"/>
      <c r="H24" s="403">
        <f>SUM('Assets-Liab 5-6'!C4+'Assets-Liab 5-6'!D4+'Assets-Liab 5-6'!F4+'Assets-Liab 5-6'!I4+'Assets-Liab 5-6'!C5+'Assets-Liab 5-6'!D5+'Assets-Liab 5-6'!F5+'Assets-Liab 5-6'!I5)</f>
        <v>6435046</v>
      </c>
      <c r="I24" s="422"/>
      <c r="J24" s="422"/>
      <c r="K24" s="423">
        <f>TRUNC(((H24/H25*100000)/100000),2)</f>
        <v>248.94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25848.92222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3425344.2060500002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9870000</v>
      </c>
      <c r="I32" s="420"/>
      <c r="J32" s="420"/>
      <c r="K32" s="423">
        <f>TRUNC(100-((((H32/H33*100))*100)/100),2)</f>
        <v>40.72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16650140.910000002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3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6" t="s">
        <v>1030</v>
      </c>
      <c r="B3" s="2137"/>
      <c r="C3" s="1579"/>
      <c r="D3" s="1580"/>
      <c r="E3" s="1580"/>
      <c r="F3" s="1580"/>
      <c r="G3" s="1580"/>
      <c r="H3" s="1580"/>
      <c r="I3" s="1580"/>
      <c r="J3" s="1580"/>
      <c r="K3" s="1580"/>
      <c r="L3" s="1580"/>
      <c r="M3" s="1581"/>
      <c r="N3" s="1582"/>
    </row>
    <row r="4" spans="1:14" ht="13.5" customHeight="1" x14ac:dyDescent="0.2">
      <c r="A4" s="463" t="s">
        <v>1750</v>
      </c>
      <c r="B4" s="464"/>
      <c r="C4" s="465">
        <v>4427126</v>
      </c>
      <c r="D4" s="465">
        <v>648139</v>
      </c>
      <c r="E4" s="466">
        <v>944745</v>
      </c>
      <c r="F4" s="466">
        <v>466637</v>
      </c>
      <c r="G4" s="466">
        <v>541171</v>
      </c>
      <c r="H4" s="466">
        <v>2275324</v>
      </c>
      <c r="I4" s="466">
        <v>893144</v>
      </c>
      <c r="J4" s="467">
        <v>249720</v>
      </c>
      <c r="K4" s="466">
        <v>4190804</v>
      </c>
      <c r="L4" s="466">
        <v>186563</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952</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152934</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4581012</v>
      </c>
      <c r="D13" s="1757">
        <f t="shared" ref="D13:L13" si="0">SUM(D4:D12)</f>
        <v>648139</v>
      </c>
      <c r="E13" s="1757">
        <f t="shared" si="0"/>
        <v>944745</v>
      </c>
      <c r="F13" s="1757">
        <f t="shared" si="0"/>
        <v>466637</v>
      </c>
      <c r="G13" s="1757">
        <f t="shared" si="0"/>
        <v>541171</v>
      </c>
      <c r="H13" s="1757">
        <f t="shared" si="0"/>
        <v>2275324</v>
      </c>
      <c r="I13" s="1757">
        <f t="shared" si="0"/>
        <v>893144</v>
      </c>
      <c r="J13" s="1757">
        <f t="shared" si="0"/>
        <v>249720</v>
      </c>
      <c r="K13" s="1757">
        <f t="shared" si="0"/>
        <v>4190804</v>
      </c>
      <c r="L13" s="1757">
        <f t="shared" si="0"/>
        <v>186563</v>
      </c>
      <c r="M13" s="468"/>
      <c r="N13" s="469"/>
    </row>
    <row r="14" spans="1:14" ht="18" customHeight="1" thickTop="1" x14ac:dyDescent="0.2">
      <c r="A14" s="2138" t="s">
        <v>149</v>
      </c>
      <c r="B14" s="2139"/>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241825</v>
      </c>
      <c r="N16" s="483"/>
    </row>
    <row r="17" spans="1:14" s="484" customFormat="1" ht="12.75" customHeight="1" x14ac:dyDescent="0.2">
      <c r="A17" s="481" t="s">
        <v>1470</v>
      </c>
      <c r="B17" s="482">
        <v>230</v>
      </c>
      <c r="C17" s="476"/>
      <c r="D17" s="476"/>
      <c r="E17" s="476"/>
      <c r="F17" s="476"/>
      <c r="G17" s="476"/>
      <c r="H17" s="476"/>
      <c r="I17" s="476"/>
      <c r="J17" s="476"/>
      <c r="K17" s="476"/>
      <c r="L17" s="476"/>
      <c r="M17" s="467">
        <v>16608414</v>
      </c>
      <c r="N17" s="483"/>
    </row>
    <row r="18" spans="1:14" s="484" customFormat="1" ht="12.75" customHeight="1" x14ac:dyDescent="0.2">
      <c r="A18" s="481" t="s">
        <v>1471</v>
      </c>
      <c r="B18" s="482">
        <v>240</v>
      </c>
      <c r="C18" s="476"/>
      <c r="D18" s="476"/>
      <c r="E18" s="476"/>
      <c r="F18" s="476"/>
      <c r="G18" s="476"/>
      <c r="H18" s="476"/>
      <c r="I18" s="476"/>
      <c r="J18" s="476"/>
      <c r="K18" s="476"/>
      <c r="L18" s="476"/>
      <c r="M18" s="467">
        <v>1752339</v>
      </c>
      <c r="N18" s="483"/>
    </row>
    <row r="19" spans="1:14" s="484" customFormat="1" ht="12.75" customHeight="1" x14ac:dyDescent="0.2">
      <c r="A19" s="481" t="s">
        <v>1472</v>
      </c>
      <c r="B19" s="482">
        <v>250</v>
      </c>
      <c r="C19" s="476"/>
      <c r="D19" s="476"/>
      <c r="E19" s="476"/>
      <c r="F19" s="476"/>
      <c r="G19" s="476"/>
      <c r="H19" s="476"/>
      <c r="I19" s="476"/>
      <c r="J19" s="476"/>
      <c r="K19" s="476"/>
      <c r="L19" s="476"/>
      <c r="M19" s="467">
        <v>2261798</v>
      </c>
      <c r="N19" s="483"/>
    </row>
    <row r="20" spans="1:14" s="484" customFormat="1" ht="12.75" customHeight="1" x14ac:dyDescent="0.2">
      <c r="A20" s="481" t="s">
        <v>1473</v>
      </c>
      <c r="B20" s="482">
        <v>260</v>
      </c>
      <c r="C20" s="476"/>
      <c r="D20" s="476"/>
      <c r="E20" s="476"/>
      <c r="F20" s="476"/>
      <c r="G20" s="476"/>
      <c r="H20" s="476"/>
      <c r="I20" s="476"/>
      <c r="J20" s="476"/>
      <c r="K20" s="476"/>
      <c r="L20" s="476"/>
      <c r="M20" s="467">
        <v>2774318</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944745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8925255</v>
      </c>
    </row>
    <row r="23" spans="1:14" ht="13.5" customHeight="1" thickBot="1" x14ac:dyDescent="0.25">
      <c r="A23" s="1756" t="s">
        <v>664</v>
      </c>
      <c r="B23" s="1761"/>
      <c r="C23" s="468"/>
      <c r="D23" s="468"/>
      <c r="E23" s="468"/>
      <c r="F23" s="468"/>
      <c r="G23" s="468"/>
      <c r="H23" s="468"/>
      <c r="I23" s="468"/>
      <c r="J23" s="468"/>
      <c r="K23" s="468"/>
      <c r="L23" s="468"/>
      <c r="M23" s="1708">
        <f>SUM(M15:M22)</f>
        <v>23638694</v>
      </c>
      <c r="N23" s="1708">
        <f>SUM(N21:N22)</f>
        <v>9870000</v>
      </c>
    </row>
    <row r="24" spans="1:14" ht="18" customHeight="1" thickTop="1" x14ac:dyDescent="0.2">
      <c r="A24" s="2140" t="s">
        <v>619</v>
      </c>
      <c r="B24" s="2141"/>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11</v>
      </c>
      <c r="D30" s="474">
        <v>0</v>
      </c>
      <c r="E30" s="467"/>
      <c r="F30" s="467">
        <v>1</v>
      </c>
      <c r="G30" s="467">
        <v>0</v>
      </c>
      <c r="H30" s="467">
        <v>0</v>
      </c>
      <c r="I30" s="467"/>
      <c r="J30" s="467">
        <v>2</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178046</v>
      </c>
      <c r="M33" s="468"/>
      <c r="N33" s="469"/>
    </row>
    <row r="34" spans="1:14" ht="13.5" customHeight="1" thickBot="1" x14ac:dyDescent="0.25">
      <c r="A34" s="1758" t="s">
        <v>675</v>
      </c>
      <c r="B34" s="1759"/>
      <c r="C34" s="1760">
        <f>SUM(C25:C33)</f>
        <v>11</v>
      </c>
      <c r="D34" s="1760">
        <f t="shared" ref="D34:K34" si="1">SUM(D25:D33)</f>
        <v>0</v>
      </c>
      <c r="E34" s="1760">
        <f t="shared" si="1"/>
        <v>0</v>
      </c>
      <c r="F34" s="1760">
        <f t="shared" si="1"/>
        <v>1</v>
      </c>
      <c r="G34" s="1760">
        <f t="shared" si="1"/>
        <v>0</v>
      </c>
      <c r="H34" s="1760">
        <f t="shared" si="1"/>
        <v>0</v>
      </c>
      <c r="I34" s="1760">
        <f t="shared" si="1"/>
        <v>0</v>
      </c>
      <c r="J34" s="1760">
        <f t="shared" si="1"/>
        <v>2</v>
      </c>
      <c r="K34" s="1760">
        <f t="shared" si="1"/>
        <v>0</v>
      </c>
      <c r="L34" s="1741">
        <f>SUM(L33)</f>
        <v>178046</v>
      </c>
      <c r="M34" s="468"/>
      <c r="N34" s="479"/>
    </row>
    <row r="35" spans="1:14" ht="18" customHeight="1" thickTop="1" x14ac:dyDescent="0.2">
      <c r="A35" s="2142" t="s">
        <v>550</v>
      </c>
      <c r="B35" s="2143"/>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9870000</v>
      </c>
    </row>
    <row r="37" spans="1:14" ht="13.5" thickBot="1" x14ac:dyDescent="0.25">
      <c r="A37" s="1756" t="s">
        <v>674</v>
      </c>
      <c r="B37" s="1761"/>
      <c r="C37" s="476"/>
      <c r="D37" s="476"/>
      <c r="E37" s="476"/>
      <c r="F37" s="476"/>
      <c r="G37" s="476"/>
      <c r="H37" s="476"/>
      <c r="I37" s="476"/>
      <c r="J37" s="476"/>
      <c r="K37" s="476"/>
      <c r="L37" s="479"/>
      <c r="M37" s="468"/>
      <c r="N37" s="1708">
        <f>SUM(N36:N36)</f>
        <v>9870000</v>
      </c>
    </row>
    <row r="38" spans="1:14" s="329" customFormat="1" ht="13.5" customHeight="1" thickTop="1" x14ac:dyDescent="0.2">
      <c r="A38" s="494" t="s">
        <v>440</v>
      </c>
      <c r="B38" s="482">
        <v>714</v>
      </c>
      <c r="C38" s="465">
        <v>114869</v>
      </c>
      <c r="D38" s="465">
        <v>0</v>
      </c>
      <c r="E38" s="465">
        <v>0</v>
      </c>
      <c r="F38" s="465">
        <v>0</v>
      </c>
      <c r="G38" s="465">
        <v>385067</v>
      </c>
      <c r="H38" s="465">
        <v>275324</v>
      </c>
      <c r="I38" s="465">
        <v>0</v>
      </c>
      <c r="J38" s="465">
        <v>0</v>
      </c>
      <c r="K38" s="465">
        <v>0</v>
      </c>
      <c r="L38" s="465">
        <v>8517</v>
      </c>
      <c r="M38" s="495"/>
      <c r="N38" s="495"/>
    </row>
    <row r="39" spans="1:14" s="329" customFormat="1" ht="13.5" customHeight="1" x14ac:dyDescent="0.2">
      <c r="A39" s="494" t="s">
        <v>360</v>
      </c>
      <c r="B39" s="482">
        <v>730</v>
      </c>
      <c r="C39" s="465">
        <v>4466132</v>
      </c>
      <c r="D39" s="465">
        <v>648139</v>
      </c>
      <c r="E39" s="465">
        <v>944745</v>
      </c>
      <c r="F39" s="465">
        <v>466636</v>
      </c>
      <c r="G39" s="465">
        <v>156104</v>
      </c>
      <c r="H39" s="465">
        <v>2000000</v>
      </c>
      <c r="I39" s="465">
        <v>893144</v>
      </c>
      <c r="J39" s="465">
        <v>249718</v>
      </c>
      <c r="K39" s="465">
        <v>4190804</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23638694</v>
      </c>
      <c r="N40" s="495"/>
    </row>
    <row r="41" spans="1:14" ht="13.5" customHeight="1" thickBot="1" x14ac:dyDescent="0.25">
      <c r="A41" s="1756" t="s">
        <v>676</v>
      </c>
      <c r="B41" s="1726"/>
      <c r="C41" s="1708">
        <f>(SUM(C34,C37,C38,C39))</f>
        <v>4581012</v>
      </c>
      <c r="D41" s="1708">
        <f t="shared" ref="D41:L41" si="2">SUM(D34,D37,D38:D39)</f>
        <v>648139</v>
      </c>
      <c r="E41" s="1708">
        <f t="shared" si="2"/>
        <v>944745</v>
      </c>
      <c r="F41" s="1708">
        <f t="shared" si="2"/>
        <v>466637</v>
      </c>
      <c r="G41" s="1708">
        <f t="shared" si="2"/>
        <v>541171</v>
      </c>
      <c r="H41" s="1708">
        <f t="shared" si="2"/>
        <v>2275324</v>
      </c>
      <c r="I41" s="1708">
        <f t="shared" si="2"/>
        <v>893144</v>
      </c>
      <c r="J41" s="1708">
        <f t="shared" si="2"/>
        <v>249720</v>
      </c>
      <c r="K41" s="1708">
        <f t="shared" si="2"/>
        <v>4190804</v>
      </c>
      <c r="L41" s="1708">
        <f t="shared" si="2"/>
        <v>186563</v>
      </c>
      <c r="M41" s="1708">
        <f>SUM(M40)</f>
        <v>23638694</v>
      </c>
      <c r="N41" s="1708">
        <f>SUM(N37)</f>
        <v>9870000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F27" sqref="F2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52"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5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64" t="s">
        <v>1237</v>
      </c>
      <c r="B3" s="2165"/>
      <c r="C3" s="1593"/>
      <c r="D3" s="1594"/>
      <c r="E3" s="1594"/>
      <c r="F3" s="1594"/>
      <c r="G3" s="1594"/>
      <c r="H3" s="1594"/>
      <c r="I3" s="1594"/>
      <c r="J3" s="1594"/>
      <c r="K3" s="1595"/>
      <c r="L3" s="504"/>
    </row>
    <row r="4" spans="1:13" ht="15.75" customHeight="1" x14ac:dyDescent="0.2">
      <c r="A4" s="1952" t="s">
        <v>1579</v>
      </c>
      <c r="B4" s="1953">
        <v>1000</v>
      </c>
      <c r="C4" s="1762">
        <f>'Revenues 9-14'!C109</f>
        <v>4081606</v>
      </c>
      <c r="D4" s="1762">
        <f>'Revenues 9-14'!D109</f>
        <v>654671</v>
      </c>
      <c r="E4" s="1762">
        <f>'Revenues 9-14'!E109</f>
        <v>1174516</v>
      </c>
      <c r="F4" s="1762">
        <f>'Revenues 9-14'!F109</f>
        <v>245053</v>
      </c>
      <c r="G4" s="1762">
        <f>'Revenues 9-14'!G109</f>
        <v>166932</v>
      </c>
      <c r="H4" s="1762">
        <f>'Revenues 9-14'!H109</f>
        <v>299132</v>
      </c>
      <c r="I4" s="1762">
        <f>'Revenues 9-14'!I109</f>
        <v>77860</v>
      </c>
      <c r="J4" s="1762">
        <f>'Revenues 9-14'!J109</f>
        <v>308224</v>
      </c>
      <c r="K4" s="1762">
        <f>'Revenues 9-14'!K109</f>
        <v>105112</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2905803</v>
      </c>
      <c r="D6" s="1763">
        <f>'Revenues 9-14'!D173</f>
        <v>534076</v>
      </c>
      <c r="E6" s="1763">
        <f>'Revenues 9-14'!E173</f>
        <v>0</v>
      </c>
      <c r="F6" s="1763">
        <f>'Revenues 9-14'!F173</f>
        <v>232138</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334721</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7322130</v>
      </c>
      <c r="D8" s="1708">
        <f t="shared" ref="D8:K8" si="0">SUM(D4:D7)</f>
        <v>1188747</v>
      </c>
      <c r="E8" s="1708">
        <f t="shared" si="0"/>
        <v>1174516</v>
      </c>
      <c r="F8" s="1708">
        <f t="shared" si="0"/>
        <v>477191</v>
      </c>
      <c r="G8" s="1708">
        <f t="shared" si="0"/>
        <v>166932</v>
      </c>
      <c r="H8" s="1708">
        <f t="shared" si="0"/>
        <v>299132</v>
      </c>
      <c r="I8" s="1708">
        <f t="shared" si="0"/>
        <v>77860</v>
      </c>
      <c r="J8" s="1708">
        <f t="shared" si="0"/>
        <v>308224</v>
      </c>
      <c r="K8" s="1708">
        <f t="shared" si="0"/>
        <v>105112</v>
      </c>
      <c r="L8" s="347"/>
    </row>
    <row r="9" spans="1:13" ht="15.75" thickTop="1" x14ac:dyDescent="0.2">
      <c r="A9" s="512" t="s">
        <v>1752</v>
      </c>
      <c r="B9" s="513">
        <v>3998</v>
      </c>
      <c r="C9" s="465">
        <v>3547740</v>
      </c>
      <c r="D9" s="514"/>
      <c r="E9" s="480"/>
      <c r="F9" s="480"/>
      <c r="G9" s="515"/>
      <c r="H9" s="480"/>
      <c r="I9" s="507" t="s">
        <v>1231</v>
      </c>
      <c r="J9" s="477"/>
      <c r="K9" s="480"/>
      <c r="L9" s="347"/>
    </row>
    <row r="10" spans="1:13" s="517" customFormat="1" ht="13.5" thickBot="1" x14ac:dyDescent="0.25">
      <c r="A10" s="1756" t="s">
        <v>1235</v>
      </c>
      <c r="B10" s="1729"/>
      <c r="C10" s="1708">
        <f>SUM(C8:C9)</f>
        <v>10869870</v>
      </c>
      <c r="D10" s="1708">
        <f t="shared" ref="D10:K10" si="1">SUM(D8:D9)</f>
        <v>1188747</v>
      </c>
      <c r="E10" s="1708">
        <f t="shared" si="1"/>
        <v>1174516</v>
      </c>
      <c r="F10" s="1708">
        <f t="shared" si="1"/>
        <v>477191</v>
      </c>
      <c r="G10" s="1708">
        <f t="shared" si="1"/>
        <v>166932</v>
      </c>
      <c r="H10" s="1708">
        <f t="shared" si="1"/>
        <v>299132</v>
      </c>
      <c r="I10" s="1708">
        <f t="shared" si="1"/>
        <v>77860</v>
      </c>
      <c r="J10" s="1708">
        <f t="shared" si="1"/>
        <v>308224</v>
      </c>
      <c r="K10" s="1708">
        <f t="shared" si="1"/>
        <v>105112</v>
      </c>
      <c r="L10" s="516"/>
    </row>
    <row r="11" spans="1:13" s="517" customFormat="1" ht="16.7" customHeight="1" thickTop="1" x14ac:dyDescent="0.2">
      <c r="A11" s="2138" t="s">
        <v>1238</v>
      </c>
      <c r="B11" s="2139"/>
      <c r="C11" s="1590"/>
      <c r="D11" s="1591"/>
      <c r="E11" s="1591"/>
      <c r="F11" s="1591"/>
      <c r="G11" s="1591"/>
      <c r="H11" s="1591"/>
      <c r="I11" s="1591"/>
      <c r="J11" s="1591"/>
      <c r="K11" s="1592"/>
      <c r="L11" s="516"/>
    </row>
    <row r="12" spans="1:13" ht="15.75" customHeight="1" x14ac:dyDescent="0.2">
      <c r="A12" s="1596" t="s">
        <v>476</v>
      </c>
      <c r="B12" s="1598">
        <v>1000</v>
      </c>
      <c r="C12" s="1762">
        <f>'Expenditures 15-22'!K33</f>
        <v>5499009</v>
      </c>
      <c r="D12" s="518" t="s">
        <v>1231</v>
      </c>
      <c r="E12" s="468" t="s">
        <v>1231</v>
      </c>
      <c r="F12" s="468" t="s">
        <v>1231</v>
      </c>
      <c r="G12" s="1762">
        <f>'Expenditures 15-22'!K229</f>
        <v>83461</v>
      </c>
      <c r="H12" s="519"/>
      <c r="I12" s="468" t="s">
        <v>1231</v>
      </c>
      <c r="J12" s="468" t="s">
        <v>1231</v>
      </c>
      <c r="K12" s="519" t="s">
        <v>1231</v>
      </c>
      <c r="L12" s="347"/>
    </row>
    <row r="13" spans="1:13" ht="15.75" customHeight="1" x14ac:dyDescent="0.2">
      <c r="A13" s="1596" t="s">
        <v>477</v>
      </c>
      <c r="B13" s="1598">
        <v>2000</v>
      </c>
      <c r="C13" s="1763">
        <f>'Expenditures 15-22'!K74</f>
        <v>2398924</v>
      </c>
      <c r="D13" s="1763">
        <f>'Expenditures 15-22'!K129</f>
        <v>754624</v>
      </c>
      <c r="E13" s="469" t="s">
        <v>1231</v>
      </c>
      <c r="F13" s="1763">
        <f>'Expenditures 15-22'!K184</f>
        <v>418794</v>
      </c>
      <c r="G13" s="1763">
        <f>'Expenditures 15-22'!K279</f>
        <v>114297</v>
      </c>
      <c r="H13" s="1763">
        <f>'Expenditures 15-22'!K303</f>
        <v>27796</v>
      </c>
      <c r="I13" s="468" t="s">
        <v>1231</v>
      </c>
      <c r="J13" s="1763">
        <f>'Expenditures 15-22'!K330</f>
        <v>240152</v>
      </c>
      <c r="K13" s="1767">
        <f>'Expenditures 15-22'!K352</f>
        <v>2462343</v>
      </c>
      <c r="L13" s="347"/>
    </row>
    <row r="14" spans="1:13" ht="15.75" customHeight="1" x14ac:dyDescent="0.2">
      <c r="A14" s="1596" t="s">
        <v>469</v>
      </c>
      <c r="B14" s="1598">
        <v>3000</v>
      </c>
      <c r="C14" s="1763">
        <f>'Expenditures 15-22'!K75</f>
        <v>1303</v>
      </c>
      <c r="D14" s="1763">
        <f>'Expenditures 15-22'!K130</f>
        <v>4571</v>
      </c>
      <c r="E14" s="518" t="s">
        <v>1231</v>
      </c>
      <c r="F14" s="1763">
        <f>'Expenditures 15-22'!K185</f>
        <v>0</v>
      </c>
      <c r="G14" s="1763">
        <f>'Expenditures 15-22'!K280</f>
        <v>14</v>
      </c>
      <c r="H14" s="510"/>
      <c r="I14" s="468" t="s">
        <v>1231</v>
      </c>
      <c r="J14" s="468" t="s">
        <v>1231</v>
      </c>
      <c r="K14" s="510" t="s">
        <v>1231</v>
      </c>
      <c r="L14" s="347"/>
    </row>
    <row r="15" spans="1:13" ht="15.75" customHeight="1" x14ac:dyDescent="0.2">
      <c r="A15" s="1596" t="s">
        <v>109</v>
      </c>
      <c r="B15" s="1598">
        <v>4000</v>
      </c>
      <c r="C15" s="1763">
        <f>'Expenditures 15-22'!K102</f>
        <v>220379</v>
      </c>
      <c r="D15" s="1763">
        <f>'Expenditures 15-22'!K139</f>
        <v>8008</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1386815</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8119615</v>
      </c>
      <c r="D17" s="1708">
        <f t="shared" si="2"/>
        <v>767203</v>
      </c>
      <c r="E17" s="1708">
        <f t="shared" si="2"/>
        <v>1386815</v>
      </c>
      <c r="F17" s="1708">
        <f t="shared" si="2"/>
        <v>418794</v>
      </c>
      <c r="G17" s="1708">
        <f t="shared" si="2"/>
        <v>197772</v>
      </c>
      <c r="H17" s="1708">
        <f t="shared" si="2"/>
        <v>27796</v>
      </c>
      <c r="I17" s="468"/>
      <c r="J17" s="1708">
        <f>SUM(J12:J16)</f>
        <v>240152</v>
      </c>
      <c r="K17" s="1708">
        <f>SUM(K12:K16)</f>
        <v>2462343</v>
      </c>
      <c r="L17" s="347"/>
    </row>
    <row r="18" spans="1:12" ht="15" customHeight="1" thickTop="1" x14ac:dyDescent="0.2">
      <c r="A18" s="1764" t="s">
        <v>1753</v>
      </c>
      <c r="B18" s="1765">
        <v>4180</v>
      </c>
      <c r="C18" s="1762">
        <f t="shared" ref="C18:H18" si="3">C9</f>
        <v>3547740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11667355</v>
      </c>
      <c r="D19" s="1708">
        <f t="shared" si="4"/>
        <v>767203</v>
      </c>
      <c r="E19" s="1708">
        <f t="shared" si="4"/>
        <v>1386815</v>
      </c>
      <c r="F19" s="1708">
        <f t="shared" si="4"/>
        <v>418794</v>
      </c>
      <c r="G19" s="1708">
        <f t="shared" si="4"/>
        <v>197772</v>
      </c>
      <c r="H19" s="1708">
        <f t="shared" si="4"/>
        <v>27796</v>
      </c>
      <c r="I19" s="468"/>
      <c r="J19" s="1708">
        <f>SUM(J17:J18)</f>
        <v>240152</v>
      </c>
      <c r="K19" s="1708">
        <f>SUM(K17:K18)</f>
        <v>2462343</v>
      </c>
      <c r="L19" s="347"/>
    </row>
    <row r="20" spans="1:12" ht="16.5" thickTop="1" thickBot="1" x14ac:dyDescent="0.25">
      <c r="A20" s="2154" t="s">
        <v>1754</v>
      </c>
      <c r="B20" s="2155"/>
      <c r="C20" s="1766">
        <f>C8-C17</f>
        <v>-797485</v>
      </c>
      <c r="D20" s="1766">
        <f t="shared" ref="D20:K20" si="5">D8-D17</f>
        <v>421544</v>
      </c>
      <c r="E20" s="1766">
        <f t="shared" si="5"/>
        <v>-212299</v>
      </c>
      <c r="F20" s="1766">
        <f t="shared" si="5"/>
        <v>58397</v>
      </c>
      <c r="G20" s="1766">
        <f t="shared" si="5"/>
        <v>-30840</v>
      </c>
      <c r="H20" s="1766">
        <f t="shared" si="5"/>
        <v>271336</v>
      </c>
      <c r="I20" s="1766">
        <f t="shared" si="5"/>
        <v>77860</v>
      </c>
      <c r="J20" s="1766">
        <f t="shared" si="5"/>
        <v>68072</v>
      </c>
      <c r="K20" s="1766">
        <f t="shared" si="5"/>
        <v>-2357231</v>
      </c>
      <c r="L20" s="347"/>
    </row>
    <row r="21" spans="1:12" ht="16.7" customHeight="1" thickTop="1" x14ac:dyDescent="0.2">
      <c r="A21" s="2166" t="s">
        <v>616</v>
      </c>
      <c r="B21" s="2167"/>
      <c r="C21" s="1590"/>
      <c r="D21" s="1591"/>
      <c r="E21" s="1591"/>
      <c r="F21" s="1591"/>
      <c r="G21" s="1591"/>
      <c r="H21" s="1591"/>
      <c r="I21" s="1591"/>
      <c r="J21" s="1591"/>
      <c r="K21" s="1592"/>
      <c r="L21" s="522"/>
    </row>
    <row r="22" spans="1:12" ht="15.75" customHeight="1" collapsed="1" x14ac:dyDescent="0.2">
      <c r="A22" s="2162" t="s">
        <v>617</v>
      </c>
      <c r="B22" s="2163"/>
      <c r="C22" s="476"/>
      <c r="D22" s="476"/>
      <c r="E22" s="476"/>
      <c r="F22" s="476"/>
      <c r="G22" s="476"/>
      <c r="H22" s="476"/>
      <c r="I22" s="476"/>
      <c r="J22" s="476"/>
      <c r="K22" s="476"/>
      <c r="L22" s="347"/>
    </row>
    <row r="23" spans="1:12" s="484" customFormat="1" ht="15.75" customHeight="1" x14ac:dyDescent="0.2">
      <c r="A23" s="2158" t="s">
        <v>311</v>
      </c>
      <c r="B23" s="2159"/>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70000</v>
      </c>
      <c r="D25" s="467">
        <v>0</v>
      </c>
      <c r="E25" s="467">
        <v>0</v>
      </c>
      <c r="F25" s="467">
        <v>0</v>
      </c>
      <c r="G25" s="467">
        <v>0</v>
      </c>
      <c r="H25" s="467">
        <v>2000000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60" t="s">
        <v>1038</v>
      </c>
      <c r="B32" s="2161"/>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2000000</v>
      </c>
      <c r="J33" s="467">
        <v>0</v>
      </c>
      <c r="K33" s="467">
        <v>5915000</v>
      </c>
      <c r="L33" s="522"/>
    </row>
    <row r="34" spans="1:12" s="484" customFormat="1" x14ac:dyDescent="0.2">
      <c r="A34" s="1509" t="s">
        <v>1058</v>
      </c>
      <c r="B34" s="523">
        <v>7220</v>
      </c>
      <c r="C34" s="465">
        <v>0</v>
      </c>
      <c r="D34" s="467">
        <v>0</v>
      </c>
      <c r="E34" s="467">
        <v>281422</v>
      </c>
      <c r="F34" s="467">
        <v>0</v>
      </c>
      <c r="G34" s="476"/>
      <c r="H34" s="477">
        <v>0</v>
      </c>
      <c r="I34" s="477">
        <v>88875</v>
      </c>
      <c r="J34" s="477">
        <v>0</v>
      </c>
      <c r="K34" s="477">
        <v>266020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68" t="s">
        <v>392</v>
      </c>
      <c r="B44" s="2169"/>
      <c r="C44" s="1723">
        <f>SUM(C24:C43)</f>
        <v>70000</v>
      </c>
      <c r="D44" s="1723">
        <f t="shared" ref="D44:K44" si="6">SUM(D24:D43)</f>
        <v>0</v>
      </c>
      <c r="E44" s="1723">
        <f t="shared" si="6"/>
        <v>281422</v>
      </c>
      <c r="F44" s="1723">
        <f t="shared" si="6"/>
        <v>0</v>
      </c>
      <c r="G44" s="1723">
        <f t="shared" si="6"/>
        <v>0</v>
      </c>
      <c r="H44" s="1723">
        <f t="shared" si="6"/>
        <v>2000000</v>
      </c>
      <c r="I44" s="1723">
        <f t="shared" si="6"/>
        <v>2088875</v>
      </c>
      <c r="J44" s="1723">
        <f t="shared" si="6"/>
        <v>0</v>
      </c>
      <c r="K44" s="1723">
        <f t="shared" si="6"/>
        <v>6181020</v>
      </c>
      <c r="L44" s="522"/>
    </row>
    <row r="45" spans="1:12" ht="15.75" customHeight="1" thickTop="1" x14ac:dyDescent="0.2">
      <c r="A45" s="2162" t="s">
        <v>110</v>
      </c>
      <c r="B45" s="2163"/>
      <c r="C45" s="526"/>
      <c r="D45" s="526"/>
      <c r="E45" s="526"/>
      <c r="F45" s="526"/>
      <c r="G45" s="526"/>
      <c r="H45" s="526"/>
      <c r="I45" s="526"/>
      <c r="J45" s="526"/>
      <c r="K45" s="526"/>
      <c r="L45" s="347"/>
    </row>
    <row r="46" spans="1:12" s="484" customFormat="1" ht="15.75" customHeight="1" x14ac:dyDescent="0.2">
      <c r="A46" s="2170" t="s">
        <v>111</v>
      </c>
      <c r="B46" s="2171"/>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2070000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44" t="s">
        <v>460</v>
      </c>
      <c r="B76" s="2145"/>
      <c r="C76" s="1723">
        <f t="shared" ref="C76:K76" si="7">SUM(C47:C75)</f>
        <v>0</v>
      </c>
      <c r="D76" s="1723">
        <f t="shared" si="7"/>
        <v>0</v>
      </c>
      <c r="E76" s="1723">
        <f t="shared" si="7"/>
        <v>0</v>
      </c>
      <c r="F76" s="1723">
        <f t="shared" si="7"/>
        <v>0</v>
      </c>
      <c r="G76" s="1723">
        <f t="shared" si="7"/>
        <v>0</v>
      </c>
      <c r="H76" s="1723">
        <f t="shared" si="7"/>
        <v>0</v>
      </c>
      <c r="I76" s="1723">
        <f t="shared" si="7"/>
        <v>2070000</v>
      </c>
      <c r="J76" s="1723">
        <f t="shared" si="7"/>
        <v>0</v>
      </c>
      <c r="K76" s="1723">
        <f t="shared" si="7"/>
        <v>0</v>
      </c>
      <c r="L76" s="522"/>
    </row>
    <row r="77" spans="1:12" ht="14.25" thickTop="1" thickBot="1" x14ac:dyDescent="0.25">
      <c r="A77" s="2146" t="s">
        <v>1239</v>
      </c>
      <c r="B77" s="2147"/>
      <c r="C77" s="1723">
        <f t="shared" ref="C77:K77" si="8">C44-C76</f>
        <v>70000</v>
      </c>
      <c r="D77" s="1723">
        <f t="shared" si="8"/>
        <v>0</v>
      </c>
      <c r="E77" s="1723">
        <f t="shared" si="8"/>
        <v>281422</v>
      </c>
      <c r="F77" s="1723">
        <f t="shared" si="8"/>
        <v>0</v>
      </c>
      <c r="G77" s="1723">
        <f t="shared" si="8"/>
        <v>0</v>
      </c>
      <c r="H77" s="1723">
        <f t="shared" si="8"/>
        <v>2000000</v>
      </c>
      <c r="I77" s="1723">
        <f t="shared" si="8"/>
        <v>18875</v>
      </c>
      <c r="J77" s="1723">
        <f t="shared" si="8"/>
        <v>0</v>
      </c>
      <c r="K77" s="1723">
        <f t="shared" si="8"/>
        <v>6181020</v>
      </c>
      <c r="L77" s="347"/>
    </row>
    <row r="78" spans="1:12" ht="21.75" customHeight="1" thickTop="1" thickBot="1" x14ac:dyDescent="0.25">
      <c r="A78" s="2150" t="s">
        <v>618</v>
      </c>
      <c r="B78" s="2151"/>
      <c r="C78" s="1722">
        <f t="shared" ref="C78:K78" si="9">C20+C77</f>
        <v>-727485</v>
      </c>
      <c r="D78" s="1722">
        <f t="shared" si="9"/>
        <v>421544</v>
      </c>
      <c r="E78" s="1722">
        <f t="shared" si="9"/>
        <v>69123</v>
      </c>
      <c r="F78" s="1722">
        <f t="shared" si="9"/>
        <v>58397</v>
      </c>
      <c r="G78" s="1722">
        <f t="shared" si="9"/>
        <v>-30840</v>
      </c>
      <c r="H78" s="1722">
        <f t="shared" si="9"/>
        <v>2271336</v>
      </c>
      <c r="I78" s="1722">
        <f t="shared" si="9"/>
        <v>96735</v>
      </c>
      <c r="J78" s="1722">
        <f t="shared" si="9"/>
        <v>68072</v>
      </c>
      <c r="K78" s="1722">
        <f t="shared" si="9"/>
        <v>3823789</v>
      </c>
      <c r="L78" s="531"/>
    </row>
    <row r="79" spans="1:12" ht="13.5" thickTop="1" x14ac:dyDescent="0.2">
      <c r="A79" s="1514" t="s">
        <v>2072</v>
      </c>
      <c r="B79" s="532"/>
      <c r="C79" s="467">
        <v>5308486</v>
      </c>
      <c r="D79" s="467">
        <v>226595</v>
      </c>
      <c r="E79" s="467">
        <v>875622</v>
      </c>
      <c r="F79" s="467">
        <v>408239</v>
      </c>
      <c r="G79" s="467">
        <v>572011</v>
      </c>
      <c r="H79" s="467">
        <v>3988</v>
      </c>
      <c r="I79" s="467">
        <v>796409</v>
      </c>
      <c r="J79" s="467">
        <v>181646</v>
      </c>
      <c r="K79" s="467">
        <v>367015</v>
      </c>
      <c r="L79" s="347"/>
    </row>
    <row r="80" spans="1:12" x14ac:dyDescent="0.2">
      <c r="A80" s="2156" t="s">
        <v>1897</v>
      </c>
      <c r="B80" s="2157"/>
      <c r="C80" s="467">
        <v>0</v>
      </c>
      <c r="D80" s="467">
        <v>0</v>
      </c>
      <c r="E80" s="467">
        <v>0</v>
      </c>
      <c r="F80" s="467">
        <v>0</v>
      </c>
      <c r="G80" s="467">
        <v>0</v>
      </c>
      <c r="H80" s="467">
        <v>0</v>
      </c>
      <c r="I80" s="467">
        <v>0</v>
      </c>
      <c r="J80" s="467">
        <v>0</v>
      </c>
      <c r="K80" s="467">
        <v>0</v>
      </c>
      <c r="L80" s="347"/>
    </row>
    <row r="81" spans="1:12" ht="13.5" thickBot="1" x14ac:dyDescent="0.25">
      <c r="A81" s="2148" t="s">
        <v>2073</v>
      </c>
      <c r="B81" s="2149"/>
      <c r="C81" s="1708">
        <f>(SUM(C78:C80))</f>
        <v>4581001</v>
      </c>
      <c r="D81" s="1708">
        <f>SUM(D78:D80)</f>
        <v>648139</v>
      </c>
      <c r="E81" s="1708">
        <f t="shared" ref="E81:K81" si="10">SUM(E78:E80)</f>
        <v>944745</v>
      </c>
      <c r="F81" s="1708">
        <f t="shared" si="10"/>
        <v>466636</v>
      </c>
      <c r="G81" s="1708">
        <f t="shared" si="10"/>
        <v>541171</v>
      </c>
      <c r="H81" s="1708">
        <f t="shared" si="10"/>
        <v>2275324</v>
      </c>
      <c r="I81" s="1708">
        <f t="shared" si="10"/>
        <v>893144</v>
      </c>
      <c r="J81" s="1708">
        <f t="shared" si="10"/>
        <v>249718</v>
      </c>
      <c r="K81" s="1708">
        <f t="shared" si="10"/>
        <v>4190804</v>
      </c>
      <c r="L81" s="347"/>
    </row>
    <row r="82" spans="1:12" ht="0.75" customHeight="1" thickTop="1" thickBot="1" x14ac:dyDescent="0.25">
      <c r="A82" s="534" t="s">
        <v>361</v>
      </c>
      <c r="B82" s="535"/>
      <c r="C82" s="536">
        <f>(C81-C79)</f>
        <v>-727485</v>
      </c>
      <c r="D82" s="536">
        <f t="shared" ref="D82:K82" si="11">(D81-D79)</f>
        <v>421544</v>
      </c>
      <c r="E82" s="536">
        <f t="shared" si="11"/>
        <v>69123</v>
      </c>
      <c r="F82" s="536">
        <f t="shared" si="11"/>
        <v>58397</v>
      </c>
      <c r="G82" s="536">
        <f t="shared" si="11"/>
        <v>-30840</v>
      </c>
      <c r="H82" s="536">
        <f t="shared" si="11"/>
        <v>2271336</v>
      </c>
      <c r="I82" s="536">
        <f t="shared" si="11"/>
        <v>96735</v>
      </c>
      <c r="J82" s="536">
        <f t="shared" si="11"/>
        <v>68072</v>
      </c>
      <c r="K82" s="536">
        <f t="shared" si="11"/>
        <v>3823789</v>
      </c>
    </row>
    <row r="83" spans="1:12" ht="14.25" hidden="1" thickTop="1" thickBot="1" x14ac:dyDescent="0.25">
      <c r="A83" s="537" t="s">
        <v>362</v>
      </c>
      <c r="B83" s="464"/>
      <c r="C83" s="538">
        <f>C82/C81</f>
        <v>-0.15880481143750022</v>
      </c>
      <c r="D83" s="538">
        <f t="shared" ref="D83:K83" si="12">D82/D81</f>
        <v>0.65039135123792891</v>
      </c>
      <c r="E83" s="538">
        <f t="shared" si="12"/>
        <v>7.316577489163742E-2</v>
      </c>
      <c r="F83" s="538">
        <f t="shared" si="12"/>
        <v>0.12514465236286956</v>
      </c>
      <c r="G83" s="538">
        <f t="shared" si="12"/>
        <v>-5.6987532591362064E-2</v>
      </c>
      <c r="H83" s="538">
        <f t="shared" si="12"/>
        <v>0.99824728258480988</v>
      </c>
      <c r="I83" s="538">
        <f t="shared" si="12"/>
        <v>0.10830840267638812</v>
      </c>
      <c r="J83" s="538">
        <f t="shared" si="12"/>
        <v>0.27259548771013703</v>
      </c>
      <c r="K83" s="538">
        <f t="shared" si="12"/>
        <v>0.91242372585308218</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F27" sqref="F2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52" t="s">
        <v>1904</v>
      </c>
      <c r="B1" s="452"/>
      <c r="C1" s="453" t="s">
        <v>445</v>
      </c>
      <c r="D1" s="453" t="s">
        <v>446</v>
      </c>
      <c r="E1" s="453" t="s">
        <v>447</v>
      </c>
      <c r="F1" s="453" t="s">
        <v>448</v>
      </c>
      <c r="G1" s="453" t="s">
        <v>449</v>
      </c>
      <c r="H1" s="453" t="s">
        <v>450</v>
      </c>
      <c r="I1" s="453" t="s">
        <v>451</v>
      </c>
      <c r="J1" s="453" t="s">
        <v>452</v>
      </c>
      <c r="K1" s="453" t="s">
        <v>780</v>
      </c>
    </row>
    <row r="2" spans="1:12" ht="36" x14ac:dyDescent="0.2">
      <c r="A2" s="215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3194278</v>
      </c>
      <c r="D5" s="480">
        <v>604978</v>
      </c>
      <c r="E5" s="480">
        <v>941063</v>
      </c>
      <c r="F5" s="546">
        <v>241991</v>
      </c>
      <c r="G5" s="466">
        <v>0</v>
      </c>
      <c r="H5" s="466">
        <v>0</v>
      </c>
      <c r="I5" s="466">
        <v>60498</v>
      </c>
      <c r="J5" s="466">
        <v>307038</v>
      </c>
      <c r="K5" s="466">
        <v>60498</v>
      </c>
    </row>
    <row r="6" spans="1:12" ht="15" x14ac:dyDescent="0.2">
      <c r="A6" s="463" t="s">
        <v>1761</v>
      </c>
      <c r="B6" s="470">
        <v>1130</v>
      </c>
      <c r="C6" s="466">
        <v>60498</v>
      </c>
      <c r="D6" s="466">
        <v>0</v>
      </c>
      <c r="E6" s="475"/>
      <c r="F6" s="475"/>
      <c r="G6" s="468"/>
      <c r="H6" s="468"/>
      <c r="I6" s="468"/>
      <c r="J6" s="468"/>
      <c r="K6" s="468"/>
    </row>
    <row r="7" spans="1:12" x14ac:dyDescent="0.2">
      <c r="A7" s="463" t="s">
        <v>112</v>
      </c>
      <c r="B7" s="547">
        <v>1140</v>
      </c>
      <c r="C7" s="466">
        <v>48398</v>
      </c>
      <c r="D7" s="466">
        <v>0</v>
      </c>
      <c r="E7" s="468"/>
      <c r="F7" s="467">
        <v>0</v>
      </c>
      <c r="G7" s="467">
        <v>0</v>
      </c>
      <c r="H7" s="467">
        <v>0</v>
      </c>
      <c r="I7" s="468"/>
      <c r="J7" s="468"/>
      <c r="K7" s="468"/>
    </row>
    <row r="8" spans="1:12" x14ac:dyDescent="0.2">
      <c r="A8" s="463" t="s">
        <v>433</v>
      </c>
      <c r="B8" s="470">
        <v>1150</v>
      </c>
      <c r="C8" s="475"/>
      <c r="D8" s="475"/>
      <c r="E8" s="476"/>
      <c r="F8" s="476"/>
      <c r="G8" s="480">
        <v>153660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3303174</v>
      </c>
      <c r="D12" s="1727">
        <f t="shared" si="0"/>
        <v>604978</v>
      </c>
      <c r="E12" s="1727">
        <f t="shared" si="0"/>
        <v>941063</v>
      </c>
      <c r="F12" s="1727">
        <f t="shared" si="0"/>
        <v>241991</v>
      </c>
      <c r="G12" s="1727">
        <f t="shared" si="0"/>
        <v>153660</v>
      </c>
      <c r="H12" s="1727">
        <f t="shared" si="0"/>
        <v>0</v>
      </c>
      <c r="I12" s="1727">
        <f t="shared" si="0"/>
        <v>60498</v>
      </c>
      <c r="J12" s="1727">
        <f t="shared" si="0"/>
        <v>307038</v>
      </c>
      <c r="K12" s="1708">
        <f t="shared" si="0"/>
        <v>60498</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831</v>
      </c>
      <c r="D14" s="466">
        <v>152</v>
      </c>
      <c r="E14" s="466">
        <v>234</v>
      </c>
      <c r="F14" s="466">
        <v>61</v>
      </c>
      <c r="G14" s="466">
        <v>40</v>
      </c>
      <c r="H14" s="466">
        <v>0</v>
      </c>
      <c r="I14" s="466">
        <v>15</v>
      </c>
      <c r="J14" s="467">
        <v>79</v>
      </c>
      <c r="K14" s="466">
        <v>15</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288066</v>
      </c>
      <c r="D16" s="466">
        <v>0</v>
      </c>
      <c r="E16" s="466">
        <v>0</v>
      </c>
      <c r="F16" s="466">
        <v>0</v>
      </c>
      <c r="G16" s="466">
        <v>9400</v>
      </c>
      <c r="H16" s="466">
        <v>0</v>
      </c>
      <c r="I16" s="466">
        <v>0</v>
      </c>
      <c r="J16" s="467">
        <v>0</v>
      </c>
      <c r="K16" s="466">
        <v>0</v>
      </c>
    </row>
    <row r="17" spans="1:11" ht="12.75" customHeight="1" x14ac:dyDescent="0.2">
      <c r="A17" s="463" t="s">
        <v>840</v>
      </c>
      <c r="B17" s="470">
        <v>1290</v>
      </c>
      <c r="C17" s="549">
        <v>50000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338897</v>
      </c>
      <c r="D18" s="1730">
        <f t="shared" ref="D18:K18" si="1">SUM(D14:D17)</f>
        <v>152</v>
      </c>
      <c r="E18" s="1730">
        <f t="shared" si="1"/>
        <v>234</v>
      </c>
      <c r="F18" s="1730">
        <f t="shared" si="1"/>
        <v>61</v>
      </c>
      <c r="G18" s="1730">
        <f t="shared" si="1"/>
        <v>9440</v>
      </c>
      <c r="H18" s="1730">
        <f t="shared" si="1"/>
        <v>0</v>
      </c>
      <c r="I18" s="1730">
        <f t="shared" si="1"/>
        <v>15</v>
      </c>
      <c r="J18" s="1730">
        <f t="shared" si="1"/>
        <v>79</v>
      </c>
      <c r="K18" s="1731">
        <f t="shared" si="1"/>
        <v>15</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3600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2360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5960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26979</v>
      </c>
      <c r="D65" s="466">
        <v>3371</v>
      </c>
      <c r="E65" s="466">
        <v>6192</v>
      </c>
      <c r="F65" s="467">
        <v>2936</v>
      </c>
      <c r="G65" s="466">
        <v>3832</v>
      </c>
      <c r="H65" s="466">
        <v>0</v>
      </c>
      <c r="I65" s="466">
        <v>17347</v>
      </c>
      <c r="J65" s="467">
        <v>1107</v>
      </c>
      <c r="K65" s="466">
        <v>44599</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26979</v>
      </c>
      <c r="D67" s="1708">
        <f t="shared" ref="D67:K67" si="2">SUM(D65:D66)</f>
        <v>3371</v>
      </c>
      <c r="E67" s="1708">
        <f t="shared" si="2"/>
        <v>6192</v>
      </c>
      <c r="F67" s="1708">
        <f t="shared" si="2"/>
        <v>2936</v>
      </c>
      <c r="G67" s="1708">
        <f t="shared" si="2"/>
        <v>3832</v>
      </c>
      <c r="H67" s="1708">
        <f t="shared" si="2"/>
        <v>0</v>
      </c>
      <c r="I67" s="1708">
        <f t="shared" si="2"/>
        <v>17347</v>
      </c>
      <c r="J67" s="1708">
        <f t="shared" si="2"/>
        <v>1107</v>
      </c>
      <c r="K67" s="1708">
        <f t="shared" si="2"/>
        <v>44599</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172081</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891</v>
      </c>
      <c r="D73" s="468"/>
      <c r="E73" s="468"/>
      <c r="F73" s="468"/>
      <c r="G73" s="468"/>
      <c r="H73" s="468"/>
      <c r="I73" s="468"/>
      <c r="J73" s="468"/>
      <c r="K73" s="468"/>
    </row>
    <row r="74" spans="1:11" ht="12.75" customHeight="1" x14ac:dyDescent="0.2">
      <c r="A74" s="463" t="s">
        <v>25</v>
      </c>
      <c r="B74" s="470">
        <v>1690</v>
      </c>
      <c r="C74" s="549">
        <v>609</v>
      </c>
      <c r="D74" s="468"/>
      <c r="E74" s="468"/>
      <c r="F74" s="468"/>
      <c r="G74" s="468"/>
      <c r="H74" s="468"/>
      <c r="I74" s="468"/>
      <c r="J74" s="468"/>
      <c r="K74" s="468"/>
    </row>
    <row r="75" spans="1:11" ht="12.75" customHeight="1" thickBot="1" x14ac:dyDescent="0.25">
      <c r="A75" s="1728" t="s">
        <v>569</v>
      </c>
      <c r="B75" s="1729"/>
      <c r="C75" s="1708">
        <f>SUM(C69:C74)</f>
        <v>173581</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36355</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2575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58334</v>
      </c>
      <c r="D81" s="466">
        <v>0</v>
      </c>
      <c r="E81" s="468"/>
      <c r="F81" s="468"/>
      <c r="G81" s="468"/>
      <c r="H81" s="468"/>
      <c r="I81" s="468"/>
      <c r="J81" s="468"/>
      <c r="K81" s="468"/>
    </row>
    <row r="82" spans="1:11" ht="12.75" customHeight="1" thickBot="1" x14ac:dyDescent="0.25">
      <c r="A82" s="1728" t="s">
        <v>259</v>
      </c>
      <c r="B82" s="1729"/>
      <c r="C82" s="1727">
        <f>SUM(C77:C81)</f>
        <v>97264</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81873</v>
      </c>
      <c r="D84" s="468"/>
      <c r="E84" s="468"/>
      <c r="F84" s="468"/>
      <c r="G84" s="468"/>
      <c r="H84" s="468"/>
      <c r="I84" s="468"/>
      <c r="J84" s="468"/>
      <c r="K84" s="468"/>
    </row>
    <row r="85" spans="1:11" ht="12.75" customHeight="1" x14ac:dyDescent="0.2">
      <c r="A85" s="463" t="s">
        <v>574</v>
      </c>
      <c r="B85" s="470">
        <v>1812</v>
      </c>
      <c r="C85" s="549">
        <v>825</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82698</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36075</v>
      </c>
      <c r="E95" s="519"/>
      <c r="F95" s="519"/>
      <c r="G95" s="519"/>
      <c r="H95" s="519"/>
      <c r="I95" s="519"/>
      <c r="J95" s="519"/>
      <c r="K95" s="519"/>
    </row>
    <row r="96" spans="1:11" ht="12.75" customHeight="1" x14ac:dyDescent="0.2">
      <c r="A96" s="463" t="s">
        <v>409</v>
      </c>
      <c r="B96" s="470">
        <v>1920</v>
      </c>
      <c r="C96" s="549">
        <v>3927</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16122</v>
      </c>
      <c r="D99" s="466">
        <v>10080</v>
      </c>
      <c r="E99" s="466">
        <v>15000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3496</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206000</v>
      </c>
      <c r="F103" s="468"/>
      <c r="G103" s="468"/>
      <c r="H103" s="487">
        <v>299132</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29508</v>
      </c>
      <c r="D107" s="466">
        <v>15</v>
      </c>
      <c r="E107" s="466">
        <v>6027</v>
      </c>
      <c r="F107" s="466">
        <v>65</v>
      </c>
      <c r="G107" s="466">
        <v>0</v>
      </c>
      <c r="H107" s="466">
        <v>0</v>
      </c>
      <c r="I107" s="466">
        <v>0</v>
      </c>
      <c r="J107" s="467">
        <v>0</v>
      </c>
      <c r="K107" s="466">
        <v>0</v>
      </c>
    </row>
    <row r="108" spans="1:12" ht="12.75" customHeight="1" thickBot="1" x14ac:dyDescent="0.25">
      <c r="A108" s="1728" t="s">
        <v>508</v>
      </c>
      <c r="B108" s="1732"/>
      <c r="C108" s="1727">
        <f>SUM(C95:C107)</f>
        <v>53053</v>
      </c>
      <c r="D108" s="1727">
        <f t="shared" ref="D108:K108" si="3">SUM(D95:D107)</f>
        <v>46170</v>
      </c>
      <c r="E108" s="1727">
        <f t="shared" si="3"/>
        <v>227027</v>
      </c>
      <c r="F108" s="1727">
        <f t="shared" si="3"/>
        <v>65</v>
      </c>
      <c r="G108" s="1727">
        <f t="shared" si="3"/>
        <v>0</v>
      </c>
      <c r="H108" s="1727">
        <f t="shared" si="3"/>
        <v>299132</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4081606</v>
      </c>
      <c r="D109" s="1735">
        <f t="shared" si="4"/>
        <v>654671</v>
      </c>
      <c r="E109" s="1735">
        <f t="shared" si="4"/>
        <v>1174516</v>
      </c>
      <c r="F109" s="1735">
        <f t="shared" si="4"/>
        <v>245053</v>
      </c>
      <c r="G109" s="1735">
        <f t="shared" si="4"/>
        <v>166932</v>
      </c>
      <c r="H109" s="1735">
        <f t="shared" si="4"/>
        <v>299132</v>
      </c>
      <c r="I109" s="1735">
        <f t="shared" si="4"/>
        <v>77860</v>
      </c>
      <c r="J109" s="1735">
        <f t="shared" si="4"/>
        <v>308224</v>
      </c>
      <c r="K109" s="1722">
        <f t="shared" si="4"/>
        <v>105112</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2479062</v>
      </c>
      <c r="D117" s="480">
        <v>534076</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2479062</v>
      </c>
      <c r="D121" s="1727">
        <f t="shared" si="5"/>
        <v>534076</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180547</v>
      </c>
      <c r="D124" s="559"/>
      <c r="E124" s="468"/>
      <c r="F124" s="546">
        <v>0</v>
      </c>
      <c r="G124" s="468"/>
      <c r="H124" s="468"/>
      <c r="I124" s="468"/>
      <c r="J124" s="468"/>
      <c r="K124" s="468"/>
    </row>
    <row r="125" spans="1:11" ht="12.75" customHeight="1" x14ac:dyDescent="0.2">
      <c r="A125" s="463" t="s">
        <v>1521</v>
      </c>
      <c r="B125" s="560">
        <v>3105</v>
      </c>
      <c r="C125" s="466">
        <v>65996</v>
      </c>
      <c r="D125" s="559"/>
      <c r="E125" s="468"/>
      <c r="F125" s="466">
        <v>0</v>
      </c>
      <c r="G125" s="468"/>
      <c r="H125" s="468"/>
      <c r="I125" s="468"/>
      <c r="J125" s="468"/>
      <c r="K125" s="468"/>
    </row>
    <row r="126" spans="1:11" ht="12.75" customHeight="1" x14ac:dyDescent="0.2">
      <c r="A126" s="463" t="s">
        <v>922</v>
      </c>
      <c r="B126" s="560">
        <v>3110</v>
      </c>
      <c r="C126" s="549">
        <v>55989</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302532</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5045</v>
      </c>
      <c r="D139" s="466">
        <v>0</v>
      </c>
      <c r="E139" s="559"/>
      <c r="F139" s="476"/>
      <c r="G139" s="467">
        <v>0</v>
      </c>
      <c r="H139" s="468"/>
      <c r="I139" s="468"/>
      <c r="J139" s="468"/>
      <c r="K139" s="468"/>
    </row>
    <row r="140" spans="1:11" ht="12.75" customHeight="1" thickBot="1" x14ac:dyDescent="0.25">
      <c r="A140" s="1728" t="s">
        <v>624</v>
      </c>
      <c r="B140" s="1740"/>
      <c r="C140" s="1727">
        <f>SUM(C133:C139)</f>
        <v>5045</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2426</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11175</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172053</v>
      </c>
      <c r="G151" s="467">
        <v>0</v>
      </c>
      <c r="H151" s="468"/>
      <c r="I151" s="468"/>
      <c r="J151" s="468"/>
      <c r="K151" s="468"/>
    </row>
    <row r="152" spans="1:11" ht="12.75" customHeight="1" x14ac:dyDescent="0.2">
      <c r="A152" s="463" t="s">
        <v>1117</v>
      </c>
      <c r="B152" s="560">
        <v>3510</v>
      </c>
      <c r="C152" s="549">
        <v>0</v>
      </c>
      <c r="D152" s="466">
        <v>0</v>
      </c>
      <c r="E152" s="559"/>
      <c r="F152" s="466">
        <v>40015</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212068</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102063</v>
      </c>
      <c r="D158" s="576">
        <v>0</v>
      </c>
      <c r="E158" s="559"/>
      <c r="F158" s="574">
        <v>20070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3500</v>
      </c>
      <c r="D171" s="578">
        <v>0</v>
      </c>
      <c r="E171" s="578">
        <v>0</v>
      </c>
      <c r="F171" s="578">
        <v>0</v>
      </c>
      <c r="G171" s="579">
        <v>0</v>
      </c>
      <c r="H171" s="580">
        <v>0</v>
      </c>
      <c r="I171" s="579">
        <v>0</v>
      </c>
      <c r="J171" s="579">
        <v>0</v>
      </c>
      <c r="K171" s="580">
        <v>0</v>
      </c>
    </row>
    <row r="172" spans="1:11" ht="12.75" customHeight="1" thickTop="1" thickBot="1" x14ac:dyDescent="0.25">
      <c r="A172" s="2172" t="s">
        <v>418</v>
      </c>
      <c r="B172" s="2173"/>
      <c r="C172" s="1742">
        <f t="shared" ref="C172:K172" si="6">SUM(C131,C140,C144,C145:C149,C154,C155:C170,C171)</f>
        <v>426741</v>
      </c>
      <c r="D172" s="1742">
        <f t="shared" si="6"/>
        <v>0</v>
      </c>
      <c r="E172" s="1742">
        <f t="shared" si="6"/>
        <v>0</v>
      </c>
      <c r="F172" s="1742">
        <f t="shared" si="6"/>
        <v>232138</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2905803</v>
      </c>
      <c r="D173" s="1735">
        <f>SUM(D121,D172)</f>
        <v>534076</v>
      </c>
      <c r="E173" s="1735">
        <f>SUM(E121,E172)</f>
        <v>0</v>
      </c>
      <c r="F173" s="1735">
        <f t="shared" ref="F173:K173" si="7">SUM(F121,F172)</f>
        <v>232138</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74" t="s">
        <v>1572</v>
      </c>
      <c r="B175" s="2175"/>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78" t="s">
        <v>1764</v>
      </c>
      <c r="B178" s="217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82" t="s">
        <v>1763</v>
      </c>
      <c r="B179" s="218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80" t="s">
        <v>818</v>
      </c>
      <c r="B184" s="2181"/>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6" t="s">
        <v>1905</v>
      </c>
      <c r="B185" s="2177"/>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172078</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21043</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193121</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73131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73131</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10000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10000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36486</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18185</v>
      </c>
      <c r="D270" s="574">
        <v>0</v>
      </c>
      <c r="E270" s="468"/>
      <c r="F270" s="574">
        <v>0</v>
      </c>
      <c r="G270" s="574">
        <v>0</v>
      </c>
      <c r="H270" s="468"/>
      <c r="I270" s="468"/>
      <c r="J270" s="468"/>
      <c r="K270" s="468"/>
    </row>
    <row r="271" spans="1:11" ht="12.75" customHeight="1" thickTop="1" thickBot="1" x14ac:dyDescent="0.25">
      <c r="A271" s="463" t="s">
        <v>395</v>
      </c>
      <c r="B271" s="470">
        <v>4992</v>
      </c>
      <c r="C271" s="573">
        <v>3798</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334721</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334721</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7322130</v>
      </c>
      <c r="D275" s="1735">
        <f t="shared" si="12"/>
        <v>1188747</v>
      </c>
      <c r="E275" s="1735">
        <f t="shared" si="12"/>
        <v>1174516</v>
      </c>
      <c r="F275" s="1735">
        <f t="shared" si="12"/>
        <v>477191</v>
      </c>
      <c r="G275" s="1735">
        <f t="shared" si="12"/>
        <v>166932</v>
      </c>
      <c r="H275" s="1735">
        <f t="shared" si="12"/>
        <v>299132</v>
      </c>
      <c r="I275" s="1735">
        <f t="shared" si="12"/>
        <v>77860</v>
      </c>
      <c r="J275" s="1735">
        <f t="shared" si="12"/>
        <v>308224</v>
      </c>
      <c r="K275" s="1722">
        <f t="shared" si="12"/>
        <v>105112</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F27" sqref="F2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52"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90" t="s">
        <v>315</v>
      </c>
      <c r="B3" s="2191"/>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3114829</v>
      </c>
      <c r="D5" s="466">
        <v>732096</v>
      </c>
      <c r="E5" s="466">
        <v>49824</v>
      </c>
      <c r="F5" s="466">
        <v>76410</v>
      </c>
      <c r="G5" s="466">
        <v>5885</v>
      </c>
      <c r="H5" s="466">
        <v>2012</v>
      </c>
      <c r="I5" s="467">
        <v>0</v>
      </c>
      <c r="J5" s="467">
        <v>0</v>
      </c>
      <c r="K5" s="1691">
        <f>SUM(C5:J5)</f>
        <v>3981056</v>
      </c>
      <c r="L5" s="466">
        <v>3966198</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82018</v>
      </c>
      <c r="D7" s="467">
        <v>18311</v>
      </c>
      <c r="E7" s="467">
        <v>0</v>
      </c>
      <c r="F7" s="467">
        <v>3210</v>
      </c>
      <c r="G7" s="467">
        <v>0</v>
      </c>
      <c r="H7" s="467">
        <v>0</v>
      </c>
      <c r="I7" s="467">
        <v>0</v>
      </c>
      <c r="J7" s="467">
        <v>0</v>
      </c>
      <c r="K7" s="1691">
        <f t="shared" ref="K7:K32" si="0">SUM(C7:J7)</f>
        <v>103539</v>
      </c>
      <c r="L7" s="466">
        <v>82190</v>
      </c>
    </row>
    <row r="8" spans="1:14" x14ac:dyDescent="0.2">
      <c r="A8" s="1524" t="s">
        <v>166</v>
      </c>
      <c r="B8" s="613">
        <v>1200</v>
      </c>
      <c r="C8" s="466">
        <v>483077</v>
      </c>
      <c r="D8" s="466">
        <v>80544</v>
      </c>
      <c r="E8" s="466">
        <v>149</v>
      </c>
      <c r="F8" s="466">
        <v>121</v>
      </c>
      <c r="G8" s="466">
        <v>0</v>
      </c>
      <c r="H8" s="466">
        <v>0</v>
      </c>
      <c r="I8" s="467">
        <v>0</v>
      </c>
      <c r="J8" s="467">
        <v>0</v>
      </c>
      <c r="K8" s="1691">
        <f t="shared" si="0"/>
        <v>563891</v>
      </c>
      <c r="L8" s="466">
        <v>645016</v>
      </c>
    </row>
    <row r="9" spans="1:14" x14ac:dyDescent="0.2">
      <c r="A9" s="1524" t="s">
        <v>745</v>
      </c>
      <c r="B9" s="613" t="s">
        <v>1025</v>
      </c>
      <c r="C9" s="467">
        <v>0</v>
      </c>
      <c r="D9" s="467">
        <v>0</v>
      </c>
      <c r="E9" s="467">
        <v>0</v>
      </c>
      <c r="F9" s="467">
        <v>0</v>
      </c>
      <c r="G9" s="467">
        <v>0</v>
      </c>
      <c r="H9" s="467">
        <v>261</v>
      </c>
      <c r="I9" s="467">
        <v>0</v>
      </c>
      <c r="J9" s="467">
        <v>0</v>
      </c>
      <c r="K9" s="1691">
        <f t="shared" si="0"/>
        <v>261</v>
      </c>
      <c r="L9" s="466">
        <v>18750</v>
      </c>
    </row>
    <row r="10" spans="1:14" x14ac:dyDescent="0.2">
      <c r="A10" s="1524" t="s">
        <v>746</v>
      </c>
      <c r="B10" s="613">
        <v>1250</v>
      </c>
      <c r="C10" s="466">
        <v>96662</v>
      </c>
      <c r="D10" s="466">
        <v>2295</v>
      </c>
      <c r="E10" s="466">
        <v>30</v>
      </c>
      <c r="F10" s="466">
        <v>0</v>
      </c>
      <c r="G10" s="466">
        <v>0</v>
      </c>
      <c r="H10" s="466">
        <v>0</v>
      </c>
      <c r="I10" s="467">
        <v>0</v>
      </c>
      <c r="J10" s="467">
        <v>0</v>
      </c>
      <c r="K10" s="1691">
        <f t="shared" si="0"/>
        <v>98987</v>
      </c>
      <c r="L10" s="466">
        <v>117493</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94859</v>
      </c>
      <c r="D13" s="466">
        <v>22198</v>
      </c>
      <c r="E13" s="466">
        <v>0</v>
      </c>
      <c r="F13" s="466">
        <v>0</v>
      </c>
      <c r="G13" s="466">
        <v>0</v>
      </c>
      <c r="H13" s="466">
        <v>0</v>
      </c>
      <c r="I13" s="467">
        <v>0</v>
      </c>
      <c r="J13" s="467">
        <v>0</v>
      </c>
      <c r="K13" s="1691">
        <f t="shared" si="0"/>
        <v>117057</v>
      </c>
      <c r="L13" s="466">
        <v>99961</v>
      </c>
    </row>
    <row r="14" spans="1:14" x14ac:dyDescent="0.2">
      <c r="A14" s="1524" t="s">
        <v>1020</v>
      </c>
      <c r="B14" s="613">
        <v>1500</v>
      </c>
      <c r="C14" s="467">
        <v>149494</v>
      </c>
      <c r="D14" s="466">
        <v>26262</v>
      </c>
      <c r="E14" s="466">
        <v>25675</v>
      </c>
      <c r="F14" s="466">
        <v>36181</v>
      </c>
      <c r="G14" s="466">
        <v>27204</v>
      </c>
      <c r="H14" s="466">
        <v>5291</v>
      </c>
      <c r="I14" s="467">
        <v>0</v>
      </c>
      <c r="J14" s="467">
        <v>0</v>
      </c>
      <c r="K14" s="1691">
        <f t="shared" si="0"/>
        <v>270107</v>
      </c>
      <c r="L14" s="466">
        <v>219160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28447</v>
      </c>
      <c r="D17" s="467">
        <v>7905</v>
      </c>
      <c r="E17" s="467">
        <v>0</v>
      </c>
      <c r="F17" s="467">
        <v>4009</v>
      </c>
      <c r="G17" s="467">
        <v>0</v>
      </c>
      <c r="H17" s="467">
        <v>0</v>
      </c>
      <c r="I17" s="467">
        <v>0</v>
      </c>
      <c r="J17" s="467">
        <v>0</v>
      </c>
      <c r="K17" s="1691">
        <f t="shared" si="0"/>
        <v>40361</v>
      </c>
      <c r="L17" s="466">
        <v>91880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55082</v>
      </c>
      <c r="D19" s="466">
        <v>12639</v>
      </c>
      <c r="E19" s="466">
        <v>0</v>
      </c>
      <c r="F19" s="466">
        <v>183</v>
      </c>
      <c r="G19" s="466">
        <v>0</v>
      </c>
      <c r="H19" s="466">
        <v>0</v>
      </c>
      <c r="I19" s="467">
        <v>0</v>
      </c>
      <c r="J19" s="467">
        <v>0</v>
      </c>
      <c r="K19" s="1691">
        <f t="shared" si="0"/>
        <v>67904</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249846</v>
      </c>
      <c r="I22" s="615"/>
      <c r="J22" s="476"/>
      <c r="K22" s="1691">
        <f t="shared" si="0"/>
        <v>249846</v>
      </c>
      <c r="L22" s="466">
        <v>155000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6000</v>
      </c>
      <c r="I27" s="615"/>
      <c r="J27" s="476"/>
      <c r="K27" s="1691">
        <f t="shared" si="0"/>
        <v>6000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4104468</v>
      </c>
      <c r="D33" s="1690">
        <f t="shared" ref="D33:L33" si="1">SUM(D5:D32)</f>
        <v>902250</v>
      </c>
      <c r="E33" s="1690">
        <f t="shared" si="1"/>
        <v>75678</v>
      </c>
      <c r="F33" s="1690">
        <f t="shared" si="1"/>
        <v>120114</v>
      </c>
      <c r="G33" s="1690">
        <f t="shared" si="1"/>
        <v>33089</v>
      </c>
      <c r="H33" s="1690">
        <f t="shared" si="1"/>
        <v>263410</v>
      </c>
      <c r="I33" s="1690">
        <f t="shared" si="1"/>
        <v>0</v>
      </c>
      <c r="J33" s="1690">
        <f t="shared" si="1"/>
        <v>0</v>
      </c>
      <c r="K33" s="1690">
        <f t="shared" si="1"/>
        <v>5499009</v>
      </c>
      <c r="L33" s="1690">
        <f t="shared" si="1"/>
        <v>5395648</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146424</v>
      </c>
      <c r="D37" s="466">
        <v>33032</v>
      </c>
      <c r="E37" s="466">
        <v>9344</v>
      </c>
      <c r="F37" s="466">
        <v>1662</v>
      </c>
      <c r="G37" s="466">
        <v>0</v>
      </c>
      <c r="H37" s="466">
        <v>0</v>
      </c>
      <c r="I37" s="467">
        <v>0</v>
      </c>
      <c r="J37" s="467">
        <v>0</v>
      </c>
      <c r="K37" s="1691">
        <f t="shared" si="2"/>
        <v>190462</v>
      </c>
      <c r="L37" s="466">
        <v>195340</v>
      </c>
    </row>
    <row r="38" spans="1:14" x14ac:dyDescent="0.2">
      <c r="A38" s="1524" t="s">
        <v>207</v>
      </c>
      <c r="B38" s="613">
        <v>2130</v>
      </c>
      <c r="C38" s="466">
        <v>86305</v>
      </c>
      <c r="D38" s="466">
        <v>14683</v>
      </c>
      <c r="E38" s="466">
        <v>245</v>
      </c>
      <c r="F38" s="466">
        <v>1299</v>
      </c>
      <c r="G38" s="466">
        <v>0</v>
      </c>
      <c r="H38" s="466">
        <v>775</v>
      </c>
      <c r="I38" s="467">
        <v>0</v>
      </c>
      <c r="J38" s="467">
        <v>0</v>
      </c>
      <c r="K38" s="1691">
        <f t="shared" si="2"/>
        <v>103307</v>
      </c>
      <c r="L38" s="466">
        <v>63930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52851</v>
      </c>
      <c r="D40" s="466">
        <v>10420</v>
      </c>
      <c r="E40" s="466">
        <v>0</v>
      </c>
      <c r="F40" s="466">
        <v>0</v>
      </c>
      <c r="G40" s="466">
        <v>0</v>
      </c>
      <c r="H40" s="466">
        <v>0</v>
      </c>
      <c r="I40" s="467">
        <v>0</v>
      </c>
      <c r="J40" s="467">
        <v>0</v>
      </c>
      <c r="K40" s="1691">
        <f t="shared" si="2"/>
        <v>63271</v>
      </c>
      <c r="L40" s="466">
        <v>50542</v>
      </c>
    </row>
    <row r="41" spans="1:14" x14ac:dyDescent="0.2">
      <c r="A41" s="1524" t="s">
        <v>1768</v>
      </c>
      <c r="B41" s="613">
        <v>2190</v>
      </c>
      <c r="C41" s="466">
        <v>9532</v>
      </c>
      <c r="D41" s="466">
        <v>1611</v>
      </c>
      <c r="E41" s="466">
        <v>0</v>
      </c>
      <c r="F41" s="466">
        <v>0</v>
      </c>
      <c r="G41" s="466">
        <v>0</v>
      </c>
      <c r="H41" s="466">
        <v>0</v>
      </c>
      <c r="I41" s="467">
        <v>0</v>
      </c>
      <c r="J41" s="467">
        <v>0</v>
      </c>
      <c r="K41" s="1691">
        <f t="shared" si="2"/>
        <v>11143</v>
      </c>
      <c r="L41" s="466">
        <v>24700</v>
      </c>
    </row>
    <row r="42" spans="1:14" ht="12.75" customHeight="1" thickBot="1" x14ac:dyDescent="0.25">
      <c r="A42" s="1688" t="s">
        <v>581</v>
      </c>
      <c r="B42" s="1689" t="s">
        <v>740</v>
      </c>
      <c r="C42" s="1690">
        <f>SUM(C36:C41)</f>
        <v>295112</v>
      </c>
      <c r="D42" s="1690">
        <f t="shared" ref="D42:L42" si="3">SUM(D36:D41)</f>
        <v>59746</v>
      </c>
      <c r="E42" s="1690">
        <f t="shared" si="3"/>
        <v>9589</v>
      </c>
      <c r="F42" s="1690">
        <f t="shared" si="3"/>
        <v>2961</v>
      </c>
      <c r="G42" s="1690">
        <f t="shared" si="3"/>
        <v>0</v>
      </c>
      <c r="H42" s="1690">
        <f t="shared" si="3"/>
        <v>775</v>
      </c>
      <c r="I42" s="1690">
        <f t="shared" si="3"/>
        <v>0</v>
      </c>
      <c r="J42" s="1690">
        <f t="shared" si="3"/>
        <v>0</v>
      </c>
      <c r="K42" s="1690">
        <f t="shared" si="3"/>
        <v>368183</v>
      </c>
      <c r="L42" s="1690">
        <f t="shared" si="3"/>
        <v>334512</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94197</v>
      </c>
      <c r="D44" s="480">
        <v>29474</v>
      </c>
      <c r="E44" s="480">
        <v>22071</v>
      </c>
      <c r="F44" s="480">
        <v>14412</v>
      </c>
      <c r="G44" s="480">
        <v>0</v>
      </c>
      <c r="H44" s="480">
        <v>0</v>
      </c>
      <c r="I44" s="467">
        <v>0</v>
      </c>
      <c r="J44" s="467">
        <v>0</v>
      </c>
      <c r="K44" s="1692">
        <f>SUM(C44:J44)</f>
        <v>160154</v>
      </c>
      <c r="L44" s="480">
        <v>26205</v>
      </c>
    </row>
    <row r="45" spans="1:14" x14ac:dyDescent="0.2">
      <c r="A45" s="1524" t="s">
        <v>869</v>
      </c>
      <c r="B45" s="613">
        <v>2220</v>
      </c>
      <c r="C45" s="467">
        <v>52541</v>
      </c>
      <c r="D45" s="466">
        <v>10251</v>
      </c>
      <c r="E45" s="466">
        <v>28400</v>
      </c>
      <c r="F45" s="466">
        <v>8748</v>
      </c>
      <c r="G45" s="466">
        <v>0</v>
      </c>
      <c r="H45" s="466">
        <v>389</v>
      </c>
      <c r="I45" s="467">
        <v>0</v>
      </c>
      <c r="J45" s="467">
        <v>0</v>
      </c>
      <c r="K45" s="1692">
        <f>SUM(C45:J45)</f>
        <v>100329</v>
      </c>
      <c r="L45" s="466">
        <v>110566</v>
      </c>
    </row>
    <row r="46" spans="1:14" x14ac:dyDescent="0.2">
      <c r="A46" s="1524" t="s">
        <v>870</v>
      </c>
      <c r="B46" s="613">
        <v>2230</v>
      </c>
      <c r="C46" s="467">
        <v>0</v>
      </c>
      <c r="D46" s="466">
        <v>0</v>
      </c>
      <c r="E46" s="466">
        <v>29007</v>
      </c>
      <c r="F46" s="466">
        <v>0</v>
      </c>
      <c r="G46" s="466">
        <v>0</v>
      </c>
      <c r="H46" s="466">
        <v>0</v>
      </c>
      <c r="I46" s="467">
        <v>0</v>
      </c>
      <c r="J46" s="467">
        <v>0</v>
      </c>
      <c r="K46" s="1692">
        <f>SUM(C46:J46)</f>
        <v>29007</v>
      </c>
      <c r="L46" s="466">
        <v>11500</v>
      </c>
    </row>
    <row r="47" spans="1:14" ht="12.75" customHeight="1" thickBot="1" x14ac:dyDescent="0.25">
      <c r="A47" s="1688" t="s">
        <v>582</v>
      </c>
      <c r="B47" s="1689" t="s">
        <v>32</v>
      </c>
      <c r="C47" s="1690">
        <f>SUM(C44:C46)</f>
        <v>146738</v>
      </c>
      <c r="D47" s="1690">
        <f t="shared" ref="D47:K47" si="4">SUM(D44:D46)</f>
        <v>39725</v>
      </c>
      <c r="E47" s="1690">
        <f t="shared" si="4"/>
        <v>79478</v>
      </c>
      <c r="F47" s="1690">
        <f t="shared" si="4"/>
        <v>23160</v>
      </c>
      <c r="G47" s="1690">
        <f t="shared" si="4"/>
        <v>0</v>
      </c>
      <c r="H47" s="1690">
        <f t="shared" si="4"/>
        <v>389</v>
      </c>
      <c r="I47" s="1690">
        <f t="shared" si="4"/>
        <v>0</v>
      </c>
      <c r="J47" s="1690">
        <f t="shared" si="4"/>
        <v>0</v>
      </c>
      <c r="K47" s="1690">
        <f t="shared" si="4"/>
        <v>289490</v>
      </c>
      <c r="L47" s="1690">
        <f>SUM(L44:L46)</f>
        <v>148271</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3077</v>
      </c>
      <c r="D49" s="480">
        <v>0</v>
      </c>
      <c r="E49" s="480">
        <v>104363</v>
      </c>
      <c r="F49" s="480">
        <v>0</v>
      </c>
      <c r="G49" s="480">
        <v>0</v>
      </c>
      <c r="H49" s="480">
        <v>154980</v>
      </c>
      <c r="I49" s="467">
        <v>0</v>
      </c>
      <c r="J49" s="467">
        <v>0</v>
      </c>
      <c r="K49" s="1692">
        <f>SUM(C49:J49)</f>
        <v>262420</v>
      </c>
      <c r="L49" s="466">
        <v>103556</v>
      </c>
    </row>
    <row r="50" spans="1:14" x14ac:dyDescent="0.2">
      <c r="A50" s="1524" t="s">
        <v>872</v>
      </c>
      <c r="B50" s="613">
        <v>2320</v>
      </c>
      <c r="C50" s="466">
        <v>149981</v>
      </c>
      <c r="D50" s="466">
        <v>20219</v>
      </c>
      <c r="E50" s="466">
        <v>6016</v>
      </c>
      <c r="F50" s="466">
        <v>905</v>
      </c>
      <c r="G50" s="466">
        <v>0</v>
      </c>
      <c r="H50" s="466">
        <v>7170</v>
      </c>
      <c r="I50" s="467">
        <v>0</v>
      </c>
      <c r="J50" s="467">
        <v>0</v>
      </c>
      <c r="K50" s="1692">
        <f>SUM(C50:J50)</f>
        <v>184291</v>
      </c>
      <c r="L50" s="466">
        <v>172780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153058</v>
      </c>
      <c r="D53" s="1690">
        <f t="shared" ref="D53:L53" si="5">SUM(D49:D52)</f>
        <v>20219</v>
      </c>
      <c r="E53" s="1690">
        <f t="shared" si="5"/>
        <v>110379</v>
      </c>
      <c r="F53" s="1690">
        <f t="shared" si="5"/>
        <v>905</v>
      </c>
      <c r="G53" s="1690">
        <f t="shared" si="5"/>
        <v>0</v>
      </c>
      <c r="H53" s="1690">
        <f t="shared" si="5"/>
        <v>162150</v>
      </c>
      <c r="I53" s="1690">
        <f t="shared" si="5"/>
        <v>0</v>
      </c>
      <c r="J53" s="1690">
        <f t="shared" si="5"/>
        <v>0</v>
      </c>
      <c r="K53" s="1690">
        <f t="shared" si="5"/>
        <v>446711</v>
      </c>
      <c r="L53" s="1690">
        <f t="shared" si="5"/>
        <v>276336</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410508</v>
      </c>
      <c r="D55" s="480">
        <v>73859</v>
      </c>
      <c r="E55" s="480">
        <v>840</v>
      </c>
      <c r="F55" s="480">
        <v>0</v>
      </c>
      <c r="G55" s="480">
        <v>0</v>
      </c>
      <c r="H55" s="480">
        <v>623</v>
      </c>
      <c r="I55" s="467">
        <v>0</v>
      </c>
      <c r="J55" s="467">
        <v>0</v>
      </c>
      <c r="K55" s="1692">
        <f>SUM(C55:J55)</f>
        <v>485830</v>
      </c>
      <c r="L55" s="480">
        <v>400710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410508</v>
      </c>
      <c r="D57" s="1694">
        <f t="shared" ref="D57:K57" si="6">SUM(D55:D56)</f>
        <v>73859</v>
      </c>
      <c r="E57" s="1694">
        <f t="shared" si="6"/>
        <v>840</v>
      </c>
      <c r="F57" s="1694">
        <f t="shared" si="6"/>
        <v>0</v>
      </c>
      <c r="G57" s="1694">
        <f t="shared" si="6"/>
        <v>0</v>
      </c>
      <c r="H57" s="1694">
        <f t="shared" si="6"/>
        <v>623</v>
      </c>
      <c r="I57" s="1694">
        <f t="shared" si="6"/>
        <v>0</v>
      </c>
      <c r="J57" s="1694">
        <f t="shared" si="6"/>
        <v>0</v>
      </c>
      <c r="K57" s="1694">
        <f t="shared" si="6"/>
        <v>485830</v>
      </c>
      <c r="L57" s="1690">
        <f>SUM(L55:L56)</f>
        <v>400710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64122</v>
      </c>
      <c r="D60" s="466">
        <v>4958</v>
      </c>
      <c r="E60" s="466">
        <v>352</v>
      </c>
      <c r="F60" s="466">
        <v>3965</v>
      </c>
      <c r="G60" s="466">
        <v>0</v>
      </c>
      <c r="H60" s="466">
        <v>0</v>
      </c>
      <c r="I60" s="467">
        <v>0</v>
      </c>
      <c r="J60" s="467">
        <v>0</v>
      </c>
      <c r="K60" s="1692">
        <f t="shared" si="7"/>
        <v>73397</v>
      </c>
      <c r="L60" s="466">
        <v>79230</v>
      </c>
      <c r="M60" s="608"/>
      <c r="N60" s="608"/>
    </row>
    <row r="61" spans="1:14" s="343" customFormat="1" x14ac:dyDescent="0.2">
      <c r="A61" s="1524" t="s">
        <v>206</v>
      </c>
      <c r="B61" s="613">
        <v>2540</v>
      </c>
      <c r="C61" s="467">
        <v>0</v>
      </c>
      <c r="D61" s="466">
        <v>0</v>
      </c>
      <c r="E61" s="466">
        <v>107</v>
      </c>
      <c r="F61" s="466">
        <v>4523</v>
      </c>
      <c r="G61" s="466">
        <v>0</v>
      </c>
      <c r="H61" s="466">
        <v>0</v>
      </c>
      <c r="I61" s="467">
        <v>0</v>
      </c>
      <c r="J61" s="467">
        <v>0</v>
      </c>
      <c r="K61" s="1692">
        <f t="shared" si="7"/>
        <v>4630</v>
      </c>
      <c r="L61" s="466">
        <v>19750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140453</v>
      </c>
      <c r="D63" s="466">
        <v>4641</v>
      </c>
      <c r="E63" s="466">
        <v>142</v>
      </c>
      <c r="F63" s="466">
        <v>243874</v>
      </c>
      <c r="G63" s="466">
        <v>0</v>
      </c>
      <c r="H63" s="466">
        <v>199</v>
      </c>
      <c r="I63" s="467">
        <v>0</v>
      </c>
      <c r="J63" s="467">
        <v>0</v>
      </c>
      <c r="K63" s="1692">
        <f t="shared" si="7"/>
        <v>389309</v>
      </c>
      <c r="L63" s="466">
        <v>325714</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204575</v>
      </c>
      <c r="D65" s="1690">
        <f t="shared" ref="D65:L65" si="8">SUM(D59:D64)</f>
        <v>9599</v>
      </c>
      <c r="E65" s="1690">
        <f t="shared" si="8"/>
        <v>601</v>
      </c>
      <c r="F65" s="1690">
        <f t="shared" si="8"/>
        <v>252362</v>
      </c>
      <c r="G65" s="1690">
        <f t="shared" si="8"/>
        <v>0</v>
      </c>
      <c r="H65" s="1690">
        <f t="shared" si="8"/>
        <v>199</v>
      </c>
      <c r="I65" s="1690">
        <f t="shared" si="8"/>
        <v>0</v>
      </c>
      <c r="J65" s="1690">
        <f t="shared" si="8"/>
        <v>0</v>
      </c>
      <c r="K65" s="1690">
        <f t="shared" si="8"/>
        <v>467336</v>
      </c>
      <c r="L65" s="1690">
        <f t="shared" si="8"/>
        <v>424694</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7250</v>
      </c>
      <c r="D70" s="466">
        <v>1687</v>
      </c>
      <c r="E70" s="466">
        <v>0</v>
      </c>
      <c r="F70" s="466">
        <v>0</v>
      </c>
      <c r="G70" s="466">
        <v>0</v>
      </c>
      <c r="H70" s="466">
        <v>0</v>
      </c>
      <c r="I70" s="467">
        <v>0</v>
      </c>
      <c r="J70" s="467">
        <v>0</v>
      </c>
      <c r="K70" s="1692">
        <f>SUM(C70:J70)</f>
        <v>8937</v>
      </c>
      <c r="L70" s="466">
        <v>0</v>
      </c>
      <c r="M70" s="608"/>
      <c r="N70" s="608"/>
    </row>
    <row r="71" spans="1:14" s="343" customFormat="1" x14ac:dyDescent="0.2">
      <c r="A71" s="1524" t="s">
        <v>424</v>
      </c>
      <c r="B71" s="613">
        <v>2660</v>
      </c>
      <c r="C71" s="466">
        <v>124194</v>
      </c>
      <c r="D71" s="466">
        <v>17279</v>
      </c>
      <c r="E71" s="466">
        <v>25913</v>
      </c>
      <c r="F71" s="466">
        <v>77462</v>
      </c>
      <c r="G71" s="466">
        <v>87589</v>
      </c>
      <c r="H71" s="466">
        <v>0</v>
      </c>
      <c r="I71" s="467">
        <v>0</v>
      </c>
      <c r="J71" s="467">
        <v>0</v>
      </c>
      <c r="K71" s="1692">
        <f>SUM(C71:J71)</f>
        <v>332437</v>
      </c>
      <c r="L71" s="466">
        <v>232940</v>
      </c>
      <c r="M71" s="608"/>
      <c r="N71" s="608"/>
    </row>
    <row r="72" spans="1:14" s="343" customFormat="1" ht="12.75" customHeight="1" thickBot="1" x14ac:dyDescent="0.25">
      <c r="A72" s="1688" t="s">
        <v>37</v>
      </c>
      <c r="B72" s="1695" t="s">
        <v>36</v>
      </c>
      <c r="C72" s="1690">
        <f>SUM(C67:C71)</f>
        <v>131444</v>
      </c>
      <c r="D72" s="1690">
        <f t="shared" ref="D72:K72" si="9">SUM(D67:D71)</f>
        <v>18966</v>
      </c>
      <c r="E72" s="1690">
        <f t="shared" si="9"/>
        <v>25913</v>
      </c>
      <c r="F72" s="1690">
        <f t="shared" si="9"/>
        <v>77462</v>
      </c>
      <c r="G72" s="1690">
        <f t="shared" si="9"/>
        <v>87589</v>
      </c>
      <c r="H72" s="1690">
        <f t="shared" si="9"/>
        <v>0</v>
      </c>
      <c r="I72" s="1690">
        <f t="shared" si="9"/>
        <v>0</v>
      </c>
      <c r="J72" s="1690">
        <f t="shared" si="9"/>
        <v>0</v>
      </c>
      <c r="K72" s="1690">
        <f t="shared" si="9"/>
        <v>341374</v>
      </c>
      <c r="L72" s="1690">
        <f>SUM(L67:L71)</f>
        <v>232940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1341435</v>
      </c>
      <c r="D74" s="1697">
        <f t="shared" ref="D74:K74" si="10">SUM(D42,D47,D53,D57,D65,D72,D73)</f>
        <v>222114</v>
      </c>
      <c r="E74" s="1697">
        <f t="shared" si="10"/>
        <v>226800</v>
      </c>
      <c r="F74" s="1697">
        <f t="shared" si="10"/>
        <v>356850</v>
      </c>
      <c r="G74" s="1697">
        <f t="shared" si="10"/>
        <v>87589</v>
      </c>
      <c r="H74" s="1697">
        <f t="shared" si="10"/>
        <v>164136</v>
      </c>
      <c r="I74" s="1697">
        <f t="shared" si="10"/>
        <v>0</v>
      </c>
      <c r="J74" s="1697">
        <f t="shared" si="10"/>
        <v>0</v>
      </c>
      <c r="K74" s="1697">
        <f t="shared" si="10"/>
        <v>2398924</v>
      </c>
      <c r="L74" s="1697">
        <f>SUM(L42,L47,L53,L57,L65,L72,L73)</f>
        <v>1817463</v>
      </c>
    </row>
    <row r="75" spans="1:14" s="259" customFormat="1" ht="15.75" customHeight="1" thickTop="1" thickBot="1" x14ac:dyDescent="0.25">
      <c r="A75" s="1630" t="s">
        <v>49</v>
      </c>
      <c r="B75" s="1631" t="s">
        <v>596</v>
      </c>
      <c r="C75" s="571">
        <v>979</v>
      </c>
      <c r="D75" s="571">
        <v>202</v>
      </c>
      <c r="E75" s="571">
        <v>122</v>
      </c>
      <c r="F75" s="571">
        <v>0</v>
      </c>
      <c r="G75" s="571">
        <v>0</v>
      </c>
      <c r="H75" s="571">
        <v>0</v>
      </c>
      <c r="I75" s="529">
        <v>0</v>
      </c>
      <c r="J75" s="529">
        <v>0</v>
      </c>
      <c r="K75" s="1690">
        <f>SUM(C75:J75)</f>
        <v>1303</v>
      </c>
      <c r="L75" s="574">
        <v>4377</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0</v>
      </c>
      <c r="F84" s="615"/>
      <c r="G84" s="615"/>
      <c r="H84" s="1690">
        <f>SUM(H78:H83)</f>
        <v>0</v>
      </c>
      <c r="I84" s="476"/>
      <c r="J84" s="476"/>
      <c r="K84" s="1690">
        <f>SUM(K78:K83)</f>
        <v>0</v>
      </c>
      <c r="L84" s="1690">
        <f>SUM(L78:L83)</f>
        <v>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190608</v>
      </c>
      <c r="I86" s="476"/>
      <c r="J86" s="476"/>
      <c r="K86" s="1697">
        <f t="shared" ref="K86:K98" si="12">H86</f>
        <v>190608</v>
      </c>
      <c r="L86" s="528">
        <v>225000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29771</v>
      </c>
      <c r="I88" s="476"/>
      <c r="J88" s="476"/>
      <c r="K88" s="1697">
        <f t="shared" si="12"/>
        <v>29771</v>
      </c>
      <c r="L88" s="528">
        <v>50000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220379</v>
      </c>
      <c r="I92" s="476"/>
      <c r="J92" s="476"/>
      <c r="K92" s="1697">
        <f t="shared" si="12"/>
        <v>220379</v>
      </c>
      <c r="L92" s="1690">
        <f>SUM(L85:L91)</f>
        <v>275000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220379</v>
      </c>
      <c r="I102" s="476"/>
      <c r="J102" s="476"/>
      <c r="K102" s="1697">
        <f>SUM(K84,K92,K100,K101)</f>
        <v>220379</v>
      </c>
      <c r="L102" s="1697">
        <f>SUM(L84,L92,L100,L101)</f>
        <v>275000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20000</v>
      </c>
      <c r="M113" s="612"/>
      <c r="N113" s="612"/>
    </row>
    <row r="114" spans="1:14" ht="12.75" customHeight="1" thickTop="1" thickBot="1" x14ac:dyDescent="0.25">
      <c r="A114" s="1688" t="s">
        <v>50</v>
      </c>
      <c r="B114" s="1702"/>
      <c r="C114" s="1690">
        <f>SUM(C33,C74,C75,C102,C112,C113)</f>
        <v>5446882</v>
      </c>
      <c r="D114" s="1690">
        <f t="shared" ref="D114:K114" si="13">SUM(D33,D74,D75,D102,D112,D113)</f>
        <v>1124566</v>
      </c>
      <c r="E114" s="1690">
        <f t="shared" si="13"/>
        <v>302600</v>
      </c>
      <c r="F114" s="1690">
        <f t="shared" si="13"/>
        <v>476964</v>
      </c>
      <c r="G114" s="1690">
        <f t="shared" si="13"/>
        <v>120678</v>
      </c>
      <c r="H114" s="1690">
        <f>SUM(H33,H74,H75,H102,H112,H113)</f>
        <v>647925</v>
      </c>
      <c r="I114" s="1690">
        <f t="shared" si="13"/>
        <v>0</v>
      </c>
      <c r="J114" s="1690">
        <f t="shared" si="13"/>
        <v>0</v>
      </c>
      <c r="K114" s="1690">
        <f t="shared" si="13"/>
        <v>8119615</v>
      </c>
      <c r="L114" s="1690">
        <f>SUM(L33,L74,L75,L102,L112,L113)</f>
        <v>7512488</v>
      </c>
    </row>
    <row r="115" spans="1:14" ht="13.5" thickTop="1" x14ac:dyDescent="0.2">
      <c r="A115" s="2209" t="s">
        <v>1053</v>
      </c>
      <c r="B115" s="2210"/>
      <c r="C115" s="617"/>
      <c r="D115" s="617"/>
      <c r="E115" s="617"/>
      <c r="F115" s="617"/>
      <c r="G115" s="617"/>
      <c r="H115" s="617"/>
      <c r="I115" s="617"/>
      <c r="J115" s="617"/>
      <c r="K115" s="1704">
        <f>'Revenues 9-14'!C275-'Expenditures 15-22'!K114</f>
        <v>-797485</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7" t="s">
        <v>314</v>
      </c>
      <c r="B117" s="2188"/>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290299</v>
      </c>
      <c r="D124" s="466">
        <v>42226</v>
      </c>
      <c r="E124" s="466">
        <v>140763</v>
      </c>
      <c r="F124" s="466">
        <v>280822</v>
      </c>
      <c r="G124" s="466">
        <v>514</v>
      </c>
      <c r="H124" s="466">
        <v>0</v>
      </c>
      <c r="I124" s="467">
        <v>0</v>
      </c>
      <c r="J124" s="467">
        <v>0</v>
      </c>
      <c r="K124" s="1690">
        <f>SUM(C124:J124)</f>
        <v>754624</v>
      </c>
      <c r="L124" s="466">
        <v>831091</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290299</v>
      </c>
      <c r="D127" s="1690">
        <f t="shared" ref="D127:L127" si="14">SUM(D122:D126)</f>
        <v>42226</v>
      </c>
      <c r="E127" s="1690">
        <f t="shared" si="14"/>
        <v>140763</v>
      </c>
      <c r="F127" s="1690">
        <f t="shared" si="14"/>
        <v>280822</v>
      </c>
      <c r="G127" s="1690">
        <f t="shared" si="14"/>
        <v>514</v>
      </c>
      <c r="H127" s="1690">
        <f t="shared" si="14"/>
        <v>0</v>
      </c>
      <c r="I127" s="1690">
        <f t="shared" si="14"/>
        <v>0</v>
      </c>
      <c r="J127" s="1690">
        <f t="shared" si="14"/>
        <v>0</v>
      </c>
      <c r="K127" s="1690">
        <f t="shared" si="14"/>
        <v>754624</v>
      </c>
      <c r="L127" s="1690">
        <f t="shared" si="14"/>
        <v>831091</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290299</v>
      </c>
      <c r="D129" s="1697">
        <f t="shared" ref="D129:L129" si="15">SUM(D120,D127,D128)</f>
        <v>42226</v>
      </c>
      <c r="E129" s="1697">
        <f t="shared" si="15"/>
        <v>140763</v>
      </c>
      <c r="F129" s="1697">
        <f t="shared" si="15"/>
        <v>280822</v>
      </c>
      <c r="G129" s="1697">
        <f t="shared" si="15"/>
        <v>514</v>
      </c>
      <c r="H129" s="1697">
        <f t="shared" si="15"/>
        <v>0</v>
      </c>
      <c r="I129" s="1697">
        <f t="shared" si="15"/>
        <v>0</v>
      </c>
      <c r="J129" s="1697">
        <f t="shared" si="15"/>
        <v>0</v>
      </c>
      <c r="K129" s="1697">
        <f t="shared" si="15"/>
        <v>754624</v>
      </c>
      <c r="L129" s="1697">
        <f t="shared" si="15"/>
        <v>831091</v>
      </c>
    </row>
    <row r="130" spans="1:14" ht="15.75" customHeight="1" thickTop="1" thickBot="1" x14ac:dyDescent="0.25">
      <c r="A130" s="1630" t="s">
        <v>1096</v>
      </c>
      <c r="B130" s="1631" t="s">
        <v>596</v>
      </c>
      <c r="C130" s="574">
        <v>0</v>
      </c>
      <c r="D130" s="574">
        <v>0</v>
      </c>
      <c r="E130" s="574">
        <v>4571</v>
      </c>
      <c r="F130" s="574">
        <v>0</v>
      </c>
      <c r="G130" s="574">
        <v>0</v>
      </c>
      <c r="H130" s="574">
        <v>0</v>
      </c>
      <c r="I130" s="529">
        <v>0</v>
      </c>
      <c r="J130" s="529">
        <v>0</v>
      </c>
      <c r="K130" s="1690">
        <f>SUM(C130:J130)</f>
        <v>4571</v>
      </c>
      <c r="L130" s="574">
        <v>5000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8008</v>
      </c>
      <c r="I135" s="476"/>
      <c r="J135" s="615"/>
      <c r="K135" s="1692">
        <f>SUM(E135,H135)</f>
        <v>8008</v>
      </c>
      <c r="L135" s="466">
        <v>12500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8008</v>
      </c>
      <c r="I137" s="476"/>
      <c r="J137" s="615"/>
      <c r="K137" s="1690">
        <f>SUM(K133:K136)</f>
        <v>8008</v>
      </c>
      <c r="L137" s="1690">
        <f>SUM(L133:L136)</f>
        <v>12500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8008</v>
      </c>
      <c r="I139" s="476"/>
      <c r="J139" s="615"/>
      <c r="K139" s="1692">
        <f>SUM(K137,K138)</f>
        <v>8008</v>
      </c>
      <c r="L139" s="1699">
        <f>SUM(L137,L138)</f>
        <v>12500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10000</v>
      </c>
    </row>
    <row r="151" spans="1:14" ht="12.75" customHeight="1" thickTop="1" thickBot="1" x14ac:dyDescent="0.25">
      <c r="A151" s="2199" t="s">
        <v>641</v>
      </c>
      <c r="B151" s="2181"/>
      <c r="C151" s="1690">
        <f>SUM(C129,C130,C139,C149,C150)</f>
        <v>290299</v>
      </c>
      <c r="D151" s="1690">
        <f t="shared" ref="D151:K151" si="16">SUM(D129,D130,D139,D149,D150)</f>
        <v>42226</v>
      </c>
      <c r="E151" s="1690">
        <f t="shared" si="16"/>
        <v>145334</v>
      </c>
      <c r="F151" s="1690">
        <f t="shared" si="16"/>
        <v>280822</v>
      </c>
      <c r="G151" s="1690">
        <f t="shared" si="16"/>
        <v>514</v>
      </c>
      <c r="H151" s="1690">
        <f t="shared" si="16"/>
        <v>8008</v>
      </c>
      <c r="I151" s="1690">
        <f t="shared" si="16"/>
        <v>0</v>
      </c>
      <c r="J151" s="1690">
        <f t="shared" si="16"/>
        <v>0</v>
      </c>
      <c r="K151" s="1690">
        <f t="shared" si="16"/>
        <v>767203</v>
      </c>
      <c r="L151" s="1690">
        <f>SUM(L129,L130,L139,L149,L150)</f>
        <v>858591</v>
      </c>
    </row>
    <row r="152" spans="1:14" ht="12.75" customHeight="1" thickTop="1" x14ac:dyDescent="0.2">
      <c r="A152" s="2202" t="s">
        <v>1240</v>
      </c>
      <c r="B152" s="2203"/>
      <c r="C152" s="617"/>
      <c r="D152" s="617"/>
      <c r="E152" s="617"/>
      <c r="F152" s="617"/>
      <c r="G152" s="617"/>
      <c r="H152" s="617"/>
      <c r="I152" s="617"/>
      <c r="J152" s="615"/>
      <c r="K152" s="1704">
        <f>'Revenues 9-14'!D275-'Expenditures 15-22'!K151</f>
        <v>421544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7" t="s">
        <v>642</v>
      </c>
      <c r="B154" s="2189"/>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355615</v>
      </c>
      <c r="I169" s="615"/>
      <c r="J169" s="615"/>
      <c r="K169" s="1691">
        <f>SUM(C169:H169)</f>
        <v>355615</v>
      </c>
      <c r="L169" s="655">
        <v>83000</v>
      </c>
    </row>
    <row r="170" spans="1:14" ht="33.75" customHeight="1" x14ac:dyDescent="0.2">
      <c r="A170" s="668" t="s">
        <v>1769</v>
      </c>
      <c r="B170" s="670" t="s">
        <v>31</v>
      </c>
      <c r="C170" s="615"/>
      <c r="D170" s="615"/>
      <c r="E170" s="615"/>
      <c r="F170" s="615"/>
      <c r="G170" s="615"/>
      <c r="H170" s="567">
        <v>1030000</v>
      </c>
      <c r="I170" s="615"/>
      <c r="J170" s="615"/>
      <c r="K170" s="1691">
        <f>SUM(C170:J170)</f>
        <v>1030000</v>
      </c>
      <c r="L170" s="567">
        <v>1100000</v>
      </c>
    </row>
    <row r="171" spans="1:14" ht="15.75" customHeight="1" x14ac:dyDescent="0.2">
      <c r="A171" s="620" t="s">
        <v>790</v>
      </c>
      <c r="B171" s="671" t="s">
        <v>86</v>
      </c>
      <c r="C171" s="615"/>
      <c r="D171" s="615"/>
      <c r="E171" s="466">
        <v>0</v>
      </c>
      <c r="F171" s="615"/>
      <c r="G171" s="615"/>
      <c r="H171" s="567">
        <v>1200</v>
      </c>
      <c r="I171" s="476"/>
      <c r="J171" s="615"/>
      <c r="K171" s="1691">
        <f>SUM(C171:J171)</f>
        <v>1200</v>
      </c>
      <c r="L171" s="567">
        <v>2500</v>
      </c>
    </row>
    <row r="172" spans="1:14" ht="12.75" customHeight="1" thickBot="1" x14ac:dyDescent="0.25">
      <c r="A172" s="1688" t="s">
        <v>659</v>
      </c>
      <c r="B172" s="1689" t="s">
        <v>513</v>
      </c>
      <c r="C172" s="615"/>
      <c r="D172" s="615"/>
      <c r="E172" s="1697">
        <f>SUM(E168,E169,E170,E171)</f>
        <v>0</v>
      </c>
      <c r="F172" s="615"/>
      <c r="G172" s="615"/>
      <c r="H172" s="1697">
        <f>SUM(H168,H169,H170,H171)</f>
        <v>1386815</v>
      </c>
      <c r="I172" s="637"/>
      <c r="J172" s="615"/>
      <c r="K172" s="1697">
        <f>SUM(K168,K169,K170,K171)</f>
        <v>1386815</v>
      </c>
      <c r="L172" s="1697">
        <f>SUM(L168,L169,L170,L171)</f>
        <v>1185500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1386815</v>
      </c>
      <c r="I174" s="637"/>
      <c r="J174" s="615"/>
      <c r="K174" s="1697">
        <f>SUM(K160,K172,K173)</f>
        <v>1386815</v>
      </c>
      <c r="L174" s="1697">
        <f>SUM(L160,L172,L173)</f>
        <v>1185500</v>
      </c>
    </row>
    <row r="175" spans="1:14" ht="13.5" thickTop="1" x14ac:dyDescent="0.2">
      <c r="A175" s="2209" t="s">
        <v>1053</v>
      </c>
      <c r="B175" s="2210"/>
      <c r="C175" s="615"/>
      <c r="D175" s="615"/>
      <c r="E175" s="615"/>
      <c r="F175" s="615"/>
      <c r="G175" s="615"/>
      <c r="H175" s="617"/>
      <c r="I175" s="615"/>
      <c r="J175" s="615"/>
      <c r="K175" s="1704">
        <f>'Revenues 9-14'!E275-'Expenditures 15-22'!K174</f>
        <v>-212299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18679</v>
      </c>
      <c r="D182" s="467">
        <v>1579</v>
      </c>
      <c r="E182" s="467">
        <v>361659</v>
      </c>
      <c r="F182" s="467">
        <v>36523</v>
      </c>
      <c r="G182" s="467">
        <v>0</v>
      </c>
      <c r="H182" s="466">
        <v>354</v>
      </c>
      <c r="I182" s="467">
        <v>0</v>
      </c>
      <c r="J182" s="467">
        <v>0</v>
      </c>
      <c r="K182" s="1691">
        <f>SUM(C182:J182)</f>
        <v>418794</v>
      </c>
      <c r="L182" s="466">
        <v>383050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18679</v>
      </c>
      <c r="D184" s="1697">
        <f t="shared" ref="D184:J184" si="17">SUM(D180,D182,D183)</f>
        <v>1579</v>
      </c>
      <c r="E184" s="1697">
        <f t="shared" si="17"/>
        <v>361659</v>
      </c>
      <c r="F184" s="1697">
        <f t="shared" si="17"/>
        <v>36523</v>
      </c>
      <c r="G184" s="1697">
        <f t="shared" si="17"/>
        <v>0</v>
      </c>
      <c r="H184" s="1697">
        <f t="shared" si="17"/>
        <v>354</v>
      </c>
      <c r="I184" s="1697">
        <f t="shared" si="17"/>
        <v>0</v>
      </c>
      <c r="J184" s="1697">
        <f t="shared" si="17"/>
        <v>0</v>
      </c>
      <c r="K184" s="1697">
        <f>SUM(K180,K182,K183)</f>
        <v>418794</v>
      </c>
      <c r="L184" s="1697">
        <f>SUM(L180, L182:L183)</f>
        <v>383050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18679</v>
      </c>
      <c r="D210" s="1690">
        <f>SUM(D184,D185)</f>
        <v>1579</v>
      </c>
      <c r="E210" s="1690">
        <f>SUM(E184,E185,E196)</f>
        <v>361659</v>
      </c>
      <c r="F210" s="1690">
        <f>SUM(F184,F185)</f>
        <v>36523</v>
      </c>
      <c r="G210" s="1690">
        <f>SUM(G184,G185)</f>
        <v>0</v>
      </c>
      <c r="H210" s="1690">
        <f>SUM(H184,H185,H196,H208,H209)</f>
        <v>354</v>
      </c>
      <c r="I210" s="1690">
        <f>SUM(I184,I185)</f>
        <v>0</v>
      </c>
      <c r="J210" s="1690">
        <f>SUM(J184,J185)</f>
        <v>0</v>
      </c>
      <c r="K210" s="1691">
        <f>SUM(K184,K185,K196,K208,K209)</f>
        <v>418794</v>
      </c>
      <c r="L210" s="1690">
        <f>SUM(L184,L185,L196,L208,L209)</f>
        <v>383050</v>
      </c>
    </row>
    <row r="211" spans="1:14" ht="13.5" thickTop="1" x14ac:dyDescent="0.2">
      <c r="A211" s="2209" t="s">
        <v>1053</v>
      </c>
      <c r="B211" s="2210"/>
      <c r="C211" s="617"/>
      <c r="D211" s="617"/>
      <c r="E211" s="617"/>
      <c r="F211" s="617"/>
      <c r="G211" s="617"/>
      <c r="H211" s="617"/>
      <c r="I211" s="615"/>
      <c r="J211" s="615"/>
      <c r="K211" s="1704">
        <f>'Revenues 9-14'!F275-'Expenditures 15-22'!K210</f>
        <v>58397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04" t="s">
        <v>1022</v>
      </c>
      <c r="B213" s="2205"/>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52577</v>
      </c>
      <c r="E215" s="615"/>
      <c r="F215" s="615"/>
      <c r="G215" s="615"/>
      <c r="H215" s="615"/>
      <c r="I215" s="615"/>
      <c r="J215" s="615"/>
      <c r="K215" s="1691">
        <f>D215</f>
        <v>52577</v>
      </c>
      <c r="L215" s="466">
        <v>39250</v>
      </c>
    </row>
    <row r="216" spans="1:14" x14ac:dyDescent="0.2">
      <c r="A216" s="1524" t="s">
        <v>165</v>
      </c>
      <c r="B216" s="613" t="s">
        <v>1024</v>
      </c>
      <c r="C216" s="615"/>
      <c r="D216" s="467">
        <v>3361</v>
      </c>
      <c r="E216" s="615"/>
      <c r="F216" s="615"/>
      <c r="G216" s="615"/>
      <c r="H216" s="615"/>
      <c r="I216" s="615"/>
      <c r="J216" s="615"/>
      <c r="K216" s="1691">
        <f t="shared" ref="K216:K228" si="19">D216</f>
        <v>3361</v>
      </c>
      <c r="L216" s="466">
        <v>1300</v>
      </c>
    </row>
    <row r="217" spans="1:14" x14ac:dyDescent="0.2">
      <c r="A217" s="1524" t="s">
        <v>166</v>
      </c>
      <c r="B217" s="613">
        <v>1200</v>
      </c>
      <c r="C217" s="615"/>
      <c r="D217" s="466">
        <v>17998</v>
      </c>
      <c r="E217" s="615"/>
      <c r="F217" s="615"/>
      <c r="G217" s="615"/>
      <c r="H217" s="615"/>
      <c r="I217" s="615"/>
      <c r="J217" s="615"/>
      <c r="K217" s="1691">
        <f t="shared" si="19"/>
        <v>17998</v>
      </c>
      <c r="L217" s="466">
        <v>24300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2318</v>
      </c>
      <c r="E219" s="615"/>
      <c r="F219" s="615"/>
      <c r="G219" s="615"/>
      <c r="H219" s="615"/>
      <c r="I219" s="615"/>
      <c r="J219" s="615"/>
      <c r="K219" s="1691">
        <f t="shared" si="19"/>
        <v>2318</v>
      </c>
      <c r="L219" s="466">
        <v>4500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1185</v>
      </c>
      <c r="E222" s="615"/>
      <c r="F222" s="615"/>
      <c r="G222" s="615"/>
      <c r="H222" s="615"/>
      <c r="I222" s="615"/>
      <c r="J222" s="615"/>
      <c r="K222" s="1691">
        <f t="shared" si="19"/>
        <v>1185</v>
      </c>
      <c r="L222" s="466">
        <v>900</v>
      </c>
    </row>
    <row r="223" spans="1:14" x14ac:dyDescent="0.2">
      <c r="A223" s="1524" t="s">
        <v>1020</v>
      </c>
      <c r="B223" s="613">
        <v>1500</v>
      </c>
      <c r="C223" s="615"/>
      <c r="D223" s="466">
        <v>4848</v>
      </c>
      <c r="E223" s="615"/>
      <c r="F223" s="615"/>
      <c r="G223" s="615"/>
      <c r="H223" s="615"/>
      <c r="I223" s="615"/>
      <c r="J223" s="615"/>
      <c r="K223" s="1691">
        <f t="shared" si="19"/>
        <v>4848</v>
      </c>
      <c r="L223" s="466">
        <v>5750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409</v>
      </c>
      <c r="E226" s="615"/>
      <c r="F226" s="615"/>
      <c r="G226" s="615"/>
      <c r="H226" s="615"/>
      <c r="I226" s="615"/>
      <c r="J226" s="615"/>
      <c r="K226" s="1691">
        <f t="shared" si="19"/>
        <v>409</v>
      </c>
      <c r="L226" s="466">
        <v>1500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765</v>
      </c>
      <c r="E228" s="615"/>
      <c r="F228" s="615"/>
      <c r="G228" s="615"/>
      <c r="H228" s="615"/>
      <c r="I228" s="615"/>
      <c r="J228" s="615"/>
      <c r="K228" s="1691">
        <f t="shared" si="19"/>
        <v>765</v>
      </c>
      <c r="L228" s="466">
        <v>0</v>
      </c>
    </row>
    <row r="229" spans="1:12" ht="12.75" customHeight="1" thickBot="1" x14ac:dyDescent="0.25">
      <c r="A229" s="1688" t="s">
        <v>739</v>
      </c>
      <c r="B229" s="1695" t="s">
        <v>591</v>
      </c>
      <c r="C229" s="615"/>
      <c r="D229" s="1690">
        <f>SUM(D215:D228)</f>
        <v>83461</v>
      </c>
      <c r="E229" s="615"/>
      <c r="F229" s="615"/>
      <c r="G229" s="615"/>
      <c r="H229" s="615"/>
      <c r="I229" s="615"/>
      <c r="J229" s="615"/>
      <c r="K229" s="1690">
        <f>SUM(K215:K228)</f>
        <v>83461</v>
      </c>
      <c r="L229" s="1690">
        <f>SUM(L215:L228)</f>
        <v>77500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3673</v>
      </c>
      <c r="E233" s="615"/>
      <c r="F233" s="615"/>
      <c r="G233" s="615"/>
      <c r="H233" s="615"/>
      <c r="I233" s="615"/>
      <c r="J233" s="615"/>
      <c r="K233" s="1691">
        <f t="shared" si="20"/>
        <v>3673</v>
      </c>
      <c r="L233" s="466">
        <v>2650</v>
      </c>
    </row>
    <row r="234" spans="1:12" x14ac:dyDescent="0.2">
      <c r="A234" s="1524" t="s">
        <v>207</v>
      </c>
      <c r="B234" s="613">
        <v>2130</v>
      </c>
      <c r="C234" s="615"/>
      <c r="D234" s="466">
        <v>9190</v>
      </c>
      <c r="E234" s="615"/>
      <c r="F234" s="615"/>
      <c r="G234" s="615"/>
      <c r="H234" s="615"/>
      <c r="I234" s="615"/>
      <c r="J234" s="615"/>
      <c r="K234" s="1691">
        <f t="shared" si="20"/>
        <v>9190</v>
      </c>
      <c r="L234" s="466">
        <v>5750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539</v>
      </c>
      <c r="E236" s="615"/>
      <c r="F236" s="615"/>
      <c r="G236" s="615"/>
      <c r="H236" s="615"/>
      <c r="I236" s="615"/>
      <c r="J236" s="615"/>
      <c r="K236" s="1691">
        <f t="shared" si="20"/>
        <v>539</v>
      </c>
      <c r="L236" s="466">
        <v>1500</v>
      </c>
    </row>
    <row r="237" spans="1:12" x14ac:dyDescent="0.2">
      <c r="A237" s="1524" t="s">
        <v>167</v>
      </c>
      <c r="B237" s="613">
        <v>2190</v>
      </c>
      <c r="C237" s="615"/>
      <c r="D237" s="466">
        <v>375</v>
      </c>
      <c r="E237" s="615"/>
      <c r="F237" s="615"/>
      <c r="G237" s="615"/>
      <c r="H237" s="615"/>
      <c r="I237" s="615"/>
      <c r="J237" s="615"/>
      <c r="K237" s="1691">
        <f t="shared" si="20"/>
        <v>375</v>
      </c>
      <c r="L237" s="466">
        <v>2250</v>
      </c>
    </row>
    <row r="238" spans="1:12" ht="12.75" customHeight="1" thickBot="1" x14ac:dyDescent="0.25">
      <c r="A238" s="1688" t="s">
        <v>581</v>
      </c>
      <c r="B238" s="1695" t="s">
        <v>740</v>
      </c>
      <c r="C238" s="615"/>
      <c r="D238" s="1690">
        <f>SUM(D232:D237)</f>
        <v>13777</v>
      </c>
      <c r="E238" s="615"/>
      <c r="F238" s="615"/>
      <c r="G238" s="615"/>
      <c r="H238" s="615"/>
      <c r="I238" s="615"/>
      <c r="J238" s="615"/>
      <c r="K238" s="1690">
        <f>SUM(K232:K237)</f>
        <v>13777</v>
      </c>
      <c r="L238" s="1690">
        <f>SUM(L232:L237)</f>
        <v>12150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1345</v>
      </c>
      <c r="E240" s="615"/>
      <c r="F240" s="615"/>
      <c r="G240" s="615"/>
      <c r="H240" s="615"/>
      <c r="I240" s="615"/>
      <c r="J240" s="615"/>
      <c r="K240" s="1692">
        <f>D240</f>
        <v>1345</v>
      </c>
      <c r="L240" s="480">
        <v>2075</v>
      </c>
    </row>
    <row r="241" spans="1:12" x14ac:dyDescent="0.2">
      <c r="A241" s="1524" t="s">
        <v>869</v>
      </c>
      <c r="B241" s="613">
        <v>2220</v>
      </c>
      <c r="C241" s="615"/>
      <c r="D241" s="466">
        <v>2347</v>
      </c>
      <c r="E241" s="615"/>
      <c r="F241" s="615"/>
      <c r="G241" s="615"/>
      <c r="H241" s="615"/>
      <c r="I241" s="615"/>
      <c r="J241" s="615"/>
      <c r="K241" s="1692">
        <f>D241</f>
        <v>2347</v>
      </c>
      <c r="L241" s="466">
        <v>3750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3692</v>
      </c>
      <c r="E243" s="615"/>
      <c r="F243" s="615"/>
      <c r="G243" s="615"/>
      <c r="H243" s="615"/>
      <c r="I243" s="615"/>
      <c r="J243" s="615"/>
      <c r="K243" s="1690">
        <f>SUM(K240:K242)</f>
        <v>3692</v>
      </c>
      <c r="L243" s="1690">
        <f>SUM(L240:L242)</f>
        <v>5825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355</v>
      </c>
      <c r="E245" s="615"/>
      <c r="F245" s="615"/>
      <c r="G245" s="615"/>
      <c r="H245" s="615"/>
      <c r="I245" s="615"/>
      <c r="J245" s="615"/>
      <c r="K245" s="1692">
        <f>D245</f>
        <v>355</v>
      </c>
      <c r="L245" s="480">
        <v>350</v>
      </c>
    </row>
    <row r="246" spans="1:12" x14ac:dyDescent="0.2">
      <c r="A246" s="1524" t="s">
        <v>872</v>
      </c>
      <c r="B246" s="613">
        <v>2320</v>
      </c>
      <c r="C246" s="615"/>
      <c r="D246" s="466">
        <v>4604</v>
      </c>
      <c r="E246" s="615"/>
      <c r="F246" s="615"/>
      <c r="G246" s="615"/>
      <c r="H246" s="615"/>
      <c r="I246" s="615"/>
      <c r="J246" s="615"/>
      <c r="K246" s="1692">
        <f t="shared" ref="K246:K256" si="21">D246</f>
        <v>4604</v>
      </c>
      <c r="L246" s="466">
        <v>5850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1662</v>
      </c>
      <c r="E254" s="615"/>
      <c r="F254" s="615"/>
      <c r="G254" s="615"/>
      <c r="H254" s="615"/>
      <c r="I254" s="615"/>
      <c r="J254" s="615"/>
      <c r="K254" s="1692">
        <f t="shared" si="21"/>
        <v>1662</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6621</v>
      </c>
      <c r="E257" s="615"/>
      <c r="F257" s="615"/>
      <c r="G257" s="615"/>
      <c r="H257" s="615"/>
      <c r="I257" s="615"/>
      <c r="J257" s="615"/>
      <c r="K257" s="1690">
        <f>SUM(K245:K256)</f>
        <v>6621</v>
      </c>
      <c r="L257" s="1690">
        <f>SUM(L245:L256)</f>
        <v>6200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14776</v>
      </c>
      <c r="E259" s="615"/>
      <c r="F259" s="615"/>
      <c r="G259" s="615"/>
      <c r="H259" s="615"/>
      <c r="I259" s="615"/>
      <c r="J259" s="615"/>
      <c r="K259" s="1692">
        <f>D259</f>
        <v>14776</v>
      </c>
      <c r="L259" s="480">
        <v>21000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14776</v>
      </c>
      <c r="E261" s="615"/>
      <c r="F261" s="615"/>
      <c r="G261" s="615"/>
      <c r="H261" s="615"/>
      <c r="I261" s="615"/>
      <c r="J261" s="615"/>
      <c r="K261" s="1690">
        <f>SUM(K259:K260)</f>
        <v>14776</v>
      </c>
      <c r="L261" s="1690">
        <f>SUM(L259:L260)</f>
        <v>21000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8232</v>
      </c>
      <c r="E264" s="615"/>
      <c r="F264" s="615"/>
      <c r="G264" s="615"/>
      <c r="H264" s="615"/>
      <c r="I264" s="615"/>
      <c r="J264" s="615"/>
      <c r="K264" s="1692">
        <f t="shared" ref="K264:K269" si="22">D264</f>
        <v>8232</v>
      </c>
      <c r="L264" s="466">
        <v>4750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35132</v>
      </c>
      <c r="E266" s="615"/>
      <c r="F266" s="615"/>
      <c r="G266" s="615"/>
      <c r="H266" s="615"/>
      <c r="I266" s="615"/>
      <c r="J266" s="615"/>
      <c r="K266" s="1692">
        <f t="shared" si="22"/>
        <v>35132</v>
      </c>
      <c r="L266" s="466">
        <v>33000</v>
      </c>
    </row>
    <row r="267" spans="1:14" x14ac:dyDescent="0.2">
      <c r="A267" s="1524" t="s">
        <v>1010</v>
      </c>
      <c r="B267" s="613">
        <v>2550</v>
      </c>
      <c r="C267" s="615"/>
      <c r="D267" s="466">
        <v>1014</v>
      </c>
      <c r="E267" s="615"/>
      <c r="F267" s="615"/>
      <c r="G267" s="615"/>
      <c r="H267" s="615"/>
      <c r="I267" s="615"/>
      <c r="J267" s="615"/>
      <c r="K267" s="1692">
        <f t="shared" si="22"/>
        <v>1014</v>
      </c>
      <c r="L267" s="466">
        <v>3500</v>
      </c>
    </row>
    <row r="268" spans="1:14" x14ac:dyDescent="0.2">
      <c r="A268" s="1524" t="s">
        <v>102</v>
      </c>
      <c r="B268" s="613">
        <v>2560</v>
      </c>
      <c r="C268" s="615"/>
      <c r="D268" s="466">
        <v>14815</v>
      </c>
      <c r="E268" s="615"/>
      <c r="F268" s="615"/>
      <c r="G268" s="615"/>
      <c r="H268" s="615"/>
      <c r="I268" s="615"/>
      <c r="J268" s="615"/>
      <c r="K268" s="1692">
        <f t="shared" si="22"/>
        <v>14815</v>
      </c>
      <c r="L268" s="466">
        <v>14500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59193</v>
      </c>
      <c r="E270" s="615"/>
      <c r="F270" s="615"/>
      <c r="G270" s="615"/>
      <c r="H270" s="615"/>
      <c r="I270" s="615"/>
      <c r="J270" s="615"/>
      <c r="K270" s="1690">
        <f>SUM(K263:K269)</f>
        <v>59193</v>
      </c>
      <c r="L270" s="1690">
        <f>SUM(L263:L269)</f>
        <v>55750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110</v>
      </c>
      <c r="E275" s="615"/>
      <c r="F275" s="615"/>
      <c r="G275" s="615"/>
      <c r="H275" s="615"/>
      <c r="I275" s="615"/>
      <c r="J275" s="615"/>
      <c r="K275" s="1692">
        <f>D275</f>
        <v>110</v>
      </c>
      <c r="L275" s="466">
        <v>0</v>
      </c>
    </row>
    <row r="276" spans="1:12" x14ac:dyDescent="0.2">
      <c r="A276" s="1524" t="s">
        <v>424</v>
      </c>
      <c r="B276" s="613">
        <v>2660</v>
      </c>
      <c r="C276" s="615"/>
      <c r="D276" s="466">
        <v>16128</v>
      </c>
      <c r="E276" s="615"/>
      <c r="F276" s="615"/>
      <c r="G276" s="615"/>
      <c r="H276" s="615"/>
      <c r="I276" s="615"/>
      <c r="J276" s="615"/>
      <c r="K276" s="1692">
        <f>D276</f>
        <v>16128</v>
      </c>
      <c r="L276" s="466">
        <v>7400</v>
      </c>
    </row>
    <row r="277" spans="1:12" ht="12.75" customHeight="1" thickBot="1" x14ac:dyDescent="0.25">
      <c r="A277" s="1711" t="s">
        <v>37</v>
      </c>
      <c r="B277" s="1689" t="s">
        <v>36</v>
      </c>
      <c r="C277" s="615"/>
      <c r="D277" s="1690">
        <f>SUM(D272:D276)</f>
        <v>16238</v>
      </c>
      <c r="E277" s="615"/>
      <c r="F277" s="615"/>
      <c r="G277" s="615"/>
      <c r="H277" s="615"/>
      <c r="I277" s="615"/>
      <c r="J277" s="615"/>
      <c r="K277" s="1690">
        <f>SUM(K272:K276)</f>
        <v>16238</v>
      </c>
      <c r="L277" s="1690">
        <f>SUM(L272:L276)</f>
        <v>7400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114297</v>
      </c>
      <c r="E279" s="615"/>
      <c r="F279" s="615"/>
      <c r="G279" s="615"/>
      <c r="H279" s="615"/>
      <c r="I279" s="615"/>
      <c r="J279" s="615"/>
      <c r="K279" s="1697">
        <f>SUM(K238,K243,K257,K261,K270,K277,K278)</f>
        <v>114297</v>
      </c>
      <c r="L279" s="1697">
        <f>SUM(L238,L243,L257,L261,L270,L277,L278)</f>
        <v>108325</v>
      </c>
    </row>
    <row r="280" spans="1:12" ht="15.75" customHeight="1" thickTop="1" thickBot="1" x14ac:dyDescent="0.25">
      <c r="A280" s="1644" t="s">
        <v>930</v>
      </c>
      <c r="B280" s="1633">
        <v>3000</v>
      </c>
      <c r="C280" s="615"/>
      <c r="D280" s="574">
        <v>14</v>
      </c>
      <c r="E280" s="615"/>
      <c r="F280" s="615"/>
      <c r="G280" s="615"/>
      <c r="H280" s="615"/>
      <c r="I280" s="615"/>
      <c r="J280" s="615"/>
      <c r="K280" s="1699">
        <f>D280</f>
        <v>14</v>
      </c>
      <c r="L280" s="574">
        <v>75</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200" t="s">
        <v>526</v>
      </c>
      <c r="B295" s="2201"/>
      <c r="C295" s="615"/>
      <c r="D295" s="1690">
        <f>SUM(D229,D279,D280,D285)</f>
        <v>197772</v>
      </c>
      <c r="E295" s="615"/>
      <c r="F295" s="615"/>
      <c r="G295" s="615"/>
      <c r="H295" s="1690">
        <f>H293</f>
        <v>0</v>
      </c>
      <c r="I295" s="615"/>
      <c r="J295" s="615"/>
      <c r="K295" s="1690">
        <f>SUM(K229,K279,K280,K285,K293,K294)</f>
        <v>197772</v>
      </c>
      <c r="L295" s="1690">
        <f>SUM(L229,L279,L280,L285,L293,L294)</f>
        <v>185900</v>
      </c>
    </row>
    <row r="296" spans="1:14" ht="13.5" thickTop="1" x14ac:dyDescent="0.2">
      <c r="A296" s="2209" t="s">
        <v>1053</v>
      </c>
      <c r="B296" s="2210"/>
      <c r="C296" s="615"/>
      <c r="D296" s="617"/>
      <c r="E296" s="615"/>
      <c r="F296" s="615"/>
      <c r="G296" s="615"/>
      <c r="H296" s="686"/>
      <c r="I296" s="615"/>
      <c r="J296" s="615"/>
      <c r="K296" s="1704">
        <f>'Revenues 9-14'!G275-'Expenditures 15-22'!K295</f>
        <v>-30840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92" t="s">
        <v>145</v>
      </c>
      <c r="B298" s="2186"/>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27796</v>
      </c>
      <c r="F301" s="466">
        <v>0</v>
      </c>
      <c r="G301" s="466">
        <v>0</v>
      </c>
      <c r="H301" s="466">
        <v>0</v>
      </c>
      <c r="I301" s="467">
        <v>0</v>
      </c>
      <c r="J301" s="467">
        <v>0</v>
      </c>
      <c r="K301" s="1691">
        <f>SUM(C301:J301)</f>
        <v>27796</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27796</v>
      </c>
      <c r="F303" s="1697">
        <f t="shared" si="23"/>
        <v>0</v>
      </c>
      <c r="G303" s="1697">
        <f t="shared" si="23"/>
        <v>0</v>
      </c>
      <c r="H303" s="1697">
        <f t="shared" si="23"/>
        <v>0</v>
      </c>
      <c r="I303" s="1697">
        <f t="shared" si="23"/>
        <v>0</v>
      </c>
      <c r="J303" s="1697">
        <f t="shared" si="23"/>
        <v>0</v>
      </c>
      <c r="K303" s="1697">
        <f t="shared" si="23"/>
        <v>27796</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7" t="s">
        <v>295</v>
      </c>
      <c r="B312" s="2198"/>
      <c r="C312" s="1690">
        <f>SUM(C303)</f>
        <v>0</v>
      </c>
      <c r="D312" s="1690">
        <f>SUM(D303)</f>
        <v>0</v>
      </c>
      <c r="E312" s="1690">
        <f>SUM(E303,E310)</f>
        <v>27796</v>
      </c>
      <c r="F312" s="1690">
        <f>SUM(F303)</f>
        <v>0</v>
      </c>
      <c r="G312" s="1690">
        <f>SUM(G303)</f>
        <v>0</v>
      </c>
      <c r="H312" s="1690">
        <f>SUM(H303,H310)</f>
        <v>0</v>
      </c>
      <c r="I312" s="1690">
        <f>SUM(I303)</f>
        <v>0</v>
      </c>
      <c r="J312" s="1690">
        <f>SUM(J303)</f>
        <v>0</v>
      </c>
      <c r="K312" s="1690">
        <f>SUM(K303,K310,K311)</f>
        <v>27796</v>
      </c>
      <c r="L312" s="1690">
        <f>SUM(L303,L310,L311)</f>
        <v>0</v>
      </c>
      <c r="M312" s="664"/>
      <c r="N312" s="664"/>
    </row>
    <row r="313" spans="1:14" ht="13.5" thickTop="1" x14ac:dyDescent="0.2">
      <c r="A313" s="2193" t="s">
        <v>1053</v>
      </c>
      <c r="B313" s="2194"/>
      <c r="C313" s="625"/>
      <c r="D313" s="625"/>
      <c r="E313" s="625"/>
      <c r="F313" s="625"/>
      <c r="G313" s="625"/>
      <c r="H313" s="625"/>
      <c r="I313" s="625"/>
      <c r="J313" s="625"/>
      <c r="K313" s="1705">
        <f>'Revenues 9-14'!H275-'Expenditures 15-22'!K312</f>
        <v>271336</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6" t="s">
        <v>151</v>
      </c>
      <c r="B315" s="2207"/>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8" t="s">
        <v>954</v>
      </c>
      <c r="B317" s="2207"/>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1020</v>
      </c>
      <c r="F320" s="467">
        <v>0</v>
      </c>
      <c r="G320" s="467">
        <v>0</v>
      </c>
      <c r="H320" s="467">
        <v>0</v>
      </c>
      <c r="I320" s="467">
        <v>0</v>
      </c>
      <c r="J320" s="467">
        <v>0</v>
      </c>
      <c r="K320" s="1691">
        <f t="shared" ref="K320:K327" si="24">SUM(C320:J320)</f>
        <v>1020</v>
      </c>
      <c r="L320" s="467">
        <v>65000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2500</v>
      </c>
      <c r="M321" s="664"/>
      <c r="N321" s="664"/>
    </row>
    <row r="322" spans="1:14" s="673" customFormat="1" x14ac:dyDescent="0.2">
      <c r="A322" s="1539" t="s">
        <v>256</v>
      </c>
      <c r="B322" s="696" t="s">
        <v>302</v>
      </c>
      <c r="C322" s="467">
        <v>0</v>
      </c>
      <c r="D322" s="467">
        <v>0</v>
      </c>
      <c r="E322" s="467">
        <v>65019</v>
      </c>
      <c r="F322" s="467">
        <v>0</v>
      </c>
      <c r="G322" s="467">
        <v>0</v>
      </c>
      <c r="H322" s="467">
        <v>0</v>
      </c>
      <c r="I322" s="467">
        <v>0</v>
      </c>
      <c r="J322" s="467">
        <v>0</v>
      </c>
      <c r="K322" s="1691">
        <f t="shared" si="24"/>
        <v>65019</v>
      </c>
      <c r="L322" s="467">
        <v>62500</v>
      </c>
      <c r="M322" s="664"/>
      <c r="N322" s="664"/>
    </row>
    <row r="323" spans="1:14" s="673" customFormat="1" x14ac:dyDescent="0.2">
      <c r="A323" s="1539" t="s">
        <v>726</v>
      </c>
      <c r="B323" s="696" t="s">
        <v>303</v>
      </c>
      <c r="C323" s="467">
        <v>0</v>
      </c>
      <c r="D323" s="467">
        <v>0</v>
      </c>
      <c r="E323" s="467">
        <v>6219</v>
      </c>
      <c r="F323" s="467">
        <v>0</v>
      </c>
      <c r="G323" s="467">
        <v>0</v>
      </c>
      <c r="H323" s="467">
        <v>0</v>
      </c>
      <c r="I323" s="467">
        <v>0</v>
      </c>
      <c r="J323" s="467">
        <v>0</v>
      </c>
      <c r="K323" s="1691">
        <f t="shared" si="24"/>
        <v>6219</v>
      </c>
      <c r="L323" s="467">
        <v>9350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80069</v>
      </c>
      <c r="D325" s="467">
        <v>14065</v>
      </c>
      <c r="E325" s="467">
        <v>0</v>
      </c>
      <c r="F325" s="467">
        <v>0</v>
      </c>
      <c r="G325" s="467">
        <v>0</v>
      </c>
      <c r="H325" s="467">
        <v>0</v>
      </c>
      <c r="I325" s="467">
        <v>0</v>
      </c>
      <c r="J325" s="467">
        <v>0</v>
      </c>
      <c r="K325" s="1691">
        <f t="shared" si="24"/>
        <v>94134</v>
      </c>
      <c r="L325" s="467">
        <v>145000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73760</v>
      </c>
      <c r="F327" s="467">
        <v>0</v>
      </c>
      <c r="G327" s="467">
        <v>0</v>
      </c>
      <c r="H327" s="467">
        <v>0</v>
      </c>
      <c r="I327" s="467">
        <v>0</v>
      </c>
      <c r="J327" s="467">
        <v>0</v>
      </c>
      <c r="K327" s="1691">
        <f t="shared" si="24"/>
        <v>73760</v>
      </c>
      <c r="L327" s="467">
        <v>15000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80069</v>
      </c>
      <c r="D330" s="1690">
        <f t="shared" ref="D330:J330" si="25">SUM(D319:D329)</f>
        <v>14065</v>
      </c>
      <c r="E330" s="1690">
        <f t="shared" si="25"/>
        <v>146018</v>
      </c>
      <c r="F330" s="1690">
        <f t="shared" si="25"/>
        <v>0</v>
      </c>
      <c r="G330" s="1690">
        <f t="shared" si="25"/>
        <v>0</v>
      </c>
      <c r="H330" s="1690">
        <f t="shared" si="25"/>
        <v>0</v>
      </c>
      <c r="I330" s="1690">
        <f t="shared" si="25"/>
        <v>0</v>
      </c>
      <c r="J330" s="1690">
        <f t="shared" si="25"/>
        <v>0</v>
      </c>
      <c r="K330" s="1690">
        <f>SUM(K319:K329)</f>
        <v>240152</v>
      </c>
      <c r="L330" s="1690">
        <f>SUM(L319:L329)</f>
        <v>299350</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80069</v>
      </c>
      <c r="D342" s="1690">
        <f>SUM(D330)</f>
        <v>14065</v>
      </c>
      <c r="E342" s="1690">
        <f>SUM(E330)</f>
        <v>146018</v>
      </c>
      <c r="F342" s="1690">
        <f>SUM(F330)</f>
        <v>0</v>
      </c>
      <c r="G342" s="1690">
        <f>SUM(G330)</f>
        <v>0</v>
      </c>
      <c r="H342" s="1690">
        <f>SUM(H330,H334,H340)</f>
        <v>0</v>
      </c>
      <c r="I342" s="1690">
        <f>SUM(I330)</f>
        <v>0</v>
      </c>
      <c r="J342" s="1690">
        <f>SUM(J330)</f>
        <v>0</v>
      </c>
      <c r="K342" s="1690">
        <f>SUM(K330,K334,K340)</f>
        <v>240152</v>
      </c>
      <c r="L342" s="1697">
        <f>SUM(L330,L340,L341)</f>
        <v>299350</v>
      </c>
    </row>
    <row r="343" spans="1:14" ht="12.75" customHeight="1" thickTop="1" x14ac:dyDescent="0.2">
      <c r="A343" s="2195" t="s">
        <v>1053</v>
      </c>
      <c r="B343" s="2196"/>
      <c r="C343" s="615"/>
      <c r="D343" s="615"/>
      <c r="E343" s="615"/>
      <c r="F343" s="615"/>
      <c r="G343" s="615"/>
      <c r="H343" s="615"/>
      <c r="I343" s="615"/>
      <c r="J343" s="615"/>
      <c r="K343" s="1704">
        <f>'Revenues 9-14'!J275-'Expenditures 15-22'!K342</f>
        <v>68072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5" t="s">
        <v>1023</v>
      </c>
      <c r="B345" s="2186"/>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2462343</v>
      </c>
      <c r="H349" s="466">
        <v>0</v>
      </c>
      <c r="I349" s="467">
        <v>0</v>
      </c>
      <c r="J349" s="467">
        <v>0</v>
      </c>
      <c r="K349" s="1691">
        <f>SUM(C349:J349)</f>
        <v>2462343</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2462343</v>
      </c>
      <c r="H350" s="1690">
        <f t="shared" si="26"/>
        <v>0</v>
      </c>
      <c r="I350" s="1690">
        <f t="shared" si="26"/>
        <v>0</v>
      </c>
      <c r="J350" s="1690">
        <f t="shared" si="26"/>
        <v>0</v>
      </c>
      <c r="K350" s="1690">
        <f t="shared" si="26"/>
        <v>2462343</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2462343</v>
      </c>
      <c r="H352" s="1690">
        <f t="shared" si="27"/>
        <v>0</v>
      </c>
      <c r="I352" s="1690">
        <f t="shared" si="27"/>
        <v>0</v>
      </c>
      <c r="J352" s="1690">
        <f t="shared" si="27"/>
        <v>0</v>
      </c>
      <c r="K352" s="1690">
        <f t="shared" si="27"/>
        <v>2462343</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2462343</v>
      </c>
      <c r="H367" s="1690">
        <f t="shared" si="28"/>
        <v>0</v>
      </c>
      <c r="I367" s="1690">
        <f t="shared" si="28"/>
        <v>0</v>
      </c>
      <c r="J367" s="1690">
        <f t="shared" si="28"/>
        <v>0</v>
      </c>
      <c r="K367" s="1690">
        <f t="shared" si="28"/>
        <v>2462343</v>
      </c>
      <c r="L367" s="1690">
        <f t="shared" si="28"/>
        <v>0</v>
      </c>
    </row>
    <row r="368" spans="1:14" ht="13.5" thickTop="1" x14ac:dyDescent="0.2">
      <c r="A368" s="2209" t="s">
        <v>1053</v>
      </c>
      <c r="B368" s="2210"/>
      <c r="C368" s="653"/>
      <c r="D368" s="653"/>
      <c r="E368" s="625"/>
      <c r="F368" s="625"/>
      <c r="G368" s="625"/>
      <c r="H368" s="625"/>
      <c r="I368" s="625"/>
      <c r="J368" s="622"/>
      <c r="K368" s="1691">
        <f>'Revenues 9-14'!K275-'Expenditures 15-22'!K367</f>
        <v>-2357231</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schemas.microsoft.com/office/2006/metadata/properties"/>
    <ds:schemaRef ds:uri="http://schemas.microsoft.com/office/2006/documentManagement/types"/>
    <ds:schemaRef ds:uri="d21dc803-237d-4c68-8692-8d731fd29118"/>
    <ds:schemaRef ds:uri="http://schemas.microsoft.com/office/infopath/2007/PartnerControls"/>
    <ds:schemaRef ds:uri="6ce3111e-7420-4802-b50a-75d4e9a0b980"/>
    <ds:schemaRef ds:uri="http://purl.org/dc/elements/1.1/"/>
    <ds:schemaRef ds:uri="4d435f69-8686-490b-bd6d-b153bf22ab50"/>
    <ds:schemaRef ds:uri="http://schemas.openxmlformats.org/package/2006/metadata/core-properti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Finding 2018-001</vt:lpstr>
      <vt:lpstr>Finding 2018-002</vt:lpstr>
      <vt:lpstr>Finding 2018-003</vt:lpstr>
      <vt:lpstr>Finding 2018-004</vt:lpstr>
      <vt:lpstr>Finding 2018-005</vt:lpstr>
      <vt:lpstr>Finding 2018-006</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2018-10-08T16:12:14Z</cp:lastPrinted>
  <dcterms:created xsi:type="dcterms:W3CDTF">2003-10-29T19:06:34Z</dcterms:created>
  <dcterms:modified xsi:type="dcterms:W3CDTF">2018-10-24T20:18:57Z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