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775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SPAF" sheetId="177" r:id="rId32"/>
    <sheet name="SF&amp;QC Sec-3" sheetId="176"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1">#REF!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1">#REF!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1">#REF!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1">#REF!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1">#REF!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181" l="1"/>
  <c r="F20" i="181"/>
  <c r="G20" i="181"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28" i="181"/>
  <c r="G128" i="181" s="1"/>
  <c r="E128" i="181"/>
  <c r="F127" i="181"/>
  <c r="G127" i="181" s="1"/>
  <c r="E127" i="181"/>
  <c r="F126" i="181"/>
  <c r="G126" i="181" s="1"/>
  <c r="E126" i="181"/>
  <c r="F125" i="181"/>
  <c r="G125" i="181" s="1"/>
  <c r="E125" i="181"/>
  <c r="F124" i="181"/>
  <c r="G124" i="181" s="1"/>
  <c r="E124" i="181"/>
  <c r="F123" i="181"/>
  <c r="G123" i="181" s="1"/>
  <c r="E123" i="181"/>
  <c r="F122" i="181"/>
  <c r="G122" i="181" s="1"/>
  <c r="E122" i="181"/>
  <c r="E121" i="181"/>
  <c r="F121" i="181" s="1"/>
  <c r="G121" i="181" s="1"/>
  <c r="F120" i="181"/>
  <c r="G120" i="181" s="1"/>
  <c r="E120" i="181"/>
  <c r="F119" i="181"/>
  <c r="G119" i="181" s="1"/>
  <c r="E119" i="181"/>
  <c r="F118" i="181"/>
  <c r="G118" i="181" s="1"/>
  <c r="E118" i="181"/>
  <c r="F117" i="181"/>
  <c r="G117" i="181" s="1"/>
  <c r="E117" i="181"/>
  <c r="E116" i="181"/>
  <c r="F116" i="181" s="1"/>
  <c r="G116" i="181" s="1"/>
  <c r="F115" i="181"/>
  <c r="G115" i="181" s="1"/>
  <c r="E115" i="181"/>
  <c r="F114" i="181"/>
  <c r="G114" i="181" s="1"/>
  <c r="E114" i="181"/>
  <c r="F113" i="181"/>
  <c r="G113" i="181" s="1"/>
  <c r="E113" i="181"/>
  <c r="E112" i="181"/>
  <c r="F112" i="181" s="1"/>
  <c r="G112" i="181" s="1"/>
  <c r="F111" i="181"/>
  <c r="G111" i="181" s="1"/>
  <c r="E111" i="181"/>
  <c r="F110" i="181"/>
  <c r="G110" i="181" s="1"/>
  <c r="E110" i="181"/>
  <c r="F109" i="181"/>
  <c r="G109" i="181" s="1"/>
  <c r="E109" i="181"/>
  <c r="F108" i="181"/>
  <c r="G108" i="181" s="1"/>
  <c r="E108" i="181"/>
  <c r="F107" i="181"/>
  <c r="G107" i="181" s="1"/>
  <c r="E107" i="181"/>
  <c r="F106" i="181"/>
  <c r="G106" i="181" s="1"/>
  <c r="E106" i="181"/>
  <c r="F105" i="181"/>
  <c r="G105" i="181" s="1"/>
  <c r="E105" i="181"/>
  <c r="F104" i="181"/>
  <c r="G104" i="181" s="1"/>
  <c r="E104" i="181"/>
  <c r="E103" i="181"/>
  <c r="F103" i="181" s="1"/>
  <c r="G103" i="181" s="1"/>
  <c r="F102" i="181"/>
  <c r="G102" i="181" s="1"/>
  <c r="E102" i="181"/>
  <c r="F101" i="181"/>
  <c r="G101" i="181" s="1"/>
  <c r="E101" i="181"/>
  <c r="F100" i="181"/>
  <c r="G100" i="181" s="1"/>
  <c r="E100" i="181"/>
  <c r="E99" i="181"/>
  <c r="F99" i="181" s="1"/>
  <c r="G99" i="181" s="1"/>
  <c r="F98" i="181"/>
  <c r="G98" i="181" s="1"/>
  <c r="E98" i="181"/>
  <c r="F97" i="181"/>
  <c r="G97" i="181" s="1"/>
  <c r="E97" i="181"/>
  <c r="F96" i="181"/>
  <c r="G96" i="181" s="1"/>
  <c r="E96" i="181"/>
  <c r="F95" i="181"/>
  <c r="G95" i="181" s="1"/>
  <c r="E95" i="181"/>
  <c r="F94" i="181"/>
  <c r="G94" i="181" s="1"/>
  <c r="E94" i="181"/>
  <c r="F93" i="181"/>
  <c r="G93" i="181" s="1"/>
  <c r="E93" i="181"/>
  <c r="F88" i="181"/>
  <c r="G88" i="181" s="1"/>
  <c r="E88" i="181"/>
  <c r="F92" i="181"/>
  <c r="G92" i="181" s="1"/>
  <c r="E92" i="181"/>
  <c r="E91" i="181"/>
  <c r="F91" i="181" s="1"/>
  <c r="G91" i="181" s="1"/>
  <c r="F90" i="181"/>
  <c r="G90" i="181" s="1"/>
  <c r="E90" i="181"/>
  <c r="E89" i="181"/>
  <c r="F89" i="181" s="1"/>
  <c r="G89" i="181" s="1"/>
  <c r="F87" i="181"/>
  <c r="G87" i="181" s="1"/>
  <c r="E87" i="181"/>
  <c r="E86" i="181"/>
  <c r="F86" i="181" s="1"/>
  <c r="G86" i="181" s="1"/>
  <c r="F85" i="181"/>
  <c r="G85" i="181" s="1"/>
  <c r="E85" i="181"/>
  <c r="E84" i="181"/>
  <c r="F84" i="181" s="1"/>
  <c r="G84" i="181" s="1"/>
  <c r="F82" i="181"/>
  <c r="G82" i="181" s="1"/>
  <c r="E82" i="181"/>
  <c r="F81" i="181"/>
  <c r="G81" i="181" s="1"/>
  <c r="E81" i="181"/>
  <c r="E80" i="181"/>
  <c r="F80" i="181" s="1"/>
  <c r="G80" i="181" s="1"/>
  <c r="F79" i="181"/>
  <c r="G79" i="181" s="1"/>
  <c r="E79" i="181"/>
  <c r="F78" i="181"/>
  <c r="G78" i="181" s="1"/>
  <c r="E78" i="181"/>
  <c r="E77" i="181"/>
  <c r="F77" i="181" s="1"/>
  <c r="G77" i="181" s="1"/>
  <c r="F76" i="181"/>
  <c r="G76" i="181" s="1"/>
  <c r="E76" i="181"/>
  <c r="E75" i="181"/>
  <c r="F75" i="181" s="1"/>
  <c r="G75" i="181" s="1"/>
  <c r="F73" i="181"/>
  <c r="G73" i="181" s="1"/>
  <c r="E73" i="181"/>
  <c r="F72" i="181"/>
  <c r="G72" i="181" s="1"/>
  <c r="E72" i="181"/>
  <c r="F71" i="181"/>
  <c r="G71" i="181" s="1"/>
  <c r="E71" i="181"/>
  <c r="F70" i="181"/>
  <c r="G70" i="181" s="1"/>
  <c r="E70" i="181"/>
  <c r="F69" i="181"/>
  <c r="G69" i="181" s="1"/>
  <c r="E69" i="181"/>
  <c r="F68" i="181"/>
  <c r="G68" i="181" s="1"/>
  <c r="E68" i="181"/>
  <c r="F67" i="181"/>
  <c r="G67" i="181" s="1"/>
  <c r="E67" i="181"/>
  <c r="F66" i="181"/>
  <c r="G66" i="181" s="1"/>
  <c r="E66" i="181"/>
  <c r="F65" i="181"/>
  <c r="G65" i="181" s="1"/>
  <c r="E65" i="181"/>
  <c r="E64" i="181"/>
  <c r="F64" i="181" s="1"/>
  <c r="G64" i="181" s="1"/>
  <c r="F63" i="181"/>
  <c r="G63" i="181" s="1"/>
  <c r="E63" i="181"/>
  <c r="F62" i="181"/>
  <c r="G62" i="181" s="1"/>
  <c r="E62" i="181"/>
  <c r="F129" i="181"/>
  <c r="G129" i="181" s="1"/>
  <c r="E129" i="181"/>
  <c r="F83" i="181"/>
  <c r="G83" i="181" s="1"/>
  <c r="E83" i="181"/>
  <c r="F74" i="181"/>
  <c r="G74" i="181" s="1"/>
  <c r="E74" i="181"/>
  <c r="E61" i="181"/>
  <c r="F61" i="181" s="1"/>
  <c r="G61" i="181" s="1"/>
  <c r="F60" i="181"/>
  <c r="G60" i="181" s="1"/>
  <c r="E60" i="181"/>
  <c r="F59" i="181"/>
  <c r="G59" i="181" s="1"/>
  <c r="E59" i="181"/>
  <c r="F58" i="181"/>
  <c r="G58" i="181" s="1"/>
  <c r="E58" i="181"/>
  <c r="F57" i="181"/>
  <c r="G57" i="181" s="1"/>
  <c r="E57" i="181"/>
  <c r="F56" i="181"/>
  <c r="G56" i="181" s="1"/>
  <c r="E56" i="181"/>
  <c r="F55" i="181"/>
  <c r="G55" i="181" s="1"/>
  <c r="E55" i="181"/>
  <c r="E54" i="181"/>
  <c r="F54" i="181" s="1"/>
  <c r="G54" i="181" s="1"/>
  <c r="E53" i="181"/>
  <c r="F53" i="181" s="1"/>
  <c r="G53" i="181" s="1"/>
  <c r="F52" i="181"/>
  <c r="G52" i="181" s="1"/>
  <c r="E52" i="181"/>
  <c r="F51" i="181"/>
  <c r="G51" i="181" s="1"/>
  <c r="E51" i="181"/>
  <c r="F50" i="181"/>
  <c r="G50" i="181" s="1"/>
  <c r="E50" i="181"/>
  <c r="E49" i="181"/>
  <c r="F49" i="181" s="1"/>
  <c r="G49" i="181" s="1"/>
  <c r="F48" i="181"/>
  <c r="G48" i="181" s="1"/>
  <c r="E48" i="181"/>
  <c r="E47" i="181"/>
  <c r="F47" i="181" s="1"/>
  <c r="G47" i="181" s="1"/>
  <c r="F46" i="181"/>
  <c r="G46" i="181" s="1"/>
  <c r="E46" i="181"/>
  <c r="E45" i="181"/>
  <c r="F45" i="181" s="1"/>
  <c r="G45" i="181" s="1"/>
  <c r="F44" i="181"/>
  <c r="G44" i="181" s="1"/>
  <c r="E44" i="181"/>
  <c r="E43" i="181"/>
  <c r="F43" i="181" s="1"/>
  <c r="G43" i="181" s="1"/>
  <c r="F42" i="181"/>
  <c r="G42" i="181" s="1"/>
  <c r="E42" i="181"/>
  <c r="F41" i="181"/>
  <c r="G41" i="181" s="1"/>
  <c r="E41" i="181"/>
  <c r="F40" i="181"/>
  <c r="G40" i="181" s="1"/>
  <c r="E40" i="181"/>
  <c r="F39" i="181"/>
  <c r="G39" i="181" s="1"/>
  <c r="E39" i="181"/>
  <c r="F38" i="181"/>
  <c r="G38" i="181" s="1"/>
  <c r="E38" i="181"/>
  <c r="E37" i="181"/>
  <c r="F37" i="181" s="1"/>
  <c r="G37" i="181" s="1"/>
  <c r="F36" i="181"/>
  <c r="G36" i="181" s="1"/>
  <c r="E36" i="181"/>
  <c r="F35" i="181"/>
  <c r="G35" i="181" s="1"/>
  <c r="E35" i="181"/>
  <c r="F34" i="181"/>
  <c r="G34" i="181" s="1"/>
  <c r="E34" i="181"/>
  <c r="F33" i="181"/>
  <c r="G33" i="181" s="1"/>
  <c r="E33" i="181"/>
  <c r="E32" i="181"/>
  <c r="F32" i="181" s="1"/>
  <c r="G32" i="181" s="1"/>
  <c r="E31" i="181"/>
  <c r="F31" i="181" s="1"/>
  <c r="G31" i="181" s="1"/>
  <c r="F30" i="181"/>
  <c r="G30" i="181" s="1"/>
  <c r="E30" i="181"/>
  <c r="F29" i="181"/>
  <c r="G29" i="181" s="1"/>
  <c r="E29" i="181"/>
  <c r="F28" i="181"/>
  <c r="G28" i="181" s="1"/>
  <c r="E28" i="181"/>
  <c r="F27" i="181"/>
  <c r="G27" i="181" s="1"/>
  <c r="E27" i="181"/>
  <c r="E26" i="181"/>
  <c r="F26" i="181" s="1"/>
  <c r="G26" i="181" s="1"/>
  <c r="E25" i="181"/>
  <c r="F25" i="181" s="1"/>
  <c r="G25" i="181" s="1"/>
  <c r="F24" i="181"/>
  <c r="G24" i="181" s="1"/>
  <c r="E24" i="181"/>
  <c r="E23" i="181"/>
  <c r="F23" i="181" s="1"/>
  <c r="G23" i="181" s="1"/>
  <c r="E22" i="181"/>
  <c r="F22" i="181" s="1"/>
  <c r="G22" i="181" s="1"/>
  <c r="E21" i="181"/>
  <c r="F21" i="181" s="1"/>
  <c r="G21" i="181" s="1"/>
  <c r="E19" i="181"/>
  <c r="F19" i="181" s="1"/>
  <c r="G19" i="181" s="1"/>
  <c r="E18" i="181"/>
  <c r="F18" i="181" s="1"/>
  <c r="G18" i="181" s="1"/>
  <c r="E17" i="181"/>
  <c r="F17" i="181" s="1"/>
  <c r="G17" i="181" s="1"/>
  <c r="D130" i="181" l="1"/>
  <c r="D80" i="36" l="1"/>
  <c r="B7797" i="106"/>
  <c r="E130" i="181"/>
  <c r="E16" i="181"/>
  <c r="F16" i="181" s="1"/>
  <c r="G16" i="181" s="1"/>
  <c r="G130" i="181" l="1"/>
  <c r="G40" i="108" l="1"/>
  <c r="B7799" i="106"/>
  <c r="F1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K24" i="12" s="1"/>
  <c r="B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J22" i="37"/>
  <c r="F49" i="34" l="1"/>
  <c r="F35" i="34"/>
  <c r="F45" i="34"/>
  <c r="F41" i="34"/>
  <c r="H33" i="118"/>
  <c r="D11" i="37"/>
  <c r="D31" i="36"/>
  <c r="I210" i="29"/>
  <c r="B7071" i="106" s="1"/>
  <c r="D7071" i="106" s="1"/>
  <c r="H29" i="118"/>
  <c r="K28" i="118" s="1"/>
  <c r="O27" i="118" s="1"/>
  <c r="O29" i="118" s="1"/>
  <c r="F69" i="34"/>
  <c r="N22" i="3"/>
  <c r="B283" i="106" s="1"/>
  <c r="D283" i="106" s="1"/>
  <c r="F38" i="34"/>
  <c r="F72" i="34"/>
  <c r="F27" i="108"/>
  <c r="F26" i="108"/>
  <c r="D26" i="108"/>
  <c r="J210" i="29"/>
  <c r="B7072" i="106" s="1"/>
  <c r="D7072" i="106" s="1"/>
  <c r="B1126" i="106"/>
  <c r="D1126" i="106" s="1"/>
  <c r="L15" i="11"/>
  <c r="B3459" i="106" s="1"/>
  <c r="D3459" i="106" s="1"/>
  <c r="B1746" i="106"/>
  <c r="D1746" i="106" s="1"/>
  <c r="D6103" i="106"/>
  <c r="H28" i="118"/>
  <c r="F46" i="34"/>
  <c r="I24" i="12"/>
  <c r="I26" i="12" s="1"/>
  <c r="B7741" i="106" s="1"/>
  <c r="D7741" i="106" s="1"/>
  <c r="F131" i="34"/>
  <c r="F50" i="34"/>
  <c r="F42" i="34"/>
  <c r="F36" i="108"/>
  <c r="D5" i="4"/>
  <c r="B3406" i="106" s="1"/>
  <c r="D3406" i="106" s="1"/>
  <c r="G172" i="5"/>
  <c r="B5770" i="106" s="1"/>
  <c r="D5770" i="106" s="1"/>
  <c r="G33" i="108"/>
  <c r="D13" i="7"/>
  <c r="B3726" i="106" s="1"/>
  <c r="D3726" i="106" s="1"/>
  <c r="D24" i="37"/>
  <c r="B4270" i="106" s="1"/>
  <c r="D4270" i="106" s="1"/>
  <c r="F70" i="34"/>
  <c r="D22" i="37"/>
  <c r="D36" i="108"/>
  <c r="F21" i="8"/>
  <c r="B1879" i="106" s="1"/>
  <c r="D1879" i="106" s="1"/>
  <c r="L5" i="11"/>
  <c r="B2056" i="106" s="1"/>
  <c r="D2056" i="106" s="1"/>
  <c r="F68" i="34"/>
  <c r="D31" i="108"/>
  <c r="G35" i="108"/>
  <c r="E35" i="108"/>
  <c r="C129" i="29"/>
  <c r="C151" i="29" s="1"/>
  <c r="B1226" i="106" s="1"/>
  <c r="D1226"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F66" i="34" l="1"/>
  <c r="H22" i="37"/>
  <c r="J151" i="29"/>
  <c r="B7052" i="106" s="1"/>
  <c r="D7052" i="106" s="1"/>
  <c r="J24" i="12"/>
  <c r="J26" i="12" s="1"/>
  <c r="B7742" i="106" s="1"/>
  <c r="D7742" i="106" s="1"/>
  <c r="I7" i="4"/>
  <c r="B4444" i="106" s="1"/>
  <c r="D4444" i="106" s="1"/>
  <c r="B1996" i="106"/>
  <c r="D1996" i="106" s="1"/>
  <c r="D41" i="108"/>
  <c r="E43" i="108" s="1"/>
  <c r="H77" i="4"/>
  <c r="B3299" i="106" s="1"/>
  <c r="D3299" i="106" s="1"/>
  <c r="D7250" i="106"/>
  <c r="D7256" i="106"/>
  <c r="I6" i="4"/>
  <c r="B5011" i="106" s="1"/>
  <c r="D5011" i="106" s="1"/>
  <c r="B1225" i="106"/>
  <c r="D1225" i="106" s="1"/>
  <c r="D7251" i="106"/>
  <c r="D7253" i="106"/>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D34" i="36" l="1"/>
  <c r="B3411" i="106"/>
  <c r="D3411" i="106" s="1"/>
  <c r="C13" i="3"/>
  <c r="H24" i="118"/>
  <c r="K24" i="118" s="1"/>
  <c r="O23" i="118" s="1"/>
  <c r="O25" i="118" s="1"/>
  <c r="O35" i="118" s="1"/>
  <c r="O37" i="118" s="1"/>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<sst xmlns="http://schemas.openxmlformats.org/spreadsheetml/2006/main" count="5082" uniqueCount="2147">
  <si>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</si>
  <si>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</si>
  <si>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</si>
  <si>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</si>
  <si>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</si>
  <si>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</si>
  <si>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</si>
  <si>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</si>
  <si>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</si>
  <si>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</si>
  <si>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</si>
  <si>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</si>
  <si>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</si>
  <si>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</si>
  <si>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</si>
  <si>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</si>
  <si>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</si>
  <si>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</si>
  <si>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</si>
  <si>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</si>
  <si>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</si>
  <si>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</si>
  <si>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</si>
  <si>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</si>
  <si>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</si>
  <si>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</si>
  <si>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</si>
  <si>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</si>
  <si>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</si>
  <si>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</si>
  <si>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</si>
  <si>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</si>
  <si>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</si>
  <si>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</si>
  <si>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</si>
  <si>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</si>
  <si>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</si>
  <si>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</si>
  <si>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</si>
  <si>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</si>
  <si>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</si>
  <si>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</si>
  <si>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</si>
  <si>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</si>
  <si>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</si>
  <si>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</si>
  <si>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</si>
  <si>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</si>
  <si>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</si>
  <si>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</si>
  <si>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</si>
  <si>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</si>
  <si>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</si>
  <si>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</si>
  <si>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</si>
  <si>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</si>
  <si>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</si>
  <si>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</si>
  <si>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</si>
  <si>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</si>
  <si>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</si>
  <si>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</si>
  <si>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</si>
  <si>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</si>
  <si>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</si>
  <si>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</si>
  <si>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</si>
  <si>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</si>
  <si>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</si>
  <si>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</si>
  <si>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</si>
  <si>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</si>
  <si>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</si>
  <si>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</si>
  <si>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</si>
  <si>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</si>
  <si>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</si>
  <si>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</si>
  <si>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</si>
  <si>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</si>
  <si>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</si>
  <si>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</si>
  <si>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</si>
  <si>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</si>
  <si>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</si>
  <si>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</si>
  <si>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</si>
  <si>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</si>
  <si>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</si>
  <si>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</si>
  <si>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</si>
  <si>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</si>
  <si>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</si>
  <si>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</si>
  <si>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</si>
  <si>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</si>
  <si>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</si>
  <si>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</si>
  <si>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</si>
  <si>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</si>
  <si>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</si>
  <si>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</si>
  <si>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</si>
  <si>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</si>
  <si>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</si>
  <si>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</si>
  <si>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</si>
  <si>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</si>
  <si>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</si>
  <si>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</si>
  <si>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</si>
  <si>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</si>
  <si>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</si>
  <si>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</si>
  <si>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</si>
  <si>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</si>
  <si>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</si>
  <si>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</si>
  <si>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</si>
  <si>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</si>
  <si>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</si>
  <si>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</si>
  <si>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</si>
  <si>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</si>
  <si>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</si>
  <si>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</si>
  <si>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</si>
  <si>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</si>
  <si>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</si>
  <si>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</si>
  <si>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</si>
  <si>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</si>
  <si>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</si>
  <si>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</si>
  <si>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</si>
  <si>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</si>
  <si>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</si>
  <si>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</si>
  <si>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</si>
  <si>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</si>
  <si>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</si>
  <si>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</si>
  <si>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</si>
  <si>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</si>
  <si>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</si>
  <si>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</si>
  <si>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</si>
  <si>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</si>
  <si>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</si>
  <si>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</si>
  <si>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</si>
  <si>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</si>
  <si>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</si>
  <si>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</si>
  <si>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</si>
  <si>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</si>
  <si>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</si>
  <si>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</si>
  <si>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</si>
  <si>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</si>
  <si>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</si>
  <si>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</si>
  <si>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</si>
  <si>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</si>
  <si>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</si>
  <si>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</si>
  <si>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</si>
  <si>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</si>
  <si>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</si>
  <si>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</si>
  <si>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</si>
  <si>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</si>
  <si>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</si>
  <si>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</si>
  <si>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</si>
  <si>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</si>
  <si>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</si>
  <si>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</si>
  <si>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</si>
  <si>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</si>
  <si>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</si>
  <si>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</si>
  <si>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</si>
  <si>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</si>
  <si>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</si>
  <si>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</si>
  <si>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</si>
  <si>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</si>
  <si>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</si>
  <si>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</si>
  <si>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</si>
  <si>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</si>
  <si>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</si>
  <si>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</si>
  <si>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</si>
  <si>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</si>
  <si>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</si>
  <si>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</si>
  <si>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</si>
  <si>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</si>
  <si>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</si>
  <si>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</si>
  <si>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</si>
  <si>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</si>
  <si>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</si>
  <si>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</si>
  <si>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</si>
  <si>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</si>
  <si>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</si>
  <si>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</si>
  <si>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</si>
  <si>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</si>
  <si>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</si>
  <si>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</si>
  <si>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</si>
  <si>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</si>
  <si>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</si>
  <si>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</si>
  <si>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</si>
  <si>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</si>
  <si>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</si>
  <si>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</si>
  <si>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</si>
  <si>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</si>
  <si>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</si>
  <si>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</si>
  <si>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</si>
  <si>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</si>
  <si>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</si>
  <si>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</si>
  <si>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</si>
  <si>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</si>
  <si>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</si>
  <si>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</si>
  <si>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</si>
  <si>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</si>
  <si>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</si>
  <si>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</si>
  <si>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</si>
  <si>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</si>
  <si>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</si>
  <si>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</si>
  <si>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</si>
  <si>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</si>
  <si>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</si>
  <si>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</si>
  <si>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</si>
  <si>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</si>
  <si>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</si>
  <si>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</si>
  <si>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</si>
  <si>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</si>
  <si>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</si>
  <si>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</si>
  <si>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</si>
  <si>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</si>
  <si>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</si>
  <si>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</si>
  <si>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</si>
  <si>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</si>
  <si>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</si>
  <si>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</si>
  <si>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</si>
  <si>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</si>
  <si>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</si>
  <si>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</si>
  <si>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</si>
  <si>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</si>
  <si>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</si>
  <si>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</si>
  <si>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</si>
  <si>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</si>
  <si>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</si>
  <si>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</si>
  <si>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</si>
  <si>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</si>
  <si>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</si>
  <si>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</si>
  <si>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</si>
  <si>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</si>
  <si>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</si>
  <si>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</si>
  <si>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</si>
  <si>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</si>
  <si>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</si>
  <si>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</si>
  <si>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</si>
  <si>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</si>
  <si>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</si>
  <si>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</si>
  <si>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</si>
  <si>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</si>
  <si>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</si>
  <si>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</si>
  <si>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</si>
  <si>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</si>
  <si>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</si>
  <si>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</si>
  <si>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</si>
  <si>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</si>
  <si>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</si>
  <si>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</si>
  <si>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</si>
  <si>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</si>
  <si>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</si>
  <si>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</si>
  <si>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</si>
  <si>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</si>
  <si>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</si>
  <si>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</si>
  <si>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</si>
  <si>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</si>
  <si>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</si>
  <si>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</si>
  <si>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</si>
  <si>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</si>
  <si>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</si>
  <si>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</si>
  <si>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</si>
  <si>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</si>
  <si>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</si>
  <si>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</si>
  <si>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</si>
  <si>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</si>
  <si>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</si>
  <si>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</si>
  <si>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</si>
  <si>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</si>
  <si>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</si>
  <si>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</si>
  <si>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</si>
  <si>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</si>
  <si>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</si>
  <si>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</si>
  <si>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</si>
  <si>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</si>
  <si>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</si>
  <si>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</si>
  <si>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</si>
  <si>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</si>
  <si>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</si>
  <si>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</si>
  <si>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</si>
  <si>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</si>
  <si>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</si>
  <si>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</si>
  <si>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</si>
  <si>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</si>
  <si>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</si>
  <si>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</si>
  <si>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</si>
  <si>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</si>
  <si>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</si>
  <si>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</si>
  <si>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</si>
  <si>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</si>
  <si>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</si>
  <si>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</si>
  <si>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</si>
  <si>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</si>
  <si>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</si>
  <si>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</si>
  <si>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</si>
  <si>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</si>
  <si>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</si>
  <si>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</si>
  <si>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</si>
  <si>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</si>
  <si>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</si>
  <si>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</si>
  <si>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</si>
  <si>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</si>
  <si>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</si>
  <si>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</si>
  <si>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</si>
  <si>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</si>
  <si>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</si>
  <si>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</si>
  <si>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</si>
  <si>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</si>
  <si>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</si>
  <si>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</si>
  <si>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</si>
  <si>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</si>
  <si>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</si>
  <si>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</si>
  <si>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</si>
  <si>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</si>
  <si>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</si>
  <si>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</si>
  <si>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</si>
  <si>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</si>
  <si>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</si>
  <si>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</si>
  <si>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</si>
  <si>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</si>
  <si>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</si>
  <si>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</si>
  <si>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</si>
  <si>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</si>
  <si>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</si>
  <si>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</si>
  <si>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</si>
  <si>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</si>
  <si>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</si>
  <si>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</si>
  <si>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</si>
  <si>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</si>
  <si>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</si>
  <si>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</si>
  <si>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</si>
  <si>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</si>
  <si>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</si>
  <si>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</si>
  <si>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</si>
  <si>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</si>
  <si>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</si>
  <si>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</si>
  <si>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</si>
  <si>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</si>
  <si>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</si>
  <si>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</si>
  <si>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</si>
  <si>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</si>
  <si>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</si>
  <si>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</si>
  <si>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</si>
  <si>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</si>
  <si>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</si>
  <si>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</si>
  <si>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</si>
  <si>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</si>
  <si>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</si>
  <si>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</si>
  <si>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</si>
  <si>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</si>
  <si>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</si>
  <si>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</si>
  <si>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</si>
  <si>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</si>
  <si>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</si>
  <si>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</si>
  <si>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</si>
  <si>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</si>
  <si>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</si>
  <si>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</si>
  <si>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</si>
  <si>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</si>
  <si>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</si>
  <si>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</si>
  <si>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</si>
  <si>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</si>
  <si>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</si>
  <si>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</si>
  <si>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</si>
  <si>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</si>
  <si>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</si>
  <si>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</si>
  <si>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</si>
  <si>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</si>
  <si>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</si>
  <si>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</si>
  <si>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</si>
  <si>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</si>
  <si>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</si>
  <si>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</si>
  <si>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</si>
  <si>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</si>
  <si>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</si>
  <si>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</si>
  <si>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</si>
  <si>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</si>
  <si>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</si>
  <si>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</si>
  <si>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</si>
  <si>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</si>
  <si>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</si>
  <si>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</si>
  <si>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</si>
  <si>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</si>
  <si>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</si>
  <si>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</si>
  <si>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</si>
  <si>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</si>
  <si>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</si>
  <si>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</si>
  <si>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</si>
  <si>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</si>
  <si>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</si>
  <si>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</si>
  <si>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</si>
  <si>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</si>
  <si>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</si>
  <si>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</si>
  <si>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</si>
  <si>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</si>
  <si>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</si>
  <si>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</si>
  <si>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</si>
  <si>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</si>
  <si>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</si>
  <si>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</si>
  <si>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</si>
  <si>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</si>
  <si>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</si>
  <si>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</si>
  <si>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</si>
  <si>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</si>
  <si>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</si>
  <si>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</si>
  <si>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</si>
  <si>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</si>
  <si>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</si>
  <si>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</si>
  <si>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</si>
  <si>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</si>
  <si>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</si>
  <si>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</si>
  <si>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</si>
  <si>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</si>
  <si>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</si>
  <si>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</si>
  <si>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</si>
  <si>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</si>
  <si>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</si>
  <si>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</si>
  <si>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</si>
  <si>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</si>
  <si>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</si>
  <si>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</si>
  <si>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</si>
  <si>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</si>
  <si>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</si>
  <si>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</si>
  <si>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</si>
  <si>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</si>
  <si>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</si>
  <si>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</si>
  <si>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</si>
  <si>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</si>
  <si>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</si>
  <si>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</si>
  <si>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</si>
  <si>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</si>
  <si>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</si>
  <si>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</si>
  <si>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</si>
  <si>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</si>
  <si>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</si>
  <si>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</si>
  <si>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</si>
  <si>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</si>
  <si>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</si>
  <si>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</si>
  <si>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</si>
  <si>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</si>
  <si>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</si>
  <si>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</si>
  <si>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</si>
  <si>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</si>
  <si>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</si>
  <si>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</si>
  <si>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</si>
  <si>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</si>
  <si>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</si>
  <si>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</si>
  <si>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</si>
  <si>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</si>
  <si>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</si>
  <si>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</si>
  <si>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</si>
  <si>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</si>
  <si>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</si>
  <si>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</si>
  <si>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</si>
  <si>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</si>
  <si>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</si>
  <si>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</si>
  <si>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</si>
  <si>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</si>
  <si>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</si>
  <si>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</si>
  <si>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</si>
  <si>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</si>
  <si>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</si>
  <si>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</si>
  <si>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</si>
  <si>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</si>
  <si>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</si>
  <si>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</si>
  <si>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</si>
  <si>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</si>
  <si>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</si>
  <si>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</si>
  <si>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</si>
  <si>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</si>
  <si>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</si>
  <si>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</si>
  <si>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</si>
  <si>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</si>
  <si>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</si>
  <si>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</si>
  <si>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</si>
  <si>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</si>
  <si>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</si>
  <si>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</si>
  <si>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</si>
  <si>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</si>
  <si>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</si>
  <si>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</si>
  <si>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</si>
  <si>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</si>
  <si>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</si>
  <si>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</si>
  <si>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</si>
  <si>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</si>
  <si>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</si>
  <si>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</si>
  <si>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</si>
  <si>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</si>
  <si>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</si>
  <si>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</si>
  <si>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</si>
  <si>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</si>
  <si>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</si>
  <si>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</si>
  <si>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</si>
  <si>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</si>
  <si>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</si>
  <si>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</si>
  <si>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</si>
  <si>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</si>
  <si>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</si>
  <si>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</si>
  <si>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</si>
  <si>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</si>
  <si>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</si>
  <si>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</si>
  <si>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</si>
  <si>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</si>
  <si>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</si>
  <si>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</si>
  <si>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</si>
  <si>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</si>
  <si>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</si>
  <si>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</si>
  <si>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</si>
  <si>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</si>
  <si>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</si>
  <si>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</si>
  <si>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</si>
  <si>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</si>
  <si>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</si>
  <si>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</si>
  <si>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</si>
  <si>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</si>
  <si>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</si>
  <si>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</si>
  <si>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</si>
  <si>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</si>
  <si>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</si>
  <si>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</si>
  <si>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</si>
  <si>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</si>
  <si>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</si>
  <si>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</si>
  <si>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</si>
  <si>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</si>
  <si>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</si>
  <si>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</si>
  <si>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</si>
  <si>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</si>
  <si>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</si>
  <si>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</si>
  <si>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</si>
  <si>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</si>
  <si>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</si>
  <si>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</si>
  <si>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</si>
  <si>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</si>
  <si>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</si>
  <si>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</si>
  <si>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</si>
  <si>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</si>
  <si>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</si>
  <si>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</si>
  <si>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</si>
  <si>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</si>
  <si>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</si>
  <si>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</si>
  <si>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</si>
  <si>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</si>
  <si>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</si>
  <si>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</si>
  <si>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</si>
  <si>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</si>
  <si>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</si>
  <si>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</si>
  <si>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</si>
  <si>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</si>
  <si>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</si>
  <si>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</si>
  <si>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</si>
  <si>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</si>
  <si>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</si>
  <si>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</si>
  <si>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</si>
  <si>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</si>
  <si>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</si>
  <si>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</si>
  <si>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</si>
  <si>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</si>
  <si>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</si>
  <si>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</si>
  <si>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</si>
  <si>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</si>
  <si>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</si>
  <si>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</si>
  <si>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</si>
  <si>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</si>
  <si>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</si>
  <si>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</si>
  <si>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</si>
  <si>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</si>
  <si>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</si>
  <si>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</si>
  <si>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</si>
  <si>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</si>
  <si>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</si>
  <si>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</si>
  <si>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</si>
  <si>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</si>
  <si>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</si>
  <si>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</si>
  <si>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</si>
  <si>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</si>
  <si>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</si>
  <si>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</si>
  <si>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</si>
  <si>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</si>
  <si>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</si>
  <si>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</si>
  <si>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</si>
  <si>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</si>
  <si>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</si>
  <si>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</si>
  <si>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</si>
  <si>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</si>
  <si>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</si>
  <si>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</si>
  <si>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</si>
  <si>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</si>
  <si>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</si>
  <si>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</si>
  <si>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</si>
  <si>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</si>
  <si>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</si>
  <si>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</si>
  <si>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</si>
  <si>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</si>
  <si>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</si>
  <si>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</si>
  <si>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</si>
  <si>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</si>
  <si>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</si>
  <si>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</si>
  <si>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</si>
  <si>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</si>
  <si>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</si>
  <si>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</si>
  <si>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</si>
  <si>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</si>
  <si>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</si>
  <si>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</si>
  <si>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</si>
  <si>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</si>
  <si>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</si>
  <si>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</si>
  <si>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</si>
  <si>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</si>
  <si>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</si>
  <si>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</si>
  <si>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</si>
  <si>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</si>
  <si>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</si>
  <si>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</si>
  <si>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</si>
  <si>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</si>
  <si>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</si>
  <si>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</si>
  <si>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</si>
  <si>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</si>
  <si>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</si>
  <si>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</si>
  <si>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</si>
  <si>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</si>
  <si>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</si>
  <si>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</si>
  <si>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</si>
  <si>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</si>
  <si>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</si>
  <si>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</si>
  <si>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</si>
  <si>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</si>
  <si>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</si>
  <si>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</si>
  <si>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</si>
  <si>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</si>
  <si>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</si>
  <si>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</si>
  <si>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</si>
  <si>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</si>
  <si>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</si>
  <si>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</si>
  <si>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</si>
  <si>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</si>
  <si>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</si>
  <si>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</si>
  <si>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</si>
  <si>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</si>
  <si>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</si>
  <si>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</si>
  <si>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</si>
  <si>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</si>
  <si>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</si>
  <si>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</si>
  <si>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</si>
  <si>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</si>
  <si>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</si>
  <si>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</si>
  <si>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</si>
  <si>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</si>
  <si>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</si>
  <si>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</si>
  <si>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</si>
  <si>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</si>
  <si>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</si>
  <si>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</si>
  <si>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</si>
  <si>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</si>
  <si>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</si>
  <si>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</si>
  <si>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</si>
  <si>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</si>
  <si>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</si>
  <si>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</si>
  <si>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</si>
  <si>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</si>
  <si>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</si>
  <si>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</si>
  <si>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</si>
  <si>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</si>
  <si>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</si>
  <si>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</si>
  <si>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</si>
  <si>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</si>
  <si>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</si>
  <si>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</si>
  <si>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</si>
  <si>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</si>
  <si>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</si>
  <si>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</si>
  <si>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</si>
  <si>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</si>
  <si>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</si>
  <si>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</si>
  <si>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</si>
  <si>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</si>
  <si>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</si>
  <si>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</si>
  <si>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</si>
  <si>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</si>
  <si>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</si>
  <si>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</si>
  <si>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</si>
  <si>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</si>
  <si>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</si>
  <si>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</si>
  <si>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</si>
  <si>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</si>
  <si>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</si>
  <si>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</si>
  <si>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</si>
  <si>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</si>
  <si>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</si>
  <si>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</si>
  <si>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</si>
  <si>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</si>
  <si>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</si>
  <si>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</si>
  <si>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</si>
  <si>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</si>
  <si>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</si>
  <si>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</si>
  <si>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</si>
  <si>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</si>
  <si>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</si>
  <si>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</si>
  <si>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</si>
  <si>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</si>
  <si>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</si>
  <si>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</si>
  <si>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</si>
  <si>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</si>
  <si>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</si>
  <si>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</si>
  <si>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</si>
  <si>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</si>
  <si>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</si>
  <si>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</si>
  <si>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</si>
  <si>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</si>
  <si>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</si>
  <si>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</si>
  <si>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</si>
  <si>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</si>
  <si>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</si>
  <si>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</si>
  <si>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</si>
  <si>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</si>
  <si>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</si>
  <si>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</si>
  <si>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</si>
  <si>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</si>
  <si>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</si>
  <si>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</si>
  <si>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</si>
  <si>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</si>
  <si>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</si>
  <si>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</si>
  <si>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</si>
  <si>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</si>
  <si>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</si>
  <si>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</si>
  <si>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</si>
  <si>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</si>
  <si>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</si>
  <si>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</si>
  <si>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</si>
  <si>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</si>
  <si>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</si>
  <si>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</si>
  <si>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</si>
  <si>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</si>
  <si>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</si>
  <si>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</si>
  <si>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</si>
  <si>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</si>
  <si>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</si>
  <si>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</si>
  <si>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</si>
  <si>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</si>
  <si>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</si>
  <si>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</si>
  <si>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</si>
  <si>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</si>
  <si>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</si>
  <si>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</si>
  <si>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</si>
  <si>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</si>
  <si>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</si>
  <si>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</si>
  <si>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</si>
  <si>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</si>
  <si>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</si>
  <si>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</si>
  <si>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</si>
  <si>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</si>
  <si>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</si>
  <si>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</si>
  <si>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</si>
  <si>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</si>
  <si>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</si>
  <si>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</si>
  <si>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</si>
  <si>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</si>
  <si>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</si>
  <si>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</si>
  <si>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</si>
  <si>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</si>
  <si>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</si>
  <si>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</si>
  <si>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</si>
  <si>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</si>
  <si>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</si>
  <si>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</si>
  <si>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</si>
  <si>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</si>
  <si>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</si>
  <si>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</si>
  <si>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</si>
  <si>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</si>
  <si>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</si>
  <si>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</si>
  <si>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</si>
  <si>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</si>
  <si>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</si>
  <si>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</si>
  <si>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</si>
  <si>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</si>
  <si>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</si>
  <si>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</si>
  <si>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</si>
  <si>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</si>
  <si>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</si>
  <si>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</si>
  <si>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</si>
  <si>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</si>
  <si>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</si>
  <si>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</si>
  <si>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</si>
  <si>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</si>
  <si>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</si>
  <si>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</si>
  <si>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</si>
  <si>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</si>
  <si>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</si>
  <si>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</si>
  <si>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</si>
  <si>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</si>
  <si>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</si>
  <si>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</si>
  <si>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</si>
  <si>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</si>
  <si>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</si>
  <si>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</si>
  <si>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</si>
  <si>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</si>
  <si>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</si>
  <si>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</si>
  <si>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</si>
  <si>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</si>
  <si>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</si>
  <si>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</si>
  <si>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</si>
  <si>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</si>
  <si>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</si>
  <si>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</si>
  <si>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</si>
  <si>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</si>
  <si>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</si>
  <si>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</si>
  <si>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</si>
  <si>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</si>
  <si>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</si>
  <si>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</si>
  <si>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</si>
  <si>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</si>
  <si>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</si>
  <si>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</si>
  <si>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</si>
  <si>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</si>
  <si>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</si>
  <si>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</si>
  <si>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</si>
  <si>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</si>
  <si>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</si>
  <si>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</si>
  <si>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</si>
  <si>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</si>
  <si>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</si>
  <si>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</si>
  <si>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</si>
  <si>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</si>
  <si>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</si>
  <si>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</si>
  <si>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</si>
  <si>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</si>
  <si>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</si>
  <si>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</si>
  <si>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</si>
  <si>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</si>
  <si>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</si>
  <si>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</si>
  <si>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</si>
  <si>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</si>
  <si>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</si>
  <si>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</si>
  <si>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</si>
  <si>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</si>
  <si>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</si>
  <si>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</si>
  <si>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</si>
  <si>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</si>
  <si>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</si>
  <si>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</si>
  <si>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</si>
  <si>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</si>
  <si>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</si>
  <si>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</si>
  <si>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</si>
  <si>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</si>
  <si>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</si>
  <si>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</si>
  <si>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</si>
  <si>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</si>
  <si>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</si>
  <si>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</si>
  <si>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</si>
  <si>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</si>
  <si>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</si>
  <si>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</si>
  <si>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</si>
  <si>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</si>
  <si>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</si>
  <si>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</si>
  <si>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</si>
  <si>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</si>
  <si>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</si>
  <si>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</si>
  <si>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</si>
  <si>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</si>
  <si>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</si>
  <si>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</si>
  <si>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</si>
  <si>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</si>
  <si>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</si>
  <si>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</si>
  <si>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</si>
  <si>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</si>
  <si>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</si>
  <si>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</si>
  <si>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</si>
  <si>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</si>
  <si>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</si>
  <si>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</si>
  <si>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</si>
  <si>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</si>
  <si>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</si>
  <si>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</si>
  <si>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</si>
  <si>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</si>
  <si>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</si>
  <si>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</si>
  <si>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</si>
  <si>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</si>
  <si>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</si>
  <si>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</si>
  <si>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</si>
  <si>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</si>
  <si>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</si>
  <si>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</si>
  <si>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</si>
  <si>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</si>
  <si>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</si>
  <si>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</si>
  <si>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</si>
  <si>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</si>
  <si>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</si>
  <si>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</si>
  <si>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</si>
  <si>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</si>
  <si>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</si>
  <si>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</si>
  <si>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</si>
  <si>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</si>
  <si>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</si>
  <si>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</si>
  <si>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</si>
  <si>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</si>
  <si>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</si>
  <si>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</si>
  <si>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</si>
  <si>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</si>
  <si>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</si>
  <si>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</si>
  <si>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</si>
  <si>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</si>
  <si>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</si>
  <si>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</si>
  <si>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</si>
  <si>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</si>
  <si>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</si>
  <si>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</si>
  <si>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</si>
  <si>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</si>
  <si>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</si>
  <si>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</si>
  <si>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</si>
  <si>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</si>
  <si>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</si>
  <si>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</si>
  <si>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</si>
  <si>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</si>
  <si>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</si>
  <si>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</si>
  <si>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</si>
  <si>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</si>
  <si>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</si>
  <si>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</si>
  <si>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</si>
  <si>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</si>
  <si>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</si>
  <si>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</si>
  <si>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</si>
  <si>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</si>
  <si>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</si>
  <si>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</si>
  <si>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</si>
  <si>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</si>
  <si>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</si>
  <si>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</si>
  <si>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</si>
  <si>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</si>
  <si>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</si>
  <si>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</si>
  <si>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</si>
  <si>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</si>
  <si>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</si>
  <si>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</si>
  <si>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</si>
  <si>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</si>
  <si>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</si>
  <si>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</si>
  <si>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</si>
  <si>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</si>
  <si>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</si>
  <si>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</si>
  <si>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</si>
  <si>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</si>
  <si>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</si>
  <si>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</si>
  <si>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</si>
  <si>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</si>
  <si>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</si>
  <si>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</si>
  <si>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</si>
  <si>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</si>
  <si>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</si>
  <si>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</si>
  <si>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</si>
  <si>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</si>
  <si>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</si>
  <si>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</si>
  <si>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</si>
  <si>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</si>
  <si>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</si>
  <si>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</si>
  <si>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</si>
  <si>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</si>
  <si>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</si>
  <si>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</si>
  <si>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</si>
  <si>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</si>
  <si>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</si>
  <si>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</si>
  <si>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</si>
  <si>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</si>
  <si>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</si>
  <si>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</si>
  <si>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</si>
  <si>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</si>
  <si>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</si>
  <si>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</si>
  <si>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</si>
  <si>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</si>
  <si>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</si>
  <si>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</si>
  <si>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</si>
  <si>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</si>
  <si>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</si>
  <si>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</si>
  <si>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</si>
  <si>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</si>
  <si>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</si>
  <si>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</si>
  <si>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</si>
  <si>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</si>
  <si>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</si>
  <si>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</si>
  <si>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</si>
  <si>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</si>
  <si>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</si>
  <si>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</si>
  <si>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</si>
  <si>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</si>
  <si>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</si>
  <si>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</si>
  <si>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</si>
  <si>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</si>
  <si>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</si>
  <si>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</si>
  <si>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</si>
  <si>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</si>
  <si>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</si>
  <si>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</si>
  <si>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</si>
  <si>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</si>
  <si>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</si>
  <si>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</si>
  <si>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</si>
  <si>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</si>
  <si>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</si>
  <si>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</si>
  <si>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</si>
  <si>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</si>
  <si>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</si>
  <si>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</si>
  <si>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</si>
  <si>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</si>
  <si>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</si>
  <si>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</si>
  <si>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</si>
  <si>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</si>
  <si>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</si>
  <si>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</si>
  <si>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</si>
  <si>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</si>
  <si>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</si>
  <si>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</si>
  <si>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</si>
  <si>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</si>
  <si>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</si>
  <si>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</si>
  <si>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</si>
  <si>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</si>
  <si>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</si>
  <si>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</si>
  <si>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</si>
  <si>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</si>
  <si>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</si>
  <si>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</si>
  <si>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</si>
  <si>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</si>
  <si>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</si>
  <si>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</si>
  <si>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</si>
  <si>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</si>
  <si>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</si>
  <si>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</si>
  <si>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</si>
  <si>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</si>
  <si>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</si>
  <si>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</si>
  <si>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</si>
  <si>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</si>
  <si>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</si>
  <si>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</si>
  <si>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</si>
  <si>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</si>
  <si>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</si>
  <si>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</si>
  <si>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</si>
  <si>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</si>
  <si>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</si>
  <si>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</si>
  <si>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</si>
  <si>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</si>
  <si>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</si>
  <si>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</si>
  <si>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</si>
  <si>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</si>
  <si>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</si>
  <si>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</si>
  <si>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</si>
  <si>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</si>
  <si>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</si>
  <si>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</si>
  <si>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</si>
  <si>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</si>
  <si>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</si>
  <si>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</si>
  <si>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</si>
  <si>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</si>
  <si>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</si>
  <si>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</si>
  <si>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</si>
  <si>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</si>
  <si>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</si>
  <si>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</si>
  <si>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</si>
  <si>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</si>
  <si>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</si>
  <si>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</si>
  <si>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</si>
  <si>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</si>
  <si>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</si>
  <si>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</si>
  <si>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</si>
  <si>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</si>
  <si>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</si>
  <si>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</si>
  <si>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</si>
  <si>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</si>
  <si>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</si>
  <si>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</si>
  <si>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</si>
  <si>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</si>
  <si>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</si>
  <si>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</si>
  <si>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</si>
  <si>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</si>
  <si>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</si>
  <si>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</si>
  <si>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</si>
  <si>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</si>
  <si>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</si>
  <si>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</si>
  <si>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</si>
  <si>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</si>
  <si>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</si>
  <si>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</si>
  <si>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</si>
  <si>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</si>
  <si>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</si>
  <si>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</si>
  <si>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</si>
  <si>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</si>
  <si>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</si>
  <si>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</si>
  <si>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</si>
  <si>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</si>
  <si>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</si>
  <si>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</si>
  <si>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</si>
  <si>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</si>
  <si>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</si>
  <si>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</si>
  <si>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</si>
  <si>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</si>
  <si>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</si>
  <si>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</si>
  <si>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</si>
  <si>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</si>
  <si>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</si>
  <si>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</si>
  <si>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</si>
  <si>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</si>
  <si>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</si>
  <si>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</si>
  <si>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</si>
  <si>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</si>
  <si>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</si>
  <si>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</si>
  <si>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</si>
  <si>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</si>
  <si>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</si>
  <si>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</si>
  <si>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</si>
  <si>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</si>
  <si>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</si>
  <si>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</si>
  <si>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</si>
  <si>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</si>
  <si>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</si>
  <si>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</si>
  <si>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</si>
  <si>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</si>
  <si>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</si>
  <si>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</si>
  <si>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</si>
  <si>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</si>
  <si>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</si>
  <si>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</si>
  <si>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</si>
  <si>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</si>
  <si>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</si>
  <si>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</si>
  <si>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</si>
  <si>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</si>
  <si>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</si>
  <si>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</si>
  <si>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</si>
  <si>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</si>
  <si>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</si>
  <si>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</si>
  <si>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</si>
  <si>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</si>
  <si>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</si>
  <si>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</si>
  <si>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</si>
  <si>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</si>
  <si>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</si>
  <si>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</si>
  <si>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</si>
  <si>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</si>
  <si>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</si>
  <si>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</si>
  <si>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</si>
  <si>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</si>
  <si>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</si>
  <si>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</si>
  <si>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</si>
  <si>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</si>
  <si>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</si>
  <si>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</si>
  <si>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</si>
  <si>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</si>
  <si>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</si>
  <si>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</si>
  <si>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</si>
  <si>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</si>
  <si>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</si>
  <si>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</si>
  <si>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</si>
  <si>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</si>
  <si>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</si>
  <si>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</si>
  <si>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</si>
  <si>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</si>
  <si>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</si>
  <si>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</si>
  <si>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</si>
  <si>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</si>
  <si>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</si>
  <si>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</si>
  <si>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</si>
  <si>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</si>
  <si>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</si>
  <si>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</si>
  <si>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</si>
  <si>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</si>
  <si>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</si>
  <si>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</si>
  <si>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</si>
  <si>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</si>
  <si>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</si>
  <si>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</si>
  <si>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</si>
  <si>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</si>
  <si>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</si>
  <si>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</si>
  <si>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</si>
  <si>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</si>
  <si>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</si>
  <si>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</si>
  <si>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</si>
  <si>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</si>
  <si>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</si>
  <si>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</si>
  <si>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</si>
  <si>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</si>
  <si>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</si>
  <si>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</si>
  <si>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</si>
  <si>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</si>
  <si>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</si>
  <si>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</si>
  <si>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</si>
  <si>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</si>
  <si>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</si>
  <si>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</si>
  <si>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</si>
  <si>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</si>
  <si>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</si>
  <si>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</si>
  <si>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</si>
  <si>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</si>
  <si>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</si>
  <si>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</si>
  <si>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</si>
  <si>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</si>
  <si>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</si>
  <si>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</si>
  <si>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</si>
  <si>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</si>
  <si>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</si>
  <si>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</si>
  <si>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</si>
  <si>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</si>
  <si>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</si>
  <si>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</si>
  <si>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</si>
  <si>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</si>
  <si>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</si>
  <si>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</si>
  <si>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</si>
  <si>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</si>
  <si>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</si>
  <si>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</si>
  <si>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</si>
  <si>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</si>
  <si>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</si>
  <si>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</si>
  <si>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</si>
  <si>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</si>
  <si>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</si>
  <si>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</si>
  <si>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</si>
  <si>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</si>
  <si>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</si>
  <si>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</si>
  <si>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</si>
  <si>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</si>
  <si>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</si>
  <si>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</si>
  <si>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</si>
  <si>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</si>
  <si>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</si>
  <si>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</si>
  <si>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</si>
  <si>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</si>
  <si>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</si>
  <si>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</si>
  <si>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</si>
  <si>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</si>
  <si>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</si>
  <si>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</si>
  <si>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</si>
  <si>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</si>
  <si>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</si>
  <si>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</si>
  <si>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</si>
  <si>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</si>
  <si>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</si>
  <si>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</si>
  <si>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</si>
  <si>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</si>
  <si>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</si>
  <si>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</si>
  <si>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</si>
  <si>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</si>
  <si>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</si>
  <si>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</si>
  <si>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</si>
  <si>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</si>
  <si>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</si>
  <si>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</si>
  <si>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</si>
  <si>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</si>
  <si>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</si>
  <si>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</si>
  <si>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</si>
  <si>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</si>
  <si>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</si>
  <si>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</si>
  <si>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</si>
  <si>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</si>
  <si>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</si>
  <si>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</si>
  <si>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</si>
  <si>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</si>
  <si>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</si>
  <si>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</si>
  <si>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</si>
  <si>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</si>
  <si>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</si>
  <si>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</si>
  <si>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</si>
  <si>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</si>
  <si>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</si>
  <si>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</si>
  <si>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</si>
  <si>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</si>
  <si>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</si>
  <si>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</si>
  <si>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</si>
  <si>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</si>
  <si>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</si>
  <si>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</si>
  <si>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</si>
  <si>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</si>
  <si>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</si>
  <si>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</si>
  <si>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</si>
  <si>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</si>
  <si>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</si>
  <si>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</si>
  <si>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</si>
  <si>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</si>
  <si>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</si>
  <si>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</si>
  <si>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</si>
  <si>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</si>
  <si>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</si>
  <si>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</si>
  <si>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</si>
  <si>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</si>
  <si>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</si>
  <si>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</si>
  <si>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</si>
  <si>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</si>
  <si>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</si>
  <si>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</si>
  <si>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</si>
  <si>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</si>
  <si>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</si>
  <si>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</si>
  <si>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</si>
  <si>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</si>
  <si>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</si>
  <si>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</si>
  <si>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</si>
  <si>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</si>
  <si>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</si>
  <si>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</si>
  <si>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</si>
  <si>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</si>
  <si>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</si>
  <si>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</si>
  <si>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</si>
  <si>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</si>
  <si>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</si>
  <si>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</si>
  <si>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</si>
  <si>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</si>
  <si>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</si>
  <si>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</si>
  <si>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</si>
  <si>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</si>
  <si>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</si>
  <si>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</si>
  <si>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</si>
  <si>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</si>
  <si>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</si>
  <si>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</si>
  <si>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</si>
  <si>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</si>
  <si>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</si>
  <si>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</si>
  <si>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</si>
  <si>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</si>
  <si>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</si>
  <si>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</si>
  <si>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</si>
  <si>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</si>
  <si>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</si>
  <si>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</si>
  <si>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</si>
  <si>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</si>
  <si>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</si>
  <si>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</si>
  <si>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</si>
  <si>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</si>
  <si>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</si>
  <si>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</si>
  <si>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</si>
  <si>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</si>
  <si>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</si>
  <si>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</si>
  <si>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</si>
  <si>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</si>
  <si>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</si>
  <si>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</si>
  <si>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</si>
  <si>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</si>
  <si>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</si>
  <si>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</si>
  <si>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</si>
  <si>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</si>
  <si>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</si>
  <si>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</si>
  <si>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</si>
  <si>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</si>
  <si>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</si>
  <si>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</si>
  <si>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</si>
  <si>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</si>
  <si>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</si>
  <si>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</si>
  <si>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</si>
  <si>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</si>
  <si>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</si>
  <si>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</si>
  <si>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</si>
  <si>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</si>
  <si>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</si>
  <si>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</si>
  <si>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</si>
  <si>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</si>
  <si>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</si>
  <si>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</si>
  <si>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</si>
  <si>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</si>
  <si>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</si>
  <si>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</si>
  <si>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</si>
  <si>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</si>
  <si>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</si>
  <si>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</si>
  <si>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</si>
  <si>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</si>
  <si>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</si>
  <si>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</si>
  <si>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</si>
  <si>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</si>
  <si>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</si>
  <si>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</si>
  <si>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</si>
  <si>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</si>
  <si>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</si>
  <si>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</si>
  <si>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</si>
  <si>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</si>
  <si>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</si>
  <si>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</si>
  <si>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</si>
  <si>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</si>
  <si>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</si>
  <si>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</si>
  <si>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</si>
  <si>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</si>
  <si>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</si>
  <si>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</si>
  <si>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</si>
  <si>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</si>
  <si>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</si>
  <si>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</si>
  <si>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</si>
  <si>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</si>
  <si>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</si>
  <si>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</si>
  <si>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</si>
  <si>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</si>
  <si>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</si>
  <si>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</si>
  <si>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</si>
  <si>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</si>
  <si>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</si>
  <si>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</si>
  <si>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</si>
  <si>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</si>
  <si>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</si>
  <si>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</si>
  <si>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</si>
  <si>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</si>
  <si>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</si>
  <si>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</si>
  <si>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</si>
  <si>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</si>
  <si>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</si>
  <si>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</si>
  <si>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</si>
  <si>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</si>
  <si>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</si>
  <si>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</si>
  <si>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</si>
  <si>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</si>
  <si>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</si>
  <si>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</si>
  <si>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</si>
  <si>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</si>
  <si>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</si>
  <si>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</si>
  <si>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</si>
  <si>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</si>
  <si>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</si>
  <si>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</si>
  <si>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</si>
  <si>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</si>
  <si>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</si>
  <si>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</si>
  <si>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</si>
  <si>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</si>
  <si>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</si>
  <si>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</si>
  <si>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</si>
  <si>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</si>
  <si>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</si>
  <si>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</si>
  <si>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</si>
  <si>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</si>
  <si>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</si>
  <si>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</si>
  <si>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</si>
  <si>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</si>
  <si>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</si>
  <si>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</si>
  <si>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</si>
  <si>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</si>
  <si>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</si>
  <si>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</si>
  <si>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</si>
  <si>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</si>
  <si>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</si>
  <si>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</si>
  <si>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</si>
  <si>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</si>
  <si>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</si>
  <si>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</si>
  <si>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</si>
  <si>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</si>
  <si>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</si>
  <si>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</si>
  <si>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</si>
  <si>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</si>
  <si>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</si>
  <si>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</si>
  <si>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</si>
  <si>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</si>
  <si>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</si>
  <si>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</si>
  <si>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</si>
  <si>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</si>
  <si>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</si>
  <si>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</si>
  <si>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</si>
  <si>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</si>
  <si>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</si>
  <si>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</si>
  <si>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</si>
  <si>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</si>
  <si>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</si>
  <si>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</si>
  <si>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</si>
  <si>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</si>
  <si>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</si>
  <si>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</si>
  <si>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</si>
  <si>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</si>
  <si>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</si>
  <si>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</si>
  <si>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</si>
  <si>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</si>
  <si>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</si>
  <si>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</si>
  <si>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</si>
  <si>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</si>
  <si>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</si>
  <si>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</si>
  <si>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</si>
  <si>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</si>
  <si>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</si>
  <si>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</si>
  <si>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</si>
  <si>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</si>
  <si>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</si>
  <si>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</si>
  <si>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</si>
  <si>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</si>
  <si>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</si>
  <si>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</si>
  <si>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</si>
  <si>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</si>
  <si>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</si>
  <si>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</si>
  <si>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</si>
  <si>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</si>
  <si>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</si>
  <si>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</si>
  <si>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</si>
  <si>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</si>
  <si>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</si>
  <si>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</si>
  <si>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</si>
  <si>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</si>
  <si>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</si>
  <si>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</si>
  <si>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</si>
  <si>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</si>
  <si>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</si>
  <si>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</si>
  <si>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</si>
  <si>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</si>
  <si>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</si>
  <si>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</si>
  <si>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</si>
  <si>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</si>
  <si>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</si>
  <si>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</si>
  <si>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</si>
  <si>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</si>
  <si>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</si>
  <si>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</si>
  <si>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</si>
  <si>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</si>
  <si>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</si>
  <si>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</si>
  <si>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</si>
  <si>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</si>
  <si>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</si>
  <si>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</si>
  <si>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</si>
  <si>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</si>
  <si>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</si>
  <si>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</si>
  <si>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</si>
  <si>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</si>
  <si>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</si>
  <si>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</si>
  <si>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</si>
  <si>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</si>
  <si>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</si>
  <si>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</si>
  <si>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</si>
  <si>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</si>
  <si>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</si>
  <si>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</si>
  <si>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</si>
  <si>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</si>
  <si>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</si>
  <si>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</si>
  <si>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</si>
  <si>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</si>
  <si>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</si>
  <si>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</si>
  <si>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</si>
  <si>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</si>
  <si>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</si>
  <si>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</si>
  <si>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</si>
  <si>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</si>
  <si>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</si>
  <si>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</si>
  <si>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</si>
  <si>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</si>
  <si>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</si>
  <si>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</si>
  <si>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</si>
  <si>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</si>
  <si>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</si>
  <si>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</si>
  <si>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</si>
  <si>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</si>
  <si>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</si>
  <si>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</si>
  <si>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</si>
  <si>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</si>
  <si>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</si>
  <si>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</si>
  <si>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</si>
  <si>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</si>
  <si>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</si>
  <si>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</si>
  <si>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</si>
  <si>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</si>
  <si>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</si>
  <si>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</si>
  <si>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</si>
  <si>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</si>
  <si>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</si>
  <si>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</si>
  <si>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</si>
  <si>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</si>
  <si>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</si>
  <si>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</si>
  <si>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</si>
  <si>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</si>
  <si>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</si>
  <si>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</si>
  <si>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</si>
  <si>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</si>
  <si>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</si>
  <si>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</si>
  <si>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</si>
  <si>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</si>
  <si>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</si>
  <si>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</si>
  <si>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</si>
  <si>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</si>
  <si>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</si>
  <si>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</si>
  <si>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</si>
  <si>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</si>
  <si>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</si>
  <si>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</si>
  <si>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</si>
  <si>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</si>
  <si>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</si>
  <si>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</si>
  <si>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</si>
  <si>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</si>
  <si>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</si>
  <si>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</si>
  <si>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</si>
  <si>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</si>
  <si>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</si>
  <si>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</si>
  <si>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</si>
  <si>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</si>
  <si>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</si>
  <si>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</si>
  <si>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</si>
  <si>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</si>
  <si>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</si>
  <si>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</si>
  <si>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</si>
  <si>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</si>
  <si>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</si>
  <si>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</si>
  <si>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</si>
  <si>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</si>
  <si>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</si>
  <si>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</si>
  <si>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</si>
  <si>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</si>
  <si>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</si>
  <si>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</si>
  <si>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</si>
  <si>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</si>
  <si>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</si>
  <si>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</si>
  <si>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</si>
  <si>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</si>
  <si>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</si>
  <si>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</si>
  <si>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Whiteside, Henry, Bureau</t>
  </si>
  <si>
    <t>79 Grove Street</t>
  </si>
  <si>
    <t>Prophetstown</t>
  </si>
  <si>
    <t>Chad Colmone</t>
  </si>
  <si>
    <t>ccolmone@plt3.org</t>
  </si>
  <si>
    <t>Thomas R. Peffer, CPA</t>
  </si>
  <si>
    <t>tpeffer@gorenzcpa.com</t>
  </si>
  <si>
    <t>x</t>
  </si>
  <si>
    <t>General Obligation School Fire Prevention &amp; Safety Bonds</t>
  </si>
  <si>
    <t>Bi-County Sp. Ed. Coop.</t>
  </si>
  <si>
    <t>Whiteside Area Career Center</t>
  </si>
  <si>
    <t>Erie CUSD No. 1 - Sports Co-op, Morrison - Swin Co-op</t>
  </si>
  <si>
    <t>2017-001</t>
  </si>
  <si>
    <t>Lack of segregation of duties</t>
  </si>
  <si>
    <t>AU-C 265 has presribed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</si>
  <si>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</si>
  <si>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Dfistrict accounting and financial records are maintained by two individuals.</t>
  </si>
  <si>
    <t>Certain individuals have the ability to complete and record accounting functions which ideally would be segregated.</t>
  </si>
  <si>
    <t>The Board of Education has determined that two individuals is sufficient to perform the required duties.</t>
  </si>
  <si>
    <t>The Board should take steps it considers necessary to limit the risks that lack of segregation of duties presents; such as but not limited to hiring additional staff.</t>
  </si>
  <si>
    <t>The District will take the auditor's recommendation under consideration.</t>
  </si>
  <si>
    <t>Unresolved - See Finding 2018-001</t>
  </si>
  <si>
    <t>The opinion is adverse due to the use of the Regulatory Basis of Accounting.</t>
  </si>
  <si>
    <t xml:space="preserve">
20.  See Finding 2018-001</t>
  </si>
  <si>
    <t>Previously Retired Issues</t>
  </si>
  <si>
    <t>TRANSP - Pupil Transp Services - Sp. Ed. Contract</t>
  </si>
  <si>
    <t>Terry Boucher</t>
  </si>
  <si>
    <t>ED - Sp Ed Program - Private Facility</t>
  </si>
  <si>
    <t>CHG Alternative Education</t>
  </si>
  <si>
    <t>BLDG - Operations &amp; Maintenance - Electricity</t>
  </si>
  <si>
    <t>Direct Energy Business</t>
  </si>
  <si>
    <t>ED - Sp Ed Program - Provate Facility</t>
  </si>
  <si>
    <t>Easter Seals</t>
  </si>
  <si>
    <t>ED - Food Services - Supplies Food</t>
  </si>
  <si>
    <t>Enyeart Distributing</t>
  </si>
  <si>
    <t>TRANSP - Pupil Trans Services - Gasoline</t>
  </si>
  <si>
    <t>Gibson Oil Company</t>
  </si>
  <si>
    <t>Kohl Wholesale</t>
  </si>
  <si>
    <t>TRANSP - Pupil Trans Services - Services</t>
  </si>
  <si>
    <t>KS State Bank</t>
  </si>
  <si>
    <t>Ramza Insurance</t>
  </si>
  <si>
    <t>TRANSP - Pupil Trans - Reg Insurance</t>
  </si>
  <si>
    <t>BLDG - Operations &amp; Maintenance - Natural Gas</t>
  </si>
  <si>
    <t>Vanguard Energy Services</t>
  </si>
  <si>
    <t>Page 10, Line 72 - Milk Sales</t>
  </si>
  <si>
    <t>Page 10, Line 74 - Misc ala carte items and rebates</t>
  </si>
  <si>
    <t>Page 10, Line 81 - Student lab fees</t>
  </si>
  <si>
    <t>Page 11, Line 106 - Chorus &amp; Band Fees</t>
  </si>
  <si>
    <t>Page 11, Line 107 - Other Local Source Revenue:</t>
  </si>
  <si>
    <t xml:space="preserve">  Educ Fund - Convenience Fees $61, Parking Fees $350, E-Rate $25,920, Misc Local Grants $1,621, Misc Refunds/Reimb $1,906</t>
  </si>
  <si>
    <t xml:space="preserve">  O &amp; M Fund - Sale of Scrap $87, E-Rate $5,285, Misc Refunds/Reimb $250</t>
  </si>
  <si>
    <t xml:space="preserve">  Transp Fund - Field trips and Refunds $1,892</t>
  </si>
  <si>
    <t>Page 11, Line 139 - CTE Other - CTE Forward Funding Grant</t>
  </si>
  <si>
    <t>40-2550-300</t>
  </si>
  <si>
    <t>20-2540-400</t>
  </si>
  <si>
    <t>10-2560-400</t>
  </si>
  <si>
    <t>40-2550-400</t>
  </si>
  <si>
    <t>20-2540-300</t>
  </si>
  <si>
    <t>066-005027</t>
  </si>
  <si>
    <t>see the embedded PDF version</t>
  </si>
  <si>
    <t>Prophetstown-Lyndon-Tampico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</si>
</sst>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6" fillId="0" borderId="0" xfId="3" applyFont="1" applyBorder="1" applyAlignment="1" applyProtection="1">
      <alignment horizontal="center"/>
      <protection locked="0"/>
    </xf>
    <xf numFmtId="179" fontId="56" fillId="0" borderId="0" xfId="3" applyNumberFormat="1" applyFont="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762000</xdr:colOff>
          <xdr:row>3</xdr:row>
          <xdr:rowOff>34637</xdr:rowOff>
        </xdr:from>
        <xdr:to>
          <xdr:col>1</xdr:col>
          <xdr:colOff>1676400</xdr:colOff>
          <xdr:row>7</xdr:row>
          <xdr:rowOff>72737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1775114</xdr:colOff>
          <xdr:row>3</xdr:row>
          <xdr:rowOff>25978</xdr:rowOff>
        </xdr:from>
        <xdr:to>
          <xdr:col>1</xdr:col>
          <xdr:colOff>2686050</xdr:colOff>
          <xdr:row>7</xdr:row>
          <xdr:rowOff>64078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5" sqref="A15:H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1" t="s">
        <v>425</v>
      </c>
      <c r="J1" s="2032"/>
      <c r="K1" s="2032"/>
      <c r="L1" s="2032"/>
      <c r="M1" s="2032"/>
      <c r="N1" s="2032"/>
      <c r="O1" s="2032"/>
      <c r="P1" s="2032"/>
      <c r="Q1" s="2032"/>
      <c r="R1" s="2032"/>
      <c r="S1" s="2032"/>
    </row>
    <row r="2" spans="1:28" ht="12" customHeight="1" x14ac:dyDescent="0.2">
      <c r="A2" s="47" t="s">
        <v>1684</v>
      </c>
      <c r="D2" s="48"/>
      <c r="I2" s="2033" t="s">
        <v>1036</v>
      </c>
      <c r="J2" s="2032"/>
      <c r="K2" s="2032"/>
      <c r="L2" s="2032"/>
      <c r="M2" s="2032"/>
      <c r="N2" s="2032"/>
      <c r="O2" s="2032"/>
      <c r="P2" s="2032"/>
      <c r="Q2" s="2032"/>
      <c r="R2" s="2032"/>
      <c r="S2" s="2032"/>
    </row>
    <row r="3" spans="1:28" ht="12" customHeight="1" x14ac:dyDescent="0.2">
      <c r="A3" s="155" t="s">
        <v>1685</v>
      </c>
      <c r="B3" s="156"/>
      <c r="C3" s="156"/>
      <c r="D3" s="157"/>
      <c r="I3" s="2033" t="s">
        <v>54</v>
      </c>
      <c r="J3" s="2032"/>
      <c r="K3" s="2032"/>
      <c r="L3" s="2032"/>
      <c r="M3" s="2032"/>
      <c r="N3" s="2032"/>
      <c r="O3" s="2032"/>
      <c r="P3" s="2032"/>
      <c r="Q3" s="2032"/>
      <c r="R3" s="2032"/>
      <c r="S3" s="2032"/>
    </row>
    <row r="4" spans="1:28" ht="12" customHeight="1" x14ac:dyDescent="0.2">
      <c r="A4" s="37"/>
      <c r="I4" s="2033" t="s">
        <v>545</v>
      </c>
      <c r="J4" s="2032"/>
      <c r="K4" s="2032"/>
      <c r="L4" s="2032"/>
      <c r="M4" s="2032"/>
      <c r="N4" s="2032"/>
      <c r="O4" s="2032"/>
      <c r="P4" s="2032"/>
      <c r="Q4" s="2032"/>
      <c r="R4" s="2032"/>
      <c r="S4" s="2032"/>
    </row>
    <row r="5" spans="1:28" ht="14.1" customHeight="1" x14ac:dyDescent="0.2">
      <c r="B5" s="104" t="s">
        <v>2077</v>
      </c>
      <c r="C5" s="26" t="s">
        <v>966</v>
      </c>
      <c r="D5" s="84"/>
      <c r="E5" s="84"/>
      <c r="H5" s="38"/>
      <c r="I5" s="2040" t="s">
        <v>701</v>
      </c>
      <c r="J5" s="1985"/>
      <c r="K5" s="1985"/>
      <c r="L5" s="1985"/>
      <c r="M5" s="1985"/>
      <c r="N5" s="1985"/>
      <c r="O5" s="1985"/>
      <c r="P5" s="1985"/>
      <c r="Q5" s="1985"/>
      <c r="R5" s="1985"/>
      <c r="S5" s="1985"/>
    </row>
    <row r="6" spans="1:28" ht="14.1" customHeight="1" x14ac:dyDescent="0.2">
      <c r="B6" s="104"/>
      <c r="C6" s="26" t="s">
        <v>967</v>
      </c>
      <c r="D6" s="84"/>
      <c r="E6" s="84"/>
      <c r="I6" s="2039" t="s">
        <v>938</v>
      </c>
      <c r="J6" s="1985"/>
      <c r="K6" s="1985"/>
      <c r="L6" s="1985"/>
      <c r="M6" s="1985"/>
      <c r="N6" s="1985"/>
      <c r="O6" s="1985"/>
      <c r="P6" s="1985"/>
      <c r="Q6" s="1985"/>
      <c r="R6" s="1985"/>
      <c r="S6" s="1985"/>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695</v>
      </c>
      <c r="J9" s="2037"/>
      <c r="K9" s="2037"/>
      <c r="L9" s="2037"/>
      <c r="M9" s="2037"/>
      <c r="N9" s="2037"/>
      <c r="O9" s="2037"/>
      <c r="P9" s="2037"/>
      <c r="Q9" s="2037"/>
      <c r="R9" s="2037"/>
      <c r="S9" s="2038"/>
      <c r="T9" s="1981" t="s">
        <v>554</v>
      </c>
      <c r="U9" s="1982"/>
      <c r="V9" s="1982"/>
      <c r="W9" s="1982"/>
      <c r="X9" s="1982"/>
      <c r="Y9" s="1982"/>
      <c r="Z9" s="1982"/>
      <c r="AA9" s="1983"/>
    </row>
    <row r="10" spans="1:28" ht="13.5" customHeight="1" x14ac:dyDescent="0.2">
      <c r="A10" s="1990" t="s">
        <v>696</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1012</v>
      </c>
      <c r="B11" s="1994"/>
      <c r="C11" s="1994"/>
      <c r="D11" s="1994"/>
      <c r="E11" s="1994"/>
      <c r="F11" s="1994"/>
      <c r="G11" s="1994"/>
      <c r="H11" s="1995"/>
      <c r="I11" s="27"/>
      <c r="J11" s="74"/>
      <c r="K11" s="27"/>
      <c r="O11" s="148" t="s">
        <v>2077</v>
      </c>
      <c r="P11" s="100" t="s">
        <v>210</v>
      </c>
      <c r="Q11" s="30"/>
      <c r="R11" s="28"/>
      <c r="S11" s="27"/>
      <c r="T11" s="1987"/>
      <c r="U11" s="1988"/>
      <c r="V11" s="1988"/>
      <c r="W11" s="1988"/>
      <c r="X11" s="1988"/>
      <c r="Y11" s="1988"/>
      <c r="Z11" s="1988"/>
      <c r="AA11" s="198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1">
        <v>47098003026</v>
      </c>
      <c r="B13" s="2002"/>
      <c r="C13" s="2002"/>
      <c r="D13" s="2002"/>
      <c r="E13" s="2002"/>
      <c r="F13" s="2002"/>
      <c r="G13" s="2002"/>
      <c r="H13" s="2003"/>
      <c r="I13" s="31"/>
      <c r="J13" s="30"/>
      <c r="K13" s="28"/>
      <c r="L13" s="30"/>
      <c r="M13" s="30"/>
      <c r="N13" s="30"/>
      <c r="O13" s="30"/>
      <c r="P13" s="30"/>
      <c r="Q13" s="30"/>
      <c r="R13" s="30"/>
      <c r="S13" s="30"/>
      <c r="T13" s="2006" t="s">
        <v>2078</v>
      </c>
      <c r="U13" s="2007"/>
      <c r="V13" s="2007"/>
      <c r="W13" s="2007"/>
      <c r="X13" s="2007"/>
      <c r="Y13" s="2008"/>
      <c r="Z13" s="2008"/>
      <c r="AA13" s="200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9" t="s">
        <v>2086</v>
      </c>
      <c r="B15" s="2004"/>
      <c r="C15" s="2004"/>
      <c r="D15" s="2004"/>
      <c r="E15" s="2004"/>
      <c r="F15" s="2004"/>
      <c r="G15" s="2004"/>
      <c r="H15" s="2005"/>
      <c r="T15" s="1967" t="s">
        <v>2091</v>
      </c>
      <c r="U15" s="1968"/>
      <c r="V15" s="1968"/>
      <c r="W15" s="1968"/>
      <c r="X15" s="1968"/>
      <c r="Y15" s="2010"/>
      <c r="Z15" s="2010"/>
      <c r="AA15" s="20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2146</v>
      </c>
      <c r="B17" s="2029"/>
      <c r="C17" s="2029"/>
      <c r="D17" s="2029"/>
      <c r="E17" s="2029"/>
      <c r="F17" s="2029"/>
      <c r="G17" s="2029"/>
      <c r="H17" s="2030"/>
      <c r="T17" s="2016" t="s">
        <v>2079</v>
      </c>
      <c r="U17" s="2017"/>
      <c r="V17" s="2017"/>
      <c r="W17" s="2017"/>
      <c r="X17" s="2017"/>
      <c r="Y17" s="2017"/>
      <c r="Z17" s="2017"/>
      <c r="AA17" s="2018"/>
    </row>
    <row r="18" spans="1:27" ht="13.5" customHeight="1" x14ac:dyDescent="0.2">
      <c r="A18" s="85" t="s">
        <v>551</v>
      </c>
      <c r="B18" s="76"/>
      <c r="C18" s="72"/>
      <c r="D18" s="76"/>
      <c r="E18" s="76"/>
      <c r="F18" s="76"/>
      <c r="G18" s="76"/>
      <c r="H18" s="56"/>
      <c r="I18" s="2026" t="s">
        <v>697</v>
      </c>
      <c r="J18" s="2027"/>
      <c r="K18" s="2027"/>
      <c r="L18" s="2027"/>
      <c r="M18" s="2027"/>
      <c r="N18" s="2027"/>
      <c r="O18" s="2027"/>
      <c r="P18" s="2027"/>
      <c r="Q18" s="2027"/>
      <c r="R18" s="2027"/>
      <c r="S18" s="2028"/>
      <c r="T18" s="85" t="s">
        <v>735</v>
      </c>
      <c r="U18" s="51"/>
      <c r="V18" s="72"/>
      <c r="W18" s="50"/>
      <c r="X18" s="85" t="s">
        <v>284</v>
      </c>
      <c r="Y18" s="81"/>
      <c r="Z18" s="159" t="s">
        <v>698</v>
      </c>
      <c r="AA18" s="46"/>
    </row>
    <row r="19" spans="1:27" ht="13.5" customHeight="1" x14ac:dyDescent="0.2">
      <c r="A19" s="1999" t="s">
        <v>2087</v>
      </c>
      <c r="B19" s="2000"/>
      <c r="C19" s="2000"/>
      <c r="D19" s="2000"/>
      <c r="E19" s="2000"/>
      <c r="F19" s="2000"/>
      <c r="G19" s="2000"/>
      <c r="H19" s="1998"/>
      <c r="I19" s="30"/>
      <c r="J19" s="99"/>
      <c r="K19" s="40"/>
      <c r="L19" s="38"/>
      <c r="M19" s="112" t="s">
        <v>333</v>
      </c>
      <c r="P19" s="27"/>
      <c r="Q19" s="27"/>
      <c r="R19" s="27"/>
      <c r="S19" s="31"/>
      <c r="T19" s="1999" t="s">
        <v>2080</v>
      </c>
      <c r="U19" s="1997"/>
      <c r="V19" s="1997"/>
      <c r="W19" s="1998"/>
      <c r="X19" s="2014" t="s">
        <v>2081</v>
      </c>
      <c r="Y19" s="2015"/>
      <c r="Z19" s="2012">
        <v>61614</v>
      </c>
      <c r="AA19" s="20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6" t="s">
        <v>2088</v>
      </c>
      <c r="B21" s="1997"/>
      <c r="C21" s="1997"/>
      <c r="D21" s="1997"/>
      <c r="E21" s="1997"/>
      <c r="F21" s="1997"/>
      <c r="G21" s="1997"/>
      <c r="H21" s="1998"/>
      <c r="I21" s="2022" t="s">
        <v>699</v>
      </c>
      <c r="J21" s="1985"/>
      <c r="K21" s="1985"/>
      <c r="L21" s="1985"/>
      <c r="M21" s="1985"/>
      <c r="N21" s="1985"/>
      <c r="O21" s="1985"/>
      <c r="P21" s="1985"/>
      <c r="Q21" s="1985"/>
      <c r="R21" s="1985"/>
      <c r="S21" s="1986"/>
      <c r="T21" s="1964" t="s">
        <v>2082</v>
      </c>
      <c r="U21" s="1965"/>
      <c r="V21" s="1965"/>
      <c r="W21" s="1965"/>
      <c r="X21" s="1978" t="s">
        <v>2083</v>
      </c>
      <c r="Y21" s="1979"/>
      <c r="Z21" s="1979"/>
      <c r="AA21" s="1980"/>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9" t="s">
        <v>2090</v>
      </c>
      <c r="B23" s="2020"/>
      <c r="C23" s="2020"/>
      <c r="D23" s="2020"/>
      <c r="E23" s="2020"/>
      <c r="F23" s="2020"/>
      <c r="G23" s="2020"/>
      <c r="H23" s="2021"/>
      <c r="T23" s="1959" t="s">
        <v>2144</v>
      </c>
      <c r="U23" s="1960"/>
      <c r="V23" s="1960"/>
      <c r="W23" s="1960"/>
      <c r="X23" s="1975">
        <v>44530</v>
      </c>
      <c r="Y23" s="1976"/>
      <c r="Z23" s="1976"/>
      <c r="AA23" s="1977"/>
    </row>
    <row r="24" spans="1:27" ht="14.1" customHeight="1" x14ac:dyDescent="0.2">
      <c r="A24" s="88" t="s">
        <v>698</v>
      </c>
      <c r="B24" s="49"/>
      <c r="C24" s="49"/>
      <c r="D24" s="49"/>
      <c r="E24" s="49"/>
      <c r="F24" s="49"/>
      <c r="G24" s="49"/>
      <c r="H24" s="61"/>
      <c r="J24" s="2061">
        <f>IF(B5="x",IF(AUDITCHECK!D29="AFR form Incomplete.","",IF(AUDITCHECK!D29="Deficit reduction plan is required.","School District must complete a deficit reduction plan in the 2018-2019 Budget",)),"")</f>
        <v>0</v>
      </c>
      <c r="K24" s="2061"/>
      <c r="L24" s="2061"/>
      <c r="M24" s="2061"/>
      <c r="N24" s="2061"/>
      <c r="O24" s="2061"/>
      <c r="P24" s="2061"/>
      <c r="Q24" s="2061"/>
      <c r="R24" s="2061"/>
      <c r="S24" s="2062"/>
      <c r="T24" s="105" t="s">
        <v>552</v>
      </c>
      <c r="U24" s="106"/>
      <c r="V24" s="106"/>
      <c r="W24" s="106"/>
      <c r="X24" s="107"/>
      <c r="Y24" s="107"/>
      <c r="Z24" s="107"/>
      <c r="AA24" s="108"/>
    </row>
    <row r="25" spans="1:27" ht="14.1" customHeight="1" x14ac:dyDescent="0.2">
      <c r="A25" s="1996">
        <v>61277</v>
      </c>
      <c r="B25" s="1997"/>
      <c r="C25" s="1997"/>
      <c r="D25" s="1997"/>
      <c r="E25" s="1997"/>
      <c r="F25" s="1997"/>
      <c r="G25" s="1997"/>
      <c r="H25" s="1998"/>
      <c r="I25" s="113"/>
      <c r="J25" s="2063"/>
      <c r="K25" s="2063"/>
      <c r="L25" s="2063"/>
      <c r="M25" s="2063"/>
      <c r="N25" s="2063"/>
      <c r="O25" s="2063"/>
      <c r="P25" s="2063"/>
      <c r="Q25" s="2063"/>
      <c r="R25" s="2063"/>
      <c r="S25" s="2064"/>
      <c r="T25" s="1956" t="s">
        <v>2092</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4" t="s">
        <v>1591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2093</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2093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2093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t="s">
        <v>2089</v>
      </c>
      <c r="B38" s="2029"/>
      <c r="C38" s="2029"/>
      <c r="D38" s="2029"/>
      <c r="E38" s="2029"/>
      <c r="F38" s="1997"/>
      <c r="G38" s="1997"/>
      <c r="H38" s="1998"/>
      <c r="I38" s="2048"/>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52" t="s">
        <v>552</v>
      </c>
      <c r="B39" s="2053"/>
      <c r="C39" s="72"/>
      <c r="D39" s="69"/>
      <c r="E39" s="69"/>
      <c r="F39" s="79"/>
      <c r="G39" s="69"/>
      <c r="H39" s="56"/>
      <c r="I39" s="2052" t="s">
        <v>552</v>
      </c>
      <c r="J39" s="2053"/>
      <c r="K39" s="2053"/>
      <c r="L39" s="2053"/>
      <c r="M39" s="2053"/>
      <c r="N39" s="67"/>
      <c r="O39" s="72"/>
      <c r="P39" s="72"/>
      <c r="Q39" s="78"/>
      <c r="R39" s="72"/>
      <c r="S39" s="56"/>
      <c r="T39" s="72" t="s">
        <v>552</v>
      </c>
      <c r="U39" s="51"/>
      <c r="V39" s="72"/>
      <c r="W39" s="50"/>
      <c r="X39" s="78"/>
      <c r="Y39" s="45"/>
      <c r="Z39" s="45"/>
      <c r="AA39" s="46"/>
    </row>
    <row r="40" spans="1:27" ht="13.5" customHeight="1" x14ac:dyDescent="0.2">
      <c r="A40" s="2055" t="s">
        <v>2090</v>
      </c>
      <c r="B40" s="2056"/>
      <c r="C40" s="2057"/>
      <c r="D40" s="2057"/>
      <c r="E40" s="2057"/>
      <c r="F40" s="2058"/>
      <c r="G40" s="2058"/>
      <c r="H40" s="2059"/>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5">
        <v>8155375101</v>
      </c>
      <c r="B42" s="2046"/>
      <c r="C42" s="2047"/>
      <c r="D42" s="2060">
        <v>8155375102</v>
      </c>
      <c r="E42" s="2046"/>
      <c r="F42" s="2046"/>
      <c r="G42" s="2046"/>
      <c r="H42" s="2047"/>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2108</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t="s">
        <v>2109</v>
      </c>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2084</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t="s">
        <v>2145</v>
      </c>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97016591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2.8500000000000001E-2</v>
      </c>
      <c r="E10" s="356" t="s">
        <v>1062</v>
      </c>
      <c r="F10" s="355">
        <v>7.4999999999999997E-3</v>
      </c>
      <c r="G10" s="356" t="s">
        <v>1062</v>
      </c>
      <c r="H10" s="355">
        <v>2E-3</v>
      </c>
      <c r="I10" s="356" t="s">
        <v>1063</v>
      </c>
      <c r="J10" s="1751">
        <f>ROUND(D10+F10+H10,5)</f>
        <v>3.7999999999999999E-2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8306097</v>
      </c>
      <c r="E16" s="356"/>
      <c r="F16" s="1752">
        <f>SUM('Acct Summary 7-8'!C17,'Acct Summary 7-8'!D17,'Acct Summary 7-8'!F17)</f>
        <v>7756231</v>
      </c>
      <c r="G16" s="356"/>
      <c r="H16" s="1752">
        <f>SUM(D16-F16)</f>
        <v>549866</v>
      </c>
      <c r="I16" s="222"/>
      <c r="J16" s="1752">
        <f>SUM('Acct Summary 7-8'!C81,'Acct Summary 7-8'!D81,'Acct Summary 7-8'!F81,'Acct Summary 7-8'!I81)</f>
        <v>3028685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13388289.558</v>
      </c>
      <c r="I31" s="368"/>
      <c r="J31" s="222"/>
      <c r="K31" s="222"/>
      <c r="L31" s="222"/>
      <c r="M31" s="222"/>
    </row>
    <row r="32" spans="1:13" ht="13.35" customHeight="1" x14ac:dyDescent="0.2">
      <c r="B32" s="369" t="s">
        <v>2093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567600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Prophetstown-Lyndon-Tampico CUSD 3</v>
      </c>
      <c r="E7" s="391"/>
      <c r="G7" s="252"/>
      <c r="H7" s="387"/>
      <c r="I7" s="387"/>
      <c r="J7" s="387"/>
      <c r="K7" s="387"/>
      <c r="L7" s="329"/>
      <c r="M7" s="329"/>
      <c r="N7" s="329"/>
      <c r="O7" s="329"/>
      <c r="P7" s="329"/>
    </row>
    <row r="8" spans="1:18" ht="12.75" x14ac:dyDescent="0.2">
      <c r="A8" s="329"/>
      <c r="B8" s="329"/>
      <c r="C8" s="389" t="s">
        <v>1187</v>
      </c>
      <c r="D8" s="392">
        <f>COVER!A13</f>
        <v>47098003026</v>
      </c>
      <c r="E8" s="393"/>
      <c r="G8" s="329"/>
      <c r="H8" s="329"/>
      <c r="I8" s="329"/>
      <c r="J8" s="329"/>
      <c r="K8" s="329"/>
      <c r="L8" s="329"/>
      <c r="M8" s="329"/>
      <c r="N8" s="329"/>
      <c r="O8" s="329"/>
      <c r="P8" s="329"/>
    </row>
    <row r="9" spans="1:18" ht="12.75" x14ac:dyDescent="0.2">
      <c r="A9" s="329"/>
      <c r="B9" s="329"/>
      <c r="C9" s="389" t="s">
        <v>737</v>
      </c>
      <c r="D9" s="394" t="str">
        <f>COVER!A15</f>
        <v>Whiteside, Henry, 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3028685</v>
      </c>
      <c r="I12" s="404"/>
      <c r="J12" s="404"/>
      <c r="K12" s="405">
        <f>TRUNC((H12/H13*100000),5)/100000</f>
        <v>0.36463395500000001</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8306097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7756231</v>
      </c>
      <c r="I17" s="404"/>
      <c r="J17" s="416"/>
      <c r="K17" s="405">
        <f>TRUNC((H17/H18*100000),5)/100000</f>
        <v>0.93379971359999991</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8306097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3028685</v>
      </c>
      <c r="I24" s="422"/>
      <c r="J24" s="422"/>
      <c r="K24" s="423">
        <f>TRUNC(((H24/H25*100000)/100000),2)</f>
        <v>140.57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21545.08611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3133635.8892999999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567600</v>
      </c>
      <c r="I32" s="420"/>
      <c r="J32" s="420"/>
      <c r="K32" s="423">
        <f>TRUNC(100-((((H32/H33*100))*100)/100),2)</f>
        <v>95.76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13388289.558</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3" t="s">
        <v>1750</v>
      </c>
      <c r="B4" s="464"/>
      <c r="C4" s="465">
        <v>184285</v>
      </c>
      <c r="D4" s="465">
        <v>23643</v>
      </c>
      <c r="E4" s="466">
        <v>1741</v>
      </c>
      <c r="F4" s="466">
        <v>29974</v>
      </c>
      <c r="G4" s="466">
        <v>15755</v>
      </c>
      <c r="H4" s="466">
        <v>16461</v>
      </c>
      <c r="I4" s="466">
        <v>8950</v>
      </c>
      <c r="J4" s="467">
        <v>16604</v>
      </c>
      <c r="K4" s="466">
        <v>10206</v>
      </c>
      <c r="L4" s="466">
        <v>98668</v>
      </c>
      <c r="M4" s="468"/>
      <c r="N4" s="469"/>
    </row>
    <row r="5" spans="1:14" x14ac:dyDescent="0.2">
      <c r="A5" s="463" t="s">
        <v>1049</v>
      </c>
      <c r="B5" s="470">
        <v>120</v>
      </c>
      <c r="C5" s="465">
        <v>1041512</v>
      </c>
      <c r="D5" s="466">
        <v>872313</v>
      </c>
      <c r="E5" s="466">
        <v>255937</v>
      </c>
      <c r="F5" s="466">
        <v>317028</v>
      </c>
      <c r="G5" s="466">
        <v>506308</v>
      </c>
      <c r="H5" s="466">
        <v>665990</v>
      </c>
      <c r="I5" s="466">
        <v>550980</v>
      </c>
      <c r="J5" s="467">
        <v>351624</v>
      </c>
      <c r="K5" s="471">
        <v>513970</v>
      </c>
      <c r="L5" s="472">
        <v>35889</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1225797</v>
      </c>
      <c r="D13" s="1756">
        <f t="shared" ref="D13:L13" si="0">SUM(D4:D12)</f>
        <v>895956</v>
      </c>
      <c r="E13" s="1756">
        <f t="shared" si="0"/>
        <v>257678</v>
      </c>
      <c r="F13" s="1756">
        <f t="shared" si="0"/>
        <v>347002</v>
      </c>
      <c r="G13" s="1756">
        <f t="shared" si="0"/>
        <v>522063</v>
      </c>
      <c r="H13" s="1756">
        <f t="shared" si="0"/>
        <v>682451</v>
      </c>
      <c r="I13" s="1756">
        <f t="shared" si="0"/>
        <v>559930</v>
      </c>
      <c r="J13" s="1756">
        <f t="shared" si="0"/>
        <v>368228</v>
      </c>
      <c r="K13" s="1756">
        <f t="shared" si="0"/>
        <v>524176</v>
      </c>
      <c r="L13" s="1756">
        <f t="shared" si="0"/>
        <v>134557</v>
      </c>
      <c r="M13" s="468"/>
      <c r="N13" s="469"/>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169617</v>
      </c>
      <c r="N16" s="483"/>
    </row>
    <row r="17" spans="1:14" s="484" customFormat="1" ht="12.75" customHeight="1" x14ac:dyDescent="0.2">
      <c r="A17" s="481" t="s">
        <v>1470</v>
      </c>
      <c r="B17" s="482">
        <v>230</v>
      </c>
      <c r="C17" s="476"/>
      <c r="D17" s="476"/>
      <c r="E17" s="476"/>
      <c r="F17" s="476"/>
      <c r="G17" s="476"/>
      <c r="H17" s="476"/>
      <c r="I17" s="476"/>
      <c r="J17" s="476"/>
      <c r="K17" s="476"/>
      <c r="L17" s="476"/>
      <c r="M17" s="467">
        <v>30546012</v>
      </c>
      <c r="N17" s="483"/>
    </row>
    <row r="18" spans="1:14" s="484" customFormat="1" ht="12.75" customHeight="1" x14ac:dyDescent="0.2">
      <c r="A18" s="481" t="s">
        <v>1471</v>
      </c>
      <c r="B18" s="482">
        <v>240</v>
      </c>
      <c r="C18" s="476"/>
      <c r="D18" s="476"/>
      <c r="E18" s="476"/>
      <c r="F18" s="476"/>
      <c r="G18" s="476"/>
      <c r="H18" s="476"/>
      <c r="I18" s="476"/>
      <c r="J18" s="476"/>
      <c r="K18" s="476"/>
      <c r="L18" s="476"/>
      <c r="M18" s="467">
        <v>0</v>
      </c>
      <c r="N18" s="483"/>
    </row>
    <row r="19" spans="1:14" s="484" customFormat="1" ht="12.75" customHeight="1" x14ac:dyDescent="0.2">
      <c r="A19" s="481" t="s">
        <v>1472</v>
      </c>
      <c r="B19" s="482">
        <v>250</v>
      </c>
      <c r="C19" s="476"/>
      <c r="D19" s="476"/>
      <c r="E19" s="476"/>
      <c r="F19" s="476"/>
      <c r="G19" s="476"/>
      <c r="H19" s="476"/>
      <c r="I19" s="476"/>
      <c r="J19" s="476"/>
      <c r="K19" s="476"/>
      <c r="L19" s="476"/>
      <c r="M19" s="467">
        <v>3009850</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257678</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309922</v>
      </c>
    </row>
    <row r="23" spans="1:14" ht="13.5" customHeight="1" thickBot="1" x14ac:dyDescent="0.25">
      <c r="A23" s="1755" t="s">
        <v>664</v>
      </c>
      <c r="B23" s="1760"/>
      <c r="C23" s="468"/>
      <c r="D23" s="468"/>
      <c r="E23" s="468"/>
      <c r="F23" s="468"/>
      <c r="G23" s="468"/>
      <c r="H23" s="468"/>
      <c r="I23" s="468"/>
      <c r="J23" s="468"/>
      <c r="K23" s="468"/>
      <c r="L23" s="468"/>
      <c r="M23" s="1707">
        <f>SUM(M15:M22)</f>
        <v>33725479</v>
      </c>
      <c r="N23" s="1707">
        <f>SUM(N21:N22)</f>
        <v>567600</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108668</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108668</v>
      </c>
      <c r="M34" s="468"/>
      <c r="N34" s="479"/>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567600</v>
      </c>
    </row>
    <row r="37" spans="1:14" ht="13.5" thickBot="1" x14ac:dyDescent="0.25">
      <c r="A37" s="1755" t="s">
        <v>674</v>
      </c>
      <c r="B37" s="1760"/>
      <c r="C37" s="476"/>
      <c r="D37" s="476"/>
      <c r="E37" s="476"/>
      <c r="F37" s="476"/>
      <c r="G37" s="476"/>
      <c r="H37" s="476"/>
      <c r="I37" s="476"/>
      <c r="J37" s="476"/>
      <c r="K37" s="476"/>
      <c r="L37" s="479"/>
      <c r="M37" s="468"/>
      <c r="N37" s="1707">
        <f>SUM(N36:N36)</f>
        <v>567600</v>
      </c>
    </row>
    <row r="38" spans="1:14" s="329" customFormat="1" ht="13.5" customHeight="1" thickTop="1" x14ac:dyDescent="0.2">
      <c r="A38" s="494" t="s">
        <v>440</v>
      </c>
      <c r="B38" s="482">
        <v>714</v>
      </c>
      <c r="C38" s="465">
        <v>0</v>
      </c>
      <c r="D38" s="465">
        <v>0</v>
      </c>
      <c r="E38" s="465">
        <v>0</v>
      </c>
      <c r="F38" s="465">
        <v>0</v>
      </c>
      <c r="G38" s="465">
        <v>214662</v>
      </c>
      <c r="H38" s="465">
        <v>682451</v>
      </c>
      <c r="I38" s="465">
        <v>0</v>
      </c>
      <c r="J38" s="465">
        <v>0</v>
      </c>
      <c r="K38" s="465">
        <v>0</v>
      </c>
      <c r="L38" s="465">
        <v>25889</v>
      </c>
      <c r="M38" s="495"/>
      <c r="N38" s="495"/>
    </row>
    <row r="39" spans="1:14" s="329" customFormat="1" ht="13.5" customHeight="1" x14ac:dyDescent="0.2">
      <c r="A39" s="494" t="s">
        <v>360</v>
      </c>
      <c r="B39" s="482">
        <v>730</v>
      </c>
      <c r="C39" s="465">
        <v>1225797</v>
      </c>
      <c r="D39" s="465">
        <v>895956</v>
      </c>
      <c r="E39" s="465">
        <v>257678</v>
      </c>
      <c r="F39" s="465">
        <v>347002</v>
      </c>
      <c r="G39" s="465">
        <v>307401</v>
      </c>
      <c r="H39" s="465">
        <v>0</v>
      </c>
      <c r="I39" s="465">
        <v>559930</v>
      </c>
      <c r="J39" s="465">
        <v>368228</v>
      </c>
      <c r="K39" s="465">
        <v>524176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33725479</v>
      </c>
      <c r="N40" s="495"/>
    </row>
    <row r="41" spans="1:14" ht="13.5" customHeight="1" thickBot="1" x14ac:dyDescent="0.25">
      <c r="A41" s="1755" t="s">
        <v>676</v>
      </c>
      <c r="B41" s="1725"/>
      <c r="C41" s="1707">
        <f>(SUM(C34,C37,C38,C39))</f>
        <v>1225797</v>
      </c>
      <c r="D41" s="1707">
        <f t="shared" ref="D41:L41" si="2">SUM(D34,D37,D38:D39)</f>
        <v>895956</v>
      </c>
      <c r="E41" s="1707">
        <f t="shared" si="2"/>
        <v>257678</v>
      </c>
      <c r="F41" s="1707">
        <f t="shared" si="2"/>
        <v>347002</v>
      </c>
      <c r="G41" s="1707">
        <f t="shared" si="2"/>
        <v>522063</v>
      </c>
      <c r="H41" s="1707">
        <f t="shared" si="2"/>
        <v>682451</v>
      </c>
      <c r="I41" s="1707">
        <f t="shared" si="2"/>
        <v>559930</v>
      </c>
      <c r="J41" s="1707">
        <f t="shared" si="2"/>
        <v>368228</v>
      </c>
      <c r="K41" s="1707">
        <f t="shared" si="2"/>
        <v>524176</v>
      </c>
      <c r="L41" s="1707">
        <f t="shared" si="2"/>
        <v>134557</v>
      </c>
      <c r="M41" s="1707">
        <f>SUM(M40)</f>
        <v>33725479</v>
      </c>
      <c r="N41" s="1707">
        <f>SUM(N37)</f>
        <v>567600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1" sqref="J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9"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1" t="s">
        <v>1237</v>
      </c>
      <c r="B3" s="2152"/>
      <c r="C3" s="1593"/>
      <c r="D3" s="1594"/>
      <c r="E3" s="1594"/>
      <c r="F3" s="1594"/>
      <c r="G3" s="1594"/>
      <c r="H3" s="1594"/>
      <c r="I3" s="1594"/>
      <c r="J3" s="1594"/>
      <c r="K3" s="1595"/>
      <c r="L3" s="504"/>
    </row>
    <row r="4" spans="1:13" ht="15.75" customHeight="1" x14ac:dyDescent="0.2">
      <c r="A4" s="1949" t="s">
        <v>1579</v>
      </c>
      <c r="B4" s="1950">
        <v>1000</v>
      </c>
      <c r="C4" s="1761">
        <f>'Revenues 9-14'!C109</f>
        <v>3259429</v>
      </c>
      <c r="D4" s="1761">
        <f>'Revenues 9-14'!D109</f>
        <v>737871</v>
      </c>
      <c r="E4" s="1761">
        <f>'Revenues 9-14'!E109</f>
        <v>246661</v>
      </c>
      <c r="F4" s="1761">
        <f>'Revenues 9-14'!F109</f>
        <v>196093</v>
      </c>
      <c r="G4" s="1761">
        <f>'Revenues 9-14'!G109</f>
        <v>257517</v>
      </c>
      <c r="H4" s="1761">
        <f>'Revenues 9-14'!H109</f>
        <v>416731</v>
      </c>
      <c r="I4" s="1761">
        <f>'Revenues 9-14'!I109</f>
        <v>54338</v>
      </c>
      <c r="J4" s="1761">
        <f>'Revenues 9-14'!J109</f>
        <v>166237</v>
      </c>
      <c r="K4" s="1761">
        <f>'Revenues 9-14'!K109</f>
        <v>55428</v>
      </c>
      <c r="L4" s="347"/>
    </row>
    <row r="5" spans="1:13" ht="15.75" customHeight="1" x14ac:dyDescent="0.2">
      <c r="A5" s="1596" t="s">
        <v>1580</v>
      </c>
      <c r="B5" s="1597">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6" t="s">
        <v>1581</v>
      </c>
      <c r="B6" s="1598">
        <v>3000</v>
      </c>
      <c r="C6" s="1762">
        <f>'Revenues 9-14'!C173</f>
        <v>3164343</v>
      </c>
      <c r="D6" s="1762">
        <f>'Revenues 9-14'!D173</f>
        <v>0</v>
      </c>
      <c r="E6" s="1762">
        <f>'Revenues 9-14'!E173</f>
        <v>0</v>
      </c>
      <c r="F6" s="1762">
        <f>'Revenues 9-14'!F173</f>
        <v>390057</v>
      </c>
      <c r="G6" s="1762">
        <f>'Revenues 9-14'!G173</f>
        <v>0</v>
      </c>
      <c r="H6" s="1762">
        <f>'Revenues 9-14'!H173</f>
        <v>0</v>
      </c>
      <c r="I6" s="1762">
        <f>'Revenues 9-14'!I173</f>
        <v>0</v>
      </c>
      <c r="J6" s="1762">
        <f>'Revenues 9-14'!J173</f>
        <v>0</v>
      </c>
      <c r="K6" s="1762">
        <f>'Revenues 9-14'!K173</f>
        <v>0</v>
      </c>
      <c r="L6" s="347"/>
      <c r="M6" s="511"/>
    </row>
    <row r="7" spans="1:13" ht="15.75" customHeight="1" x14ac:dyDescent="0.2">
      <c r="A7" s="1596" t="s">
        <v>1582</v>
      </c>
      <c r="B7" s="1598">
        <v>4000</v>
      </c>
      <c r="C7" s="1762">
        <f>'Revenues 9-14'!C274</f>
        <v>503966</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6927738</v>
      </c>
      <c r="D8" s="1707">
        <f t="shared" ref="D8:K8" si="0">SUM(D4:D7)</f>
        <v>737871</v>
      </c>
      <c r="E8" s="1707">
        <f t="shared" si="0"/>
        <v>246661</v>
      </c>
      <c r="F8" s="1707">
        <f t="shared" si="0"/>
        <v>586150</v>
      </c>
      <c r="G8" s="1707">
        <f t="shared" si="0"/>
        <v>257517</v>
      </c>
      <c r="H8" s="1707">
        <f t="shared" si="0"/>
        <v>416731</v>
      </c>
      <c r="I8" s="1707">
        <f t="shared" si="0"/>
        <v>54338</v>
      </c>
      <c r="J8" s="1707">
        <f t="shared" si="0"/>
        <v>166237</v>
      </c>
      <c r="K8" s="1707">
        <f t="shared" si="0"/>
        <v>55428</v>
      </c>
      <c r="L8" s="347"/>
    </row>
    <row r="9" spans="1:13" ht="15.75" thickTop="1" x14ac:dyDescent="0.2">
      <c r="A9" s="512" t="s">
        <v>1752</v>
      </c>
      <c r="B9" s="513">
        <v>3998</v>
      </c>
      <c r="C9" s="465">
        <v>2773917</v>
      </c>
      <c r="D9" s="514"/>
      <c r="E9" s="480"/>
      <c r="F9" s="480"/>
      <c r="G9" s="515"/>
      <c r="H9" s="480"/>
      <c r="I9" s="507" t="s">
        <v>1231</v>
      </c>
      <c r="J9" s="477"/>
      <c r="K9" s="480"/>
      <c r="L9" s="347"/>
    </row>
    <row r="10" spans="1:13" s="517" customFormat="1" ht="13.5" thickBot="1" x14ac:dyDescent="0.25">
      <c r="A10" s="1755" t="s">
        <v>1235</v>
      </c>
      <c r="B10" s="1728"/>
      <c r="C10" s="1707">
        <f>SUM(C8:C9)</f>
        <v>9701655</v>
      </c>
      <c r="D10" s="1707">
        <f t="shared" ref="D10:K10" si="1">SUM(D8:D9)</f>
        <v>737871</v>
      </c>
      <c r="E10" s="1707">
        <f t="shared" si="1"/>
        <v>246661</v>
      </c>
      <c r="F10" s="1707">
        <f t="shared" si="1"/>
        <v>586150</v>
      </c>
      <c r="G10" s="1707">
        <f t="shared" si="1"/>
        <v>257517</v>
      </c>
      <c r="H10" s="1707">
        <f t="shared" si="1"/>
        <v>416731</v>
      </c>
      <c r="I10" s="1707">
        <f t="shared" si="1"/>
        <v>54338</v>
      </c>
      <c r="J10" s="1707">
        <f t="shared" si="1"/>
        <v>166237</v>
      </c>
      <c r="K10" s="1707">
        <f t="shared" si="1"/>
        <v>55428</v>
      </c>
      <c r="L10" s="516"/>
    </row>
    <row r="11" spans="1:13" s="517" customFormat="1" ht="16.7" customHeight="1" thickTop="1" x14ac:dyDescent="0.2">
      <c r="A11" s="2125" t="s">
        <v>1238</v>
      </c>
      <c r="B11" s="2126"/>
      <c r="C11" s="1590"/>
      <c r="D11" s="1591"/>
      <c r="E11" s="1591"/>
      <c r="F11" s="1591"/>
      <c r="G11" s="1591"/>
      <c r="H11" s="1591"/>
      <c r="I11" s="1591"/>
      <c r="J11" s="1591"/>
      <c r="K11" s="1592"/>
      <c r="L11" s="516"/>
    </row>
    <row r="12" spans="1:13" ht="15.75" customHeight="1" x14ac:dyDescent="0.2">
      <c r="A12" s="1596" t="s">
        <v>476</v>
      </c>
      <c r="B12" s="1598">
        <v>1000</v>
      </c>
      <c r="C12" s="1761">
        <f>'Expenditures 15-22'!K33</f>
        <v>4402556</v>
      </c>
      <c r="D12" s="518" t="s">
        <v>1231</v>
      </c>
      <c r="E12" s="468" t="s">
        <v>1231</v>
      </c>
      <c r="F12" s="468" t="s">
        <v>1231</v>
      </c>
      <c r="G12" s="1761">
        <f>'Expenditures 15-22'!K229</f>
        <v>76395</v>
      </c>
      <c r="H12" s="519"/>
      <c r="I12" s="468" t="s">
        <v>1231</v>
      </c>
      <c r="J12" s="468" t="s">
        <v>1231</v>
      </c>
      <c r="K12" s="519" t="s">
        <v>1231</v>
      </c>
      <c r="L12" s="347"/>
    </row>
    <row r="13" spans="1:13" ht="15.75" customHeight="1" x14ac:dyDescent="0.2">
      <c r="A13" s="1596" t="s">
        <v>477</v>
      </c>
      <c r="B13" s="1598">
        <v>2000</v>
      </c>
      <c r="C13" s="1762">
        <f>'Expenditures 15-22'!K74</f>
        <v>1631813</v>
      </c>
      <c r="D13" s="1762">
        <f>'Expenditures 15-22'!K129</f>
        <v>669007</v>
      </c>
      <c r="E13" s="469" t="s">
        <v>1231</v>
      </c>
      <c r="F13" s="1762">
        <f>'Expenditures 15-22'!K184</f>
        <v>506612</v>
      </c>
      <c r="G13" s="1762">
        <f>'Expenditures 15-22'!K279</f>
        <v>160586</v>
      </c>
      <c r="H13" s="1762">
        <f>'Expenditures 15-22'!K303</f>
        <v>215462</v>
      </c>
      <c r="I13" s="468" t="s">
        <v>1231</v>
      </c>
      <c r="J13" s="1762">
        <f>'Expenditures 15-22'!K330</f>
        <v>98288</v>
      </c>
      <c r="K13" s="1766">
        <f>'Expenditures 15-22'!K352</f>
        <v>583280</v>
      </c>
      <c r="L13" s="347"/>
    </row>
    <row r="14" spans="1:13" ht="15.75" customHeight="1" x14ac:dyDescent="0.2">
      <c r="A14" s="1596" t="s">
        <v>469</v>
      </c>
      <c r="B14" s="1598">
        <v>3000</v>
      </c>
      <c r="C14" s="1762">
        <f>'Expenditures 15-22'!K75</f>
        <v>0</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6" t="s">
        <v>109</v>
      </c>
      <c r="B15" s="1598">
        <v>4000</v>
      </c>
      <c r="C15" s="1762">
        <f>'Expenditures 15-22'!K102</f>
        <v>538867</v>
      </c>
      <c r="D15" s="1762">
        <f>'Expenditures 15-22'!K139</f>
        <v>7376</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6" t="s">
        <v>470</v>
      </c>
      <c r="B16" s="1598">
        <v>5000</v>
      </c>
      <c r="C16" s="1762">
        <f>'Expenditures 15-22'!K112</f>
        <v>0</v>
      </c>
      <c r="D16" s="1762">
        <f>'Expenditures 15-22'!K149</f>
        <v>0</v>
      </c>
      <c r="E16" s="1762">
        <f>'Expenditures 15-22'!K172</f>
        <v>337079</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6573236</v>
      </c>
      <c r="D17" s="1707">
        <f t="shared" si="2"/>
        <v>676383</v>
      </c>
      <c r="E17" s="1707">
        <f t="shared" si="2"/>
        <v>337079</v>
      </c>
      <c r="F17" s="1707">
        <f t="shared" si="2"/>
        <v>506612</v>
      </c>
      <c r="G17" s="1707">
        <f t="shared" si="2"/>
        <v>236981</v>
      </c>
      <c r="H17" s="1707">
        <f t="shared" si="2"/>
        <v>215462</v>
      </c>
      <c r="I17" s="468"/>
      <c r="J17" s="1707">
        <f>SUM(J12:J16)</f>
        <v>98288</v>
      </c>
      <c r="K17" s="1707">
        <f>SUM(K12:K16)</f>
        <v>583280</v>
      </c>
      <c r="L17" s="347"/>
    </row>
    <row r="18" spans="1:12" ht="15" customHeight="1" thickTop="1" x14ac:dyDescent="0.2">
      <c r="A18" s="1763" t="s">
        <v>1753</v>
      </c>
      <c r="B18" s="1764">
        <v>4180</v>
      </c>
      <c r="C18" s="1761">
        <f t="shared" ref="C18:H18" si="3">C9</f>
        <v>2773917</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9347153</v>
      </c>
      <c r="D19" s="1707">
        <f t="shared" si="4"/>
        <v>676383</v>
      </c>
      <c r="E19" s="1707">
        <f t="shared" si="4"/>
        <v>337079</v>
      </c>
      <c r="F19" s="1707">
        <f t="shared" si="4"/>
        <v>506612</v>
      </c>
      <c r="G19" s="1707">
        <f t="shared" si="4"/>
        <v>236981</v>
      </c>
      <c r="H19" s="1707">
        <f t="shared" si="4"/>
        <v>215462</v>
      </c>
      <c r="I19" s="468"/>
      <c r="J19" s="1707">
        <f>SUM(J17:J18)</f>
        <v>98288</v>
      </c>
      <c r="K19" s="1707">
        <f>SUM(K17:K18)</f>
        <v>583280</v>
      </c>
      <c r="L19" s="347"/>
    </row>
    <row r="20" spans="1:12" ht="16.5" thickTop="1" thickBot="1" x14ac:dyDescent="0.25">
      <c r="A20" s="2141" t="s">
        <v>1754</v>
      </c>
      <c r="B20" s="2142"/>
      <c r="C20" s="1765">
        <f>C8-C17</f>
        <v>354502</v>
      </c>
      <c r="D20" s="1765">
        <f t="shared" ref="D20:K20" si="5">D8-D17</f>
        <v>61488</v>
      </c>
      <c r="E20" s="1765">
        <f t="shared" si="5"/>
        <v>-90418</v>
      </c>
      <c r="F20" s="1765">
        <f t="shared" si="5"/>
        <v>79538</v>
      </c>
      <c r="G20" s="1765">
        <f t="shared" si="5"/>
        <v>20536</v>
      </c>
      <c r="H20" s="1765">
        <f t="shared" si="5"/>
        <v>201269</v>
      </c>
      <c r="I20" s="1765">
        <f t="shared" si="5"/>
        <v>54338</v>
      </c>
      <c r="J20" s="1765">
        <f t="shared" si="5"/>
        <v>67949</v>
      </c>
      <c r="K20" s="1765">
        <f t="shared" si="5"/>
        <v>-527852</v>
      </c>
      <c r="L20" s="347"/>
    </row>
    <row r="21" spans="1:12" ht="16.7" customHeight="1" thickTop="1" x14ac:dyDescent="0.2">
      <c r="A21" s="2153" t="s">
        <v>616</v>
      </c>
      <c r="B21" s="2154"/>
      <c r="C21" s="1590"/>
      <c r="D21" s="1591"/>
      <c r="E21" s="1591"/>
      <c r="F21" s="1591"/>
      <c r="G21" s="1591"/>
      <c r="H21" s="1591"/>
      <c r="I21" s="1591"/>
      <c r="J21" s="1591"/>
      <c r="K21" s="1592"/>
      <c r="L21" s="522"/>
    </row>
    <row r="22" spans="1:12" ht="15.75" customHeight="1" collapsed="1" x14ac:dyDescent="0.2">
      <c r="A22" s="2149" t="s">
        <v>617</v>
      </c>
      <c r="B22" s="2150"/>
      <c r="C22" s="476"/>
      <c r="D22" s="476"/>
      <c r="E22" s="476"/>
      <c r="F22" s="476"/>
      <c r="G22" s="476"/>
      <c r="H22" s="476"/>
      <c r="I22" s="476"/>
      <c r="J22" s="476"/>
      <c r="K22" s="476"/>
      <c r="L22" s="347"/>
    </row>
    <row r="23" spans="1:12" s="484" customFormat="1" ht="15.75" customHeight="1" x14ac:dyDescent="0.2">
      <c r="A23" s="2145" t="s">
        <v>311</v>
      </c>
      <c r="B23" s="2146"/>
      <c r="C23" s="479"/>
      <c r="D23" s="476"/>
      <c r="E23" s="476"/>
      <c r="F23" s="476"/>
      <c r="G23" s="476"/>
      <c r="H23" s="476"/>
      <c r="I23" s="476"/>
      <c r="J23" s="476"/>
      <c r="K23" s="476"/>
      <c r="L23" s="522"/>
    </row>
    <row r="24" spans="1:12" s="484" customFormat="1" ht="13.5" customHeight="1" x14ac:dyDescent="0.2">
      <c r="A24" s="1509" t="s">
        <v>1755</v>
      </c>
      <c r="B24" s="523">
        <v>7110</v>
      </c>
      <c r="C24" s="465"/>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7" t="s">
        <v>1038</v>
      </c>
      <c r="B32" s="2148"/>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2">
        <f>SUM(C54:D57,H54:H57)</f>
        <v>0</v>
      </c>
      <c r="F37" s="475"/>
      <c r="G37" s="475"/>
      <c r="H37" s="475"/>
      <c r="I37" s="476"/>
      <c r="J37" s="475"/>
      <c r="K37" s="475"/>
      <c r="L37" s="522"/>
    </row>
    <row r="38" spans="1:12" s="484" customFormat="1" x14ac:dyDescent="0.2">
      <c r="A38" s="1509" t="s">
        <v>462</v>
      </c>
      <c r="B38" s="523">
        <v>7500</v>
      </c>
      <c r="C38" s="476"/>
      <c r="D38" s="476"/>
      <c r="E38" s="1762">
        <f>SUM(C58:D61,H58:H61)</f>
        <v>0</v>
      </c>
      <c r="F38" s="476"/>
      <c r="G38" s="476"/>
      <c r="H38" s="476"/>
      <c r="I38" s="476"/>
      <c r="J38" s="476"/>
      <c r="K38" s="476"/>
      <c r="L38" s="522"/>
    </row>
    <row r="39" spans="1:12" s="484" customFormat="1" x14ac:dyDescent="0.2">
      <c r="A39" s="1509" t="s">
        <v>463</v>
      </c>
      <c r="B39" s="523">
        <v>7600</v>
      </c>
      <c r="C39" s="476"/>
      <c r="D39" s="476"/>
      <c r="E39" s="1762">
        <f>SUM(C62:D65)</f>
        <v>0</v>
      </c>
      <c r="F39" s="476"/>
      <c r="G39" s="476"/>
      <c r="H39" s="476"/>
      <c r="I39" s="476"/>
      <c r="J39" s="476"/>
      <c r="K39" s="476"/>
      <c r="L39" s="522"/>
    </row>
    <row r="40" spans="1:12" s="484" customFormat="1" ht="13.5" customHeight="1" x14ac:dyDescent="0.2">
      <c r="A40" s="1509" t="s">
        <v>663</v>
      </c>
      <c r="B40" s="482">
        <v>7700</v>
      </c>
      <c r="C40" s="476"/>
      <c r="D40" s="476"/>
      <c r="E40" s="1762">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2">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5" t="s">
        <v>392</v>
      </c>
      <c r="B44" s="2156"/>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2"/>
    </row>
    <row r="45" spans="1:12" ht="15.75" customHeight="1" thickTop="1" x14ac:dyDescent="0.2">
      <c r="A45" s="2149" t="s">
        <v>110</v>
      </c>
      <c r="B45" s="2150"/>
      <c r="C45" s="526"/>
      <c r="D45" s="526"/>
      <c r="E45" s="526"/>
      <c r="F45" s="526"/>
      <c r="G45" s="526"/>
      <c r="H45" s="526"/>
      <c r="I45" s="526"/>
      <c r="J45" s="526"/>
      <c r="K45" s="526"/>
      <c r="L45" s="347"/>
    </row>
    <row r="46" spans="1:12" s="484" customFormat="1" ht="15.75" customHeight="1" x14ac:dyDescent="0.2">
      <c r="A46" s="2157" t="s">
        <v>111</v>
      </c>
      <c r="B46" s="2158"/>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2">
        <f>SUM(C24,C25:H25,J25:K25)</f>
        <v>0</v>
      </c>
      <c r="J47" s="476"/>
      <c r="K47" s="476"/>
      <c r="L47" s="527"/>
    </row>
    <row r="48" spans="1:12" s="484" customFormat="1" ht="15" x14ac:dyDescent="0.2">
      <c r="A48" s="1510" t="s">
        <v>1759</v>
      </c>
      <c r="B48" s="482">
        <v>8120</v>
      </c>
      <c r="C48" s="479"/>
      <c r="D48" s="479"/>
      <c r="E48" s="476"/>
      <c r="F48" s="479"/>
      <c r="G48" s="476"/>
      <c r="H48" s="476"/>
      <c r="I48" s="1762">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2">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2">
        <f>D30</f>
        <v>0</v>
      </c>
      <c r="L52" s="522"/>
    </row>
    <row r="53" spans="1:12" s="484" customFormat="1" ht="26.25" x14ac:dyDescent="0.2">
      <c r="A53" s="1510" t="s">
        <v>1899</v>
      </c>
      <c r="B53" s="482">
        <v>8170</v>
      </c>
      <c r="C53" s="479"/>
      <c r="D53" s="479"/>
      <c r="E53" s="476"/>
      <c r="F53" s="476"/>
      <c r="G53" s="476"/>
      <c r="H53" s="479"/>
      <c r="I53" s="476"/>
      <c r="J53" s="476"/>
      <c r="K53" s="1762">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1" t="s">
        <v>460</v>
      </c>
      <c r="B76" s="2132"/>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133" t="s">
        <v>1239</v>
      </c>
      <c r="B77" s="2134"/>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37" t="s">
        <v>618</v>
      </c>
      <c r="B78" s="2138"/>
      <c r="C78" s="1721">
        <f t="shared" ref="C78:K78" si="9">C20+C77</f>
        <v>354502</v>
      </c>
      <c r="D78" s="1721">
        <f t="shared" si="9"/>
        <v>61488</v>
      </c>
      <c r="E78" s="1721">
        <f t="shared" si="9"/>
        <v>-90418</v>
      </c>
      <c r="F78" s="1721">
        <f t="shared" si="9"/>
        <v>79538</v>
      </c>
      <c r="G78" s="1721">
        <f t="shared" si="9"/>
        <v>20536</v>
      </c>
      <c r="H78" s="1721">
        <f t="shared" si="9"/>
        <v>201269</v>
      </c>
      <c r="I78" s="1721">
        <f t="shared" si="9"/>
        <v>54338</v>
      </c>
      <c r="J78" s="1721">
        <f t="shared" si="9"/>
        <v>67949</v>
      </c>
      <c r="K78" s="1721">
        <f t="shared" si="9"/>
        <v>-527852</v>
      </c>
      <c r="L78" s="531"/>
    </row>
    <row r="79" spans="1:12" ht="13.5" thickTop="1" x14ac:dyDescent="0.2">
      <c r="A79" s="1514" t="s">
        <v>2073</v>
      </c>
      <c r="B79" s="532"/>
      <c r="C79" s="467">
        <v>871295</v>
      </c>
      <c r="D79" s="467">
        <v>834468</v>
      </c>
      <c r="E79" s="467">
        <v>348096</v>
      </c>
      <c r="F79" s="467">
        <v>267464</v>
      </c>
      <c r="G79" s="467">
        <v>501527</v>
      </c>
      <c r="H79" s="467">
        <v>481182</v>
      </c>
      <c r="I79" s="467">
        <v>505592</v>
      </c>
      <c r="J79" s="467">
        <v>300279</v>
      </c>
      <c r="K79" s="467">
        <v>1052028</v>
      </c>
      <c r="L79" s="347"/>
    </row>
    <row r="80" spans="1:12" x14ac:dyDescent="0.2">
      <c r="A80" s="2143" t="s">
        <v>1898</v>
      </c>
      <c r="B80" s="2144"/>
      <c r="C80" s="467">
        <v>0</v>
      </c>
      <c r="D80" s="467">
        <v>0</v>
      </c>
      <c r="E80" s="467">
        <v>0</v>
      </c>
      <c r="F80" s="467">
        <v>0</v>
      </c>
      <c r="G80" s="467">
        <v>0</v>
      </c>
      <c r="H80" s="467">
        <v>0</v>
      </c>
      <c r="I80" s="467">
        <v>0</v>
      </c>
      <c r="J80" s="467">
        <v>0</v>
      </c>
      <c r="K80" s="467">
        <v>0</v>
      </c>
      <c r="L80" s="347"/>
    </row>
    <row r="81" spans="1:12" ht="13.5" thickBot="1" x14ac:dyDescent="0.25">
      <c r="A81" s="2135" t="s">
        <v>2074</v>
      </c>
      <c r="B81" s="2136"/>
      <c r="C81" s="1707">
        <f>(SUM(C78:C80))</f>
        <v>1225797</v>
      </c>
      <c r="D81" s="1707">
        <f>SUM(D78:D80)</f>
        <v>895956</v>
      </c>
      <c r="E81" s="1707">
        <f t="shared" ref="E81:K81" si="10">SUM(E78:E80)</f>
        <v>257678</v>
      </c>
      <c r="F81" s="1707">
        <f t="shared" si="10"/>
        <v>347002</v>
      </c>
      <c r="G81" s="1707">
        <f t="shared" si="10"/>
        <v>522063</v>
      </c>
      <c r="H81" s="1707">
        <f t="shared" si="10"/>
        <v>682451</v>
      </c>
      <c r="I81" s="1707">
        <f t="shared" si="10"/>
        <v>559930</v>
      </c>
      <c r="J81" s="1707">
        <f t="shared" si="10"/>
        <v>368228</v>
      </c>
      <c r="K81" s="1707">
        <f t="shared" si="10"/>
        <v>524176</v>
      </c>
      <c r="L81" s="347"/>
    </row>
    <row r="82" spans="1:12" ht="0.75" customHeight="1" thickTop="1" thickBot="1" x14ac:dyDescent="0.25">
      <c r="A82" s="534" t="s">
        <v>361</v>
      </c>
      <c r="B82" s="535"/>
      <c r="C82" s="536">
        <f>(C81-C79)</f>
        <v>354502</v>
      </c>
      <c r="D82" s="536">
        <f t="shared" ref="D82:K82" si="11">(D81-D79)</f>
        <v>61488</v>
      </c>
      <c r="E82" s="536">
        <f t="shared" si="11"/>
        <v>-90418</v>
      </c>
      <c r="F82" s="536">
        <f t="shared" si="11"/>
        <v>79538</v>
      </c>
      <c r="G82" s="536">
        <f t="shared" si="11"/>
        <v>20536</v>
      </c>
      <c r="H82" s="536">
        <f t="shared" si="11"/>
        <v>201269</v>
      </c>
      <c r="I82" s="536">
        <f t="shared" si="11"/>
        <v>54338</v>
      </c>
      <c r="J82" s="536">
        <f t="shared" si="11"/>
        <v>67949</v>
      </c>
      <c r="K82" s="536">
        <f t="shared" si="11"/>
        <v>-527852</v>
      </c>
    </row>
    <row r="83" spans="1:12" ht="14.25" hidden="1" thickTop="1" thickBot="1" x14ac:dyDescent="0.25">
      <c r="A83" s="537" t="s">
        <v>362</v>
      </c>
      <c r="B83" s="464"/>
      <c r="C83" s="538">
        <f>C82/C81</f>
        <v>0.28920122989369368</v>
      </c>
      <c r="D83" s="538">
        <f t="shared" ref="D83:K83" si="12">D82/D81</f>
        <v>6.8628370143176673E-2</v>
      </c>
      <c r="E83" s="538">
        <f t="shared" si="12"/>
        <v>-0.35089530344072833</v>
      </c>
      <c r="F83" s="538">
        <f t="shared" si="12"/>
        <v>0.22921481720566453</v>
      </c>
      <c r="G83" s="538">
        <f t="shared" si="12"/>
        <v>3.9336248690292168E-2</v>
      </c>
      <c r="H83" s="538">
        <f t="shared" si="12"/>
        <v>0.29492080750119787</v>
      </c>
      <c r="I83" s="538">
        <f t="shared" si="12"/>
        <v>9.7044273391316771E-2</v>
      </c>
      <c r="J83" s="538">
        <f t="shared" si="12"/>
        <v>0.18452969355942514</v>
      </c>
      <c r="K83" s="538">
        <f t="shared" si="12"/>
        <v>-1.0070129116937823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1" sqref="J31"/>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2713294</v>
      </c>
      <c r="D5" s="480">
        <v>714025</v>
      </c>
      <c r="E5" s="480">
        <v>242045</v>
      </c>
      <c r="F5" s="546">
        <v>190407</v>
      </c>
      <c r="G5" s="466">
        <v>108644</v>
      </c>
      <c r="H5" s="466">
        <v>0</v>
      </c>
      <c r="I5" s="466">
        <v>47602</v>
      </c>
      <c r="J5" s="466">
        <v>160171</v>
      </c>
      <c r="K5" s="466">
        <v>47602</v>
      </c>
    </row>
    <row r="6" spans="1:12" ht="15" x14ac:dyDescent="0.2">
      <c r="A6" s="463" t="s">
        <v>1761</v>
      </c>
      <c r="B6" s="470">
        <v>1130</v>
      </c>
      <c r="C6" s="466">
        <v>47585</v>
      </c>
      <c r="D6" s="466">
        <v>0</v>
      </c>
      <c r="E6" s="475"/>
      <c r="F6" s="475"/>
      <c r="G6" s="468"/>
      <c r="H6" s="468"/>
      <c r="I6" s="468"/>
      <c r="J6" s="468"/>
      <c r="K6" s="468"/>
    </row>
    <row r="7" spans="1:12" x14ac:dyDescent="0.2">
      <c r="A7" s="463" t="s">
        <v>112</v>
      </c>
      <c r="B7" s="547">
        <v>1140</v>
      </c>
      <c r="C7" s="466">
        <v>38081</v>
      </c>
      <c r="D7" s="466">
        <v>0</v>
      </c>
      <c r="E7" s="468"/>
      <c r="F7" s="467">
        <v>0</v>
      </c>
      <c r="G7" s="467">
        <v>0</v>
      </c>
      <c r="H7" s="467">
        <v>0</v>
      </c>
      <c r="I7" s="468"/>
      <c r="J7" s="468"/>
      <c r="K7" s="468"/>
    </row>
    <row r="8" spans="1:12" x14ac:dyDescent="0.2">
      <c r="A8" s="463" t="s">
        <v>433</v>
      </c>
      <c r="B8" s="470">
        <v>1150</v>
      </c>
      <c r="C8" s="475"/>
      <c r="D8" s="475"/>
      <c r="E8" s="476"/>
      <c r="F8" s="476"/>
      <c r="G8" s="480">
        <v>127609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2798960</v>
      </c>
      <c r="D12" s="1726">
        <f t="shared" si="0"/>
        <v>714025</v>
      </c>
      <c r="E12" s="1726">
        <f t="shared" si="0"/>
        <v>242045</v>
      </c>
      <c r="F12" s="1726">
        <f t="shared" si="0"/>
        <v>190407</v>
      </c>
      <c r="G12" s="1726">
        <f t="shared" si="0"/>
        <v>236253</v>
      </c>
      <c r="H12" s="1726">
        <f t="shared" si="0"/>
        <v>0</v>
      </c>
      <c r="I12" s="1726">
        <f t="shared" si="0"/>
        <v>47602</v>
      </c>
      <c r="J12" s="1726">
        <f t="shared" si="0"/>
        <v>160171</v>
      </c>
      <c r="K12" s="1707">
        <f t="shared" si="0"/>
        <v>47602</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3041</v>
      </c>
      <c r="D14" s="466">
        <v>783</v>
      </c>
      <c r="E14" s="466">
        <v>268</v>
      </c>
      <c r="F14" s="466">
        <v>309</v>
      </c>
      <c r="G14" s="466">
        <v>161</v>
      </c>
      <c r="H14" s="466">
        <v>0</v>
      </c>
      <c r="I14" s="466">
        <v>11</v>
      </c>
      <c r="J14" s="467">
        <v>395</v>
      </c>
      <c r="K14" s="466">
        <v>11</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240036</v>
      </c>
      <c r="D16" s="466">
        <v>0</v>
      </c>
      <c r="E16" s="466">
        <v>0</v>
      </c>
      <c r="F16" s="466">
        <v>0</v>
      </c>
      <c r="G16" s="466">
        <v>14149</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243077</v>
      </c>
      <c r="D18" s="1729">
        <f t="shared" ref="D18:K18" si="1">SUM(D14:D17)</f>
        <v>783</v>
      </c>
      <c r="E18" s="1729">
        <f t="shared" si="1"/>
        <v>268</v>
      </c>
      <c r="F18" s="1729">
        <f t="shared" si="1"/>
        <v>309</v>
      </c>
      <c r="G18" s="1729">
        <f t="shared" si="1"/>
        <v>14310</v>
      </c>
      <c r="H18" s="1729">
        <f t="shared" si="1"/>
        <v>0</v>
      </c>
      <c r="I18" s="1729">
        <f t="shared" si="1"/>
        <v>11</v>
      </c>
      <c r="J18" s="1729">
        <f t="shared" si="1"/>
        <v>395</v>
      </c>
      <c r="K18" s="1730">
        <f t="shared" si="1"/>
        <v>11</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9041</v>
      </c>
      <c r="D65" s="466">
        <v>10941</v>
      </c>
      <c r="E65" s="466">
        <v>4348</v>
      </c>
      <c r="F65" s="467">
        <v>3485</v>
      </c>
      <c r="G65" s="466">
        <v>6954</v>
      </c>
      <c r="H65" s="466">
        <v>6838</v>
      </c>
      <c r="I65" s="466">
        <v>6725</v>
      </c>
      <c r="J65" s="467">
        <v>4144</v>
      </c>
      <c r="K65" s="466">
        <v>7815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9041</v>
      </c>
      <c r="D67" s="1707">
        <f t="shared" ref="D67:K67" si="2">SUM(D65:D66)</f>
        <v>10941</v>
      </c>
      <c r="E67" s="1707">
        <f t="shared" si="2"/>
        <v>4348</v>
      </c>
      <c r="F67" s="1707">
        <f t="shared" si="2"/>
        <v>3485</v>
      </c>
      <c r="G67" s="1707">
        <f t="shared" si="2"/>
        <v>6954</v>
      </c>
      <c r="H67" s="1707">
        <f t="shared" si="2"/>
        <v>6838</v>
      </c>
      <c r="I67" s="1707">
        <f t="shared" si="2"/>
        <v>6725</v>
      </c>
      <c r="J67" s="1707">
        <f t="shared" si="2"/>
        <v>4144</v>
      </c>
      <c r="K67" s="1707">
        <f t="shared" si="2"/>
        <v>7815</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87700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2400</v>
      </c>
      <c r="D72" s="468"/>
      <c r="E72" s="468"/>
      <c r="F72" s="468"/>
      <c r="G72" s="468"/>
      <c r="H72" s="468"/>
      <c r="I72" s="468"/>
      <c r="J72" s="468"/>
      <c r="K72" s="468"/>
    </row>
    <row r="73" spans="1:11" ht="12.75" customHeight="1" x14ac:dyDescent="0.2">
      <c r="A73" s="463" t="s">
        <v>1055</v>
      </c>
      <c r="B73" s="470">
        <v>1620</v>
      </c>
      <c r="C73" s="549">
        <v>2975</v>
      </c>
      <c r="D73" s="468"/>
      <c r="E73" s="468"/>
      <c r="F73" s="468"/>
      <c r="G73" s="468"/>
      <c r="H73" s="468"/>
      <c r="I73" s="468"/>
      <c r="J73" s="468"/>
      <c r="K73" s="468"/>
    </row>
    <row r="74" spans="1:11" ht="12.75" customHeight="1" x14ac:dyDescent="0.2">
      <c r="A74" s="463" t="s">
        <v>25</v>
      </c>
      <c r="B74" s="470">
        <v>1690</v>
      </c>
      <c r="C74" s="549">
        <v>1568</v>
      </c>
      <c r="D74" s="468"/>
      <c r="E74" s="468"/>
      <c r="F74" s="468"/>
      <c r="G74" s="468"/>
      <c r="H74" s="468"/>
      <c r="I74" s="468"/>
      <c r="J74" s="468"/>
      <c r="K74" s="468"/>
    </row>
    <row r="75" spans="1:11" ht="12.75" customHeight="1" thickBot="1" x14ac:dyDescent="0.25">
      <c r="A75" s="1727" t="s">
        <v>569</v>
      </c>
      <c r="B75" s="1728"/>
      <c r="C75" s="1707">
        <f>SUM(C69:C74)</f>
        <v>94643</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17123</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22348</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3493</v>
      </c>
      <c r="D81" s="466">
        <v>0</v>
      </c>
      <c r="E81" s="468"/>
      <c r="F81" s="468"/>
      <c r="G81" s="468"/>
      <c r="H81" s="468"/>
      <c r="I81" s="468"/>
      <c r="J81" s="468"/>
      <c r="K81" s="468"/>
    </row>
    <row r="82" spans="1:11" ht="12.75" customHeight="1" thickBot="1" x14ac:dyDescent="0.25">
      <c r="A82" s="1727" t="s">
        <v>259</v>
      </c>
      <c r="B82" s="1728"/>
      <c r="C82" s="1726">
        <f>SUM(C77:C81)</f>
        <v>42964</v>
      </c>
      <c r="D82" s="1707">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23156</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23156</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6500</v>
      </c>
      <c r="E95" s="519"/>
      <c r="F95" s="519"/>
      <c r="G95" s="519"/>
      <c r="H95" s="519"/>
      <c r="I95" s="519"/>
      <c r="J95" s="519"/>
      <c r="K95" s="519"/>
    </row>
    <row r="96" spans="1:11" ht="12.75" customHeight="1" x14ac:dyDescent="0.2">
      <c r="A96" s="463" t="s">
        <v>409</v>
      </c>
      <c r="B96" s="470">
        <v>1920</v>
      </c>
      <c r="C96" s="549">
        <v>12179</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1527</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4578</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409893</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973</v>
      </c>
      <c r="D106" s="487">
        <v>0</v>
      </c>
      <c r="E106" s="467">
        <v>0</v>
      </c>
      <c r="F106" s="467">
        <v>0</v>
      </c>
      <c r="G106" s="467">
        <v>0</v>
      </c>
      <c r="H106" s="467">
        <v>0</v>
      </c>
      <c r="I106" s="519"/>
      <c r="J106" s="467">
        <v>0</v>
      </c>
      <c r="K106" s="467">
        <v>0</v>
      </c>
    </row>
    <row r="107" spans="1:12" ht="12.75" customHeight="1" x14ac:dyDescent="0.2">
      <c r="A107" s="463" t="s">
        <v>80</v>
      </c>
      <c r="B107" s="470">
        <v>1999</v>
      </c>
      <c r="C107" s="549">
        <v>29858</v>
      </c>
      <c r="D107" s="466">
        <v>5622</v>
      </c>
      <c r="E107" s="466">
        <v>0</v>
      </c>
      <c r="F107" s="466">
        <v>1892</v>
      </c>
      <c r="G107" s="466">
        <v>0</v>
      </c>
      <c r="H107" s="466">
        <v>0</v>
      </c>
      <c r="I107" s="466">
        <v>0</v>
      </c>
      <c r="J107" s="467">
        <v>0</v>
      </c>
      <c r="K107" s="466">
        <v>0</v>
      </c>
    </row>
    <row r="108" spans="1:12" ht="12.75" customHeight="1" thickBot="1" x14ac:dyDescent="0.25">
      <c r="A108" s="1727" t="s">
        <v>508</v>
      </c>
      <c r="B108" s="1731"/>
      <c r="C108" s="1726">
        <f>SUM(C95:C107)</f>
        <v>47588</v>
      </c>
      <c r="D108" s="1726">
        <f t="shared" ref="D108:K108" si="3">SUM(D95:D107)</f>
        <v>12122</v>
      </c>
      <c r="E108" s="1726">
        <f t="shared" si="3"/>
        <v>0</v>
      </c>
      <c r="F108" s="1726">
        <f t="shared" si="3"/>
        <v>1892</v>
      </c>
      <c r="G108" s="1726">
        <f t="shared" si="3"/>
        <v>0</v>
      </c>
      <c r="H108" s="1726">
        <f t="shared" si="3"/>
        <v>409893</v>
      </c>
      <c r="I108" s="1726">
        <f t="shared" si="3"/>
        <v>0</v>
      </c>
      <c r="J108" s="1726">
        <f t="shared" si="3"/>
        <v>1527</v>
      </c>
      <c r="K108" s="1707">
        <f t="shared" si="3"/>
        <v>0</v>
      </c>
    </row>
    <row r="109" spans="1:12" ht="14.25" thickTop="1" thickBot="1" x14ac:dyDescent="0.25">
      <c r="A109" s="1732" t="s">
        <v>266</v>
      </c>
      <c r="B109" s="1733" t="s">
        <v>591</v>
      </c>
      <c r="C109" s="1734">
        <f t="shared" ref="C109:K109" si="4">SUM(C12,C18,C40,C63,C67,C75,C82,C93,C108,)</f>
        <v>3259429</v>
      </c>
      <c r="D109" s="1734">
        <f t="shared" si="4"/>
        <v>737871</v>
      </c>
      <c r="E109" s="1734">
        <f t="shared" si="4"/>
        <v>246661</v>
      </c>
      <c r="F109" s="1734">
        <f t="shared" si="4"/>
        <v>196093</v>
      </c>
      <c r="G109" s="1734">
        <f t="shared" si="4"/>
        <v>257517</v>
      </c>
      <c r="H109" s="1734">
        <f t="shared" si="4"/>
        <v>416731</v>
      </c>
      <c r="I109" s="1734">
        <f t="shared" si="4"/>
        <v>54338</v>
      </c>
      <c r="J109" s="1734">
        <f t="shared" si="4"/>
        <v>166237</v>
      </c>
      <c r="K109" s="1721">
        <f t="shared" si="4"/>
        <v>55428</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2642300</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2642300</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132062</v>
      </c>
      <c r="D124" s="559"/>
      <c r="E124" s="468"/>
      <c r="F124" s="546">
        <v>0</v>
      </c>
      <c r="G124" s="468"/>
      <c r="H124" s="468"/>
      <c r="I124" s="468"/>
      <c r="J124" s="468"/>
      <c r="K124" s="468"/>
    </row>
    <row r="125" spans="1:11" ht="12.75" customHeight="1" x14ac:dyDescent="0.2">
      <c r="A125" s="463" t="s">
        <v>1521</v>
      </c>
      <c r="B125" s="560">
        <v>3105</v>
      </c>
      <c r="C125" s="466">
        <v>55771</v>
      </c>
      <c r="D125" s="559"/>
      <c r="E125" s="468"/>
      <c r="F125" s="466">
        <v>0</v>
      </c>
      <c r="G125" s="468"/>
      <c r="H125" s="468"/>
      <c r="I125" s="468"/>
      <c r="J125" s="468"/>
      <c r="K125" s="468"/>
    </row>
    <row r="126" spans="1:11" ht="12.75" customHeight="1" x14ac:dyDescent="0.2">
      <c r="A126" s="463" t="s">
        <v>922</v>
      </c>
      <c r="B126" s="560">
        <v>3110</v>
      </c>
      <c r="C126" s="549">
        <v>66867</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254700</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1899</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4010</v>
      </c>
      <c r="D139" s="466">
        <v>0</v>
      </c>
      <c r="E139" s="559"/>
      <c r="F139" s="476"/>
      <c r="G139" s="467">
        <v>0</v>
      </c>
      <c r="H139" s="468"/>
      <c r="I139" s="468"/>
      <c r="J139" s="468"/>
      <c r="K139" s="468"/>
    </row>
    <row r="140" spans="1:11" ht="12.75" customHeight="1" thickBot="1" x14ac:dyDescent="0.25">
      <c r="A140" s="1727" t="s">
        <v>624</v>
      </c>
      <c r="B140" s="1739"/>
      <c r="C140" s="1726">
        <f>SUM(C133:C139)</f>
        <v>5909</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0</v>
      </c>
      <c r="D144" s="468"/>
      <c r="E144" s="507"/>
      <c r="F144" s="468"/>
      <c r="G144" s="1740">
        <f>SUM(G142:G143)</f>
        <v>0</v>
      </c>
      <c r="H144" s="468"/>
      <c r="I144" s="468"/>
      <c r="J144" s="468"/>
      <c r="K144" s="468"/>
    </row>
    <row r="145" spans="1:11" s="202" customFormat="1" ht="12.75" customHeight="1" thickTop="1" x14ac:dyDescent="0.2">
      <c r="A145" s="1518" t="s">
        <v>1116</v>
      </c>
      <c r="B145" s="566">
        <v>3360</v>
      </c>
      <c r="C145" s="567">
        <v>3314</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12562</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172023</v>
      </c>
      <c r="G151" s="467">
        <v>0</v>
      </c>
      <c r="H151" s="468"/>
      <c r="I151" s="468"/>
      <c r="J151" s="468"/>
      <c r="K151" s="468"/>
    </row>
    <row r="152" spans="1:11" ht="12.75" customHeight="1" x14ac:dyDescent="0.2">
      <c r="A152" s="463" t="s">
        <v>1117</v>
      </c>
      <c r="B152" s="560">
        <v>3510</v>
      </c>
      <c r="C152" s="549">
        <v>0</v>
      </c>
      <c r="D152" s="466">
        <v>0</v>
      </c>
      <c r="E152" s="559"/>
      <c r="F152" s="466">
        <v>160737</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332760</v>
      </c>
      <c r="G154" s="1726">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244058</v>
      </c>
      <c r="D158" s="576">
        <v>0</v>
      </c>
      <c r="E158" s="559"/>
      <c r="F158" s="574">
        <v>57297</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1500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59" t="s">
        <v>418</v>
      </c>
      <c r="B172" s="2160"/>
      <c r="C172" s="1741">
        <f t="shared" ref="C172:K172" si="6">SUM(C131,C140,C144,C145:C149,C154,C155:C170,C171)</f>
        <v>522043</v>
      </c>
      <c r="D172" s="1741">
        <f t="shared" si="6"/>
        <v>0</v>
      </c>
      <c r="E172" s="1741">
        <f t="shared" si="6"/>
        <v>0</v>
      </c>
      <c r="F172" s="1741">
        <f t="shared" si="6"/>
        <v>390057</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3164343</v>
      </c>
      <c r="D173" s="1734">
        <f>SUM(D121,D172)</f>
        <v>0</v>
      </c>
      <c r="E173" s="1734">
        <f>SUM(E121,E172)</f>
        <v>0</v>
      </c>
      <c r="F173" s="1734">
        <f t="shared" ref="F173:K173" si="7">SUM(F121,F172)</f>
        <v>390057</v>
      </c>
      <c r="G173" s="1734">
        <f t="shared" si="7"/>
        <v>0</v>
      </c>
      <c r="H173" s="1734">
        <f t="shared" si="7"/>
        <v>0</v>
      </c>
      <c r="I173" s="1734">
        <f t="shared" si="7"/>
        <v>0</v>
      </c>
      <c r="J173" s="1734">
        <f t="shared" si="7"/>
        <v>0</v>
      </c>
      <c r="K173" s="1721">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1" t="s">
        <v>1572</v>
      </c>
      <c r="B175" s="2162"/>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5" t="s">
        <v>1764</v>
      </c>
      <c r="B178" s="2166"/>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9" t="s">
        <v>1763</v>
      </c>
      <c r="B179" s="2170"/>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7" t="s">
        <v>818</v>
      </c>
      <c r="B184" s="2168"/>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3" t="s">
        <v>1906</v>
      </c>
      <c r="B185" s="2164"/>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183958</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46133</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230091</v>
      </c>
      <c r="D201" s="468"/>
      <c r="E201" s="468"/>
      <c r="F201" s="468"/>
      <c r="G201" s="1707">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192934</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192934</v>
      </c>
      <c r="D211" s="1726">
        <f>SUM(D203:D210)</f>
        <v>0</v>
      </c>
      <c r="E211" s="468"/>
      <c r="F211" s="1726">
        <f>SUM(F203:F210)</f>
        <v>0</v>
      </c>
      <c r="G211" s="1726">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1000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1000</v>
      </c>
      <c r="D216" s="1726">
        <f>SUM(D213:D215)</f>
        <v>0</v>
      </c>
      <c r="E216" s="468" t="s">
        <v>1231</v>
      </c>
      <c r="F216" s="1726">
        <f>SUM(F213:F215)</f>
        <v>0</v>
      </c>
      <c r="G216" s="1726">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0</v>
      </c>
      <c r="D224" s="1726">
        <f>SUM(D218:D223)</f>
        <v>0</v>
      </c>
      <c r="E224" s="468"/>
      <c r="F224" s="1726">
        <f>SUM(F218:F223)</f>
        <v>0</v>
      </c>
      <c r="G224" s="1726">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33636</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11662</v>
      </c>
      <c r="D270" s="574">
        <v>0</v>
      </c>
      <c r="E270" s="468"/>
      <c r="F270" s="574">
        <v>0</v>
      </c>
      <c r="G270" s="574">
        <v>0</v>
      </c>
      <c r="H270" s="468"/>
      <c r="I270" s="468"/>
      <c r="J270" s="468"/>
      <c r="K270" s="468"/>
    </row>
    <row r="271" spans="1:11" ht="12.75" customHeight="1" thickTop="1" thickBot="1" x14ac:dyDescent="0.25">
      <c r="A271" s="463" t="s">
        <v>395</v>
      </c>
      <c r="B271" s="470">
        <v>4992</v>
      </c>
      <c r="C271" s="573">
        <v>34643</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503966</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503966</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6927738</v>
      </c>
      <c r="D275" s="1734">
        <f t="shared" si="12"/>
        <v>737871</v>
      </c>
      <c r="E275" s="1734">
        <f t="shared" si="12"/>
        <v>246661</v>
      </c>
      <c r="F275" s="1734">
        <f t="shared" si="12"/>
        <v>586150</v>
      </c>
      <c r="G275" s="1734">
        <f t="shared" si="12"/>
        <v>257517</v>
      </c>
      <c r="H275" s="1734">
        <f t="shared" si="12"/>
        <v>416731</v>
      </c>
      <c r="I275" s="1734">
        <f t="shared" si="12"/>
        <v>54338</v>
      </c>
      <c r="J275" s="1734">
        <f t="shared" si="12"/>
        <v>166237</v>
      </c>
      <c r="K275" s="1721">
        <f t="shared" si="12"/>
        <v>55428</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1"/>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7" t="s">
        <v>315</v>
      </c>
      <c r="B3" s="2178"/>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1959742</v>
      </c>
      <c r="D5" s="466">
        <v>528979</v>
      </c>
      <c r="E5" s="466">
        <v>127871</v>
      </c>
      <c r="F5" s="466">
        <v>115535</v>
      </c>
      <c r="G5" s="466">
        <v>87983</v>
      </c>
      <c r="H5" s="466">
        <v>2277</v>
      </c>
      <c r="I5" s="467">
        <v>0</v>
      </c>
      <c r="J5" s="467">
        <v>0</v>
      </c>
      <c r="K5" s="1690">
        <f>SUM(C5:J5)</f>
        <v>2822387</v>
      </c>
      <c r="L5" s="466">
        <v>2868653</v>
      </c>
    </row>
    <row r="6" spans="1:14" x14ac:dyDescent="0.2">
      <c r="A6" s="1524" t="s">
        <v>1508</v>
      </c>
      <c r="B6" s="613" t="s">
        <v>1506</v>
      </c>
      <c r="C6" s="476"/>
      <c r="D6" s="476"/>
      <c r="E6" s="466">
        <v>0</v>
      </c>
      <c r="F6" s="476"/>
      <c r="G6" s="476"/>
      <c r="H6" s="476"/>
      <c r="I6" s="476"/>
      <c r="J6" s="476"/>
      <c r="K6" s="1690">
        <f>SUM(C6,E6)</f>
        <v>0</v>
      </c>
      <c r="L6" s="466">
        <v>3400</v>
      </c>
    </row>
    <row r="7" spans="1:14" x14ac:dyDescent="0.2">
      <c r="A7" s="1524" t="s">
        <v>165</v>
      </c>
      <c r="B7" s="613" t="s">
        <v>1024</v>
      </c>
      <c r="C7" s="467">
        <v>141245</v>
      </c>
      <c r="D7" s="467">
        <v>25934</v>
      </c>
      <c r="E7" s="467">
        <v>1948</v>
      </c>
      <c r="F7" s="467">
        <v>24190</v>
      </c>
      <c r="G7" s="467">
        <v>0</v>
      </c>
      <c r="H7" s="467">
        <v>0</v>
      </c>
      <c r="I7" s="467">
        <v>0</v>
      </c>
      <c r="J7" s="467">
        <v>0</v>
      </c>
      <c r="K7" s="1690">
        <f t="shared" ref="K7:K32" si="0">SUM(C7:J7)</f>
        <v>193317</v>
      </c>
      <c r="L7" s="466">
        <v>196120</v>
      </c>
    </row>
    <row r="8" spans="1:14" x14ac:dyDescent="0.2">
      <c r="A8" s="1524" t="s">
        <v>166</v>
      </c>
      <c r="B8" s="613">
        <v>1200</v>
      </c>
      <c r="C8" s="466">
        <v>503361</v>
      </c>
      <c r="D8" s="466">
        <v>95078</v>
      </c>
      <c r="E8" s="466">
        <v>0</v>
      </c>
      <c r="F8" s="466">
        <v>19</v>
      </c>
      <c r="G8" s="466">
        <v>0</v>
      </c>
      <c r="H8" s="466">
        <v>0</v>
      </c>
      <c r="I8" s="467">
        <v>0</v>
      </c>
      <c r="J8" s="467">
        <v>0</v>
      </c>
      <c r="K8" s="1690">
        <f t="shared" si="0"/>
        <v>598458</v>
      </c>
      <c r="L8" s="466">
        <v>625580</v>
      </c>
    </row>
    <row r="9" spans="1:14" x14ac:dyDescent="0.2">
      <c r="A9" s="1524" t="s">
        <v>745</v>
      </c>
      <c r="B9" s="613" t="s">
        <v>1025</v>
      </c>
      <c r="C9" s="467">
        <v>0</v>
      </c>
      <c r="D9" s="467">
        <v>0</v>
      </c>
      <c r="E9" s="467">
        <v>0</v>
      </c>
      <c r="F9" s="467">
        <v>0</v>
      </c>
      <c r="G9" s="467">
        <v>0</v>
      </c>
      <c r="H9" s="467">
        <v>0</v>
      </c>
      <c r="I9" s="467">
        <v>0</v>
      </c>
      <c r="J9" s="467">
        <v>0</v>
      </c>
      <c r="K9" s="1690">
        <f t="shared" si="0"/>
        <v>0</v>
      </c>
      <c r="L9" s="466">
        <v>0</v>
      </c>
    </row>
    <row r="10" spans="1:14" x14ac:dyDescent="0.2">
      <c r="A10" s="1524" t="s">
        <v>746</v>
      </c>
      <c r="B10" s="613">
        <v>1250</v>
      </c>
      <c r="C10" s="466">
        <v>133758</v>
      </c>
      <c r="D10" s="466">
        <v>42125</v>
      </c>
      <c r="E10" s="466">
        <v>0</v>
      </c>
      <c r="F10" s="466">
        <v>2103</v>
      </c>
      <c r="G10" s="466">
        <v>0</v>
      </c>
      <c r="H10" s="466">
        <v>0</v>
      </c>
      <c r="I10" s="467">
        <v>0</v>
      </c>
      <c r="J10" s="467">
        <v>0</v>
      </c>
      <c r="K10" s="1690">
        <f t="shared" si="0"/>
        <v>177986</v>
      </c>
      <c r="L10" s="466">
        <v>167000</v>
      </c>
    </row>
    <row r="11" spans="1:14" x14ac:dyDescent="0.2">
      <c r="A11" s="1524"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4" t="s">
        <v>1019</v>
      </c>
      <c r="B12" s="613">
        <v>1300</v>
      </c>
      <c r="C12" s="466">
        <v>0</v>
      </c>
      <c r="D12" s="466">
        <v>0</v>
      </c>
      <c r="E12" s="466">
        <v>0</v>
      </c>
      <c r="F12" s="466">
        <v>0</v>
      </c>
      <c r="G12" s="466">
        <v>0</v>
      </c>
      <c r="H12" s="466">
        <v>0</v>
      </c>
      <c r="I12" s="467">
        <v>0</v>
      </c>
      <c r="J12" s="467">
        <v>0</v>
      </c>
      <c r="K12" s="1690">
        <f t="shared" si="0"/>
        <v>0</v>
      </c>
      <c r="L12" s="466">
        <v>0</v>
      </c>
    </row>
    <row r="13" spans="1:14" x14ac:dyDescent="0.2">
      <c r="A13" s="1524" t="s">
        <v>747</v>
      </c>
      <c r="B13" s="613">
        <v>1400</v>
      </c>
      <c r="C13" s="467">
        <v>0</v>
      </c>
      <c r="D13" s="466">
        <v>0</v>
      </c>
      <c r="E13" s="466">
        <v>0</v>
      </c>
      <c r="F13" s="466">
        <v>0</v>
      </c>
      <c r="G13" s="466">
        <v>0</v>
      </c>
      <c r="H13" s="466">
        <v>0</v>
      </c>
      <c r="I13" s="467">
        <v>0</v>
      </c>
      <c r="J13" s="467">
        <v>0</v>
      </c>
      <c r="K13" s="1690">
        <f t="shared" si="0"/>
        <v>0</v>
      </c>
      <c r="L13" s="466">
        <v>0</v>
      </c>
    </row>
    <row r="14" spans="1:14" x14ac:dyDescent="0.2">
      <c r="A14" s="1524" t="s">
        <v>1020</v>
      </c>
      <c r="B14" s="613">
        <v>1500</v>
      </c>
      <c r="C14" s="467">
        <v>220647</v>
      </c>
      <c r="D14" s="466">
        <v>33376</v>
      </c>
      <c r="E14" s="466">
        <v>25429</v>
      </c>
      <c r="F14" s="466">
        <v>23492</v>
      </c>
      <c r="G14" s="466">
        <v>0</v>
      </c>
      <c r="H14" s="466">
        <v>10223</v>
      </c>
      <c r="I14" s="467">
        <v>0</v>
      </c>
      <c r="J14" s="467">
        <v>0</v>
      </c>
      <c r="K14" s="1690">
        <f t="shared" si="0"/>
        <v>313167</v>
      </c>
      <c r="L14" s="466">
        <v>336995</v>
      </c>
    </row>
    <row r="15" spans="1:14" x14ac:dyDescent="0.2">
      <c r="A15" s="1524" t="s">
        <v>1021</v>
      </c>
      <c r="B15" s="613">
        <v>1600</v>
      </c>
      <c r="C15" s="466">
        <v>0</v>
      </c>
      <c r="D15" s="466">
        <v>0</v>
      </c>
      <c r="E15" s="466">
        <v>0</v>
      </c>
      <c r="F15" s="466">
        <v>0</v>
      </c>
      <c r="G15" s="466">
        <v>0</v>
      </c>
      <c r="H15" s="466">
        <v>0</v>
      </c>
      <c r="I15" s="467">
        <v>0</v>
      </c>
      <c r="J15" s="467">
        <v>0</v>
      </c>
      <c r="K15" s="1690">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4" t="s">
        <v>748</v>
      </c>
      <c r="B17" s="613" t="s">
        <v>164</v>
      </c>
      <c r="C17" s="467">
        <v>68557</v>
      </c>
      <c r="D17" s="467">
        <v>14578</v>
      </c>
      <c r="E17" s="467">
        <v>0</v>
      </c>
      <c r="F17" s="467">
        <v>735</v>
      </c>
      <c r="G17" s="467">
        <v>0</v>
      </c>
      <c r="H17" s="467">
        <v>0</v>
      </c>
      <c r="I17" s="467">
        <v>0</v>
      </c>
      <c r="J17" s="467">
        <v>0</v>
      </c>
      <c r="K17" s="1690">
        <f t="shared" si="0"/>
        <v>83870</v>
      </c>
      <c r="L17" s="466">
        <v>92445</v>
      </c>
    </row>
    <row r="18" spans="1:12" x14ac:dyDescent="0.2">
      <c r="A18" s="1524" t="s">
        <v>1148</v>
      </c>
      <c r="B18" s="613">
        <v>1800</v>
      </c>
      <c r="C18" s="466">
        <v>0</v>
      </c>
      <c r="D18" s="466">
        <v>0</v>
      </c>
      <c r="E18" s="466">
        <v>0</v>
      </c>
      <c r="F18" s="466">
        <v>0</v>
      </c>
      <c r="G18" s="466">
        <v>0</v>
      </c>
      <c r="H18" s="466">
        <v>0</v>
      </c>
      <c r="I18" s="467">
        <v>0</v>
      </c>
      <c r="J18" s="467">
        <v>0</v>
      </c>
      <c r="K18" s="1690">
        <f t="shared" si="0"/>
        <v>0</v>
      </c>
      <c r="L18" s="466">
        <v>0</v>
      </c>
    </row>
    <row r="19" spans="1:12" x14ac:dyDescent="0.2">
      <c r="A19" s="1524" t="s">
        <v>136</v>
      </c>
      <c r="B19" s="613">
        <v>1900</v>
      </c>
      <c r="C19" s="466">
        <v>0</v>
      </c>
      <c r="D19" s="466">
        <v>0</v>
      </c>
      <c r="E19" s="466">
        <v>0</v>
      </c>
      <c r="F19" s="466">
        <v>0</v>
      </c>
      <c r="G19" s="466">
        <v>0</v>
      </c>
      <c r="H19" s="466">
        <v>0</v>
      </c>
      <c r="I19" s="467">
        <v>0</v>
      </c>
      <c r="J19" s="467">
        <v>0</v>
      </c>
      <c r="K19" s="1690">
        <f t="shared" si="0"/>
        <v>0</v>
      </c>
      <c r="L19" s="466">
        <v>0</v>
      </c>
    </row>
    <row r="20" spans="1:12" x14ac:dyDescent="0.2">
      <c r="A20" s="1525" t="s">
        <v>762</v>
      </c>
      <c r="B20" s="601" t="s">
        <v>749</v>
      </c>
      <c r="C20" s="476"/>
      <c r="D20" s="476"/>
      <c r="E20" s="476"/>
      <c r="F20" s="476"/>
      <c r="G20" s="476"/>
      <c r="H20" s="467">
        <v>0</v>
      </c>
      <c r="I20" s="615"/>
      <c r="J20" s="475"/>
      <c r="K20" s="1690">
        <f t="shared" si="0"/>
        <v>0</v>
      </c>
      <c r="L20" s="466">
        <v>0</v>
      </c>
    </row>
    <row r="21" spans="1:12" x14ac:dyDescent="0.2">
      <c r="A21" s="1525" t="s">
        <v>763</v>
      </c>
      <c r="B21" s="601" t="s">
        <v>750</v>
      </c>
      <c r="C21" s="476"/>
      <c r="D21" s="476"/>
      <c r="E21" s="476"/>
      <c r="F21" s="476"/>
      <c r="G21" s="476"/>
      <c r="H21" s="474">
        <v>0</v>
      </c>
      <c r="I21" s="615"/>
      <c r="J21" s="476"/>
      <c r="K21" s="1690">
        <f t="shared" si="0"/>
        <v>0</v>
      </c>
      <c r="L21" s="466">
        <v>0</v>
      </c>
    </row>
    <row r="22" spans="1:12" x14ac:dyDescent="0.2">
      <c r="A22" s="1525" t="s">
        <v>764</v>
      </c>
      <c r="B22" s="601" t="s">
        <v>751</v>
      </c>
      <c r="C22" s="476"/>
      <c r="D22" s="476"/>
      <c r="E22" s="476"/>
      <c r="F22" s="476"/>
      <c r="G22" s="476"/>
      <c r="H22" s="474">
        <v>213371</v>
      </c>
      <c r="I22" s="615"/>
      <c r="J22" s="476"/>
      <c r="K22" s="1690">
        <f t="shared" si="0"/>
        <v>213371</v>
      </c>
      <c r="L22" s="466">
        <v>150000</v>
      </c>
    </row>
    <row r="23" spans="1:12" x14ac:dyDescent="0.2">
      <c r="A23" s="1525" t="s">
        <v>765</v>
      </c>
      <c r="B23" s="601" t="s">
        <v>752</v>
      </c>
      <c r="C23" s="476"/>
      <c r="D23" s="476"/>
      <c r="E23" s="476"/>
      <c r="F23" s="476"/>
      <c r="G23" s="476"/>
      <c r="H23" s="474">
        <v>0</v>
      </c>
      <c r="I23" s="615"/>
      <c r="J23" s="476"/>
      <c r="K23" s="1690">
        <f t="shared" si="0"/>
        <v>0</v>
      </c>
      <c r="L23" s="466">
        <v>0</v>
      </c>
    </row>
    <row r="24" spans="1:12" ht="12.75" customHeight="1" x14ac:dyDescent="0.2">
      <c r="A24" s="1525" t="s">
        <v>766</v>
      </c>
      <c r="B24" s="601" t="s">
        <v>753</v>
      </c>
      <c r="C24" s="476"/>
      <c r="D24" s="476"/>
      <c r="E24" s="476"/>
      <c r="F24" s="476"/>
      <c r="G24" s="476"/>
      <c r="H24" s="474">
        <v>0</v>
      </c>
      <c r="I24" s="615"/>
      <c r="J24" s="476"/>
      <c r="K24" s="1690">
        <f t="shared" si="0"/>
        <v>0</v>
      </c>
      <c r="L24" s="466">
        <v>0</v>
      </c>
    </row>
    <row r="25" spans="1:12" ht="12.75" customHeight="1" x14ac:dyDescent="0.2">
      <c r="A25" s="1525" t="s">
        <v>835</v>
      </c>
      <c r="B25" s="601" t="s">
        <v>754</v>
      </c>
      <c r="C25" s="476"/>
      <c r="D25" s="476"/>
      <c r="E25" s="476"/>
      <c r="F25" s="476"/>
      <c r="G25" s="476"/>
      <c r="H25" s="474">
        <v>0</v>
      </c>
      <c r="I25" s="615"/>
      <c r="J25" s="476"/>
      <c r="K25" s="1690">
        <f t="shared" si="0"/>
        <v>0</v>
      </c>
      <c r="L25" s="466">
        <v>0</v>
      </c>
    </row>
    <row r="26" spans="1:12" x14ac:dyDescent="0.2">
      <c r="A26" s="1525" t="s">
        <v>643</v>
      </c>
      <c r="B26" s="601" t="s">
        <v>755</v>
      </c>
      <c r="C26" s="476"/>
      <c r="D26" s="476"/>
      <c r="E26" s="476"/>
      <c r="F26" s="476"/>
      <c r="G26" s="476"/>
      <c r="H26" s="474">
        <v>0</v>
      </c>
      <c r="I26" s="615"/>
      <c r="J26" s="476"/>
      <c r="K26" s="1690">
        <f t="shared" si="0"/>
        <v>0</v>
      </c>
      <c r="L26" s="466">
        <v>0</v>
      </c>
    </row>
    <row r="27" spans="1:12" x14ac:dyDescent="0.2">
      <c r="A27" s="1525" t="s">
        <v>644</v>
      </c>
      <c r="B27" s="601" t="s">
        <v>756</v>
      </c>
      <c r="C27" s="476"/>
      <c r="D27" s="476"/>
      <c r="E27" s="476"/>
      <c r="F27" s="476"/>
      <c r="G27" s="476"/>
      <c r="H27" s="474">
        <v>0</v>
      </c>
      <c r="I27" s="615"/>
      <c r="J27" s="476"/>
      <c r="K27" s="1690">
        <f t="shared" si="0"/>
        <v>0</v>
      </c>
      <c r="L27" s="466">
        <v>0</v>
      </c>
    </row>
    <row r="28" spans="1:12" x14ac:dyDescent="0.2">
      <c r="A28" s="1525" t="s">
        <v>152</v>
      </c>
      <c r="B28" s="601" t="s">
        <v>757</v>
      </c>
      <c r="C28" s="476"/>
      <c r="D28" s="476"/>
      <c r="E28" s="476"/>
      <c r="F28" s="476"/>
      <c r="G28" s="476"/>
      <c r="H28" s="474">
        <v>0</v>
      </c>
      <c r="I28" s="615"/>
      <c r="J28" s="476"/>
      <c r="K28" s="1690">
        <f t="shared" si="0"/>
        <v>0</v>
      </c>
      <c r="L28" s="466">
        <v>0</v>
      </c>
    </row>
    <row r="29" spans="1:12" x14ac:dyDescent="0.2">
      <c r="A29" s="1525" t="s">
        <v>153</v>
      </c>
      <c r="B29" s="601" t="s">
        <v>758</v>
      </c>
      <c r="C29" s="476"/>
      <c r="D29" s="476"/>
      <c r="E29" s="476"/>
      <c r="F29" s="476"/>
      <c r="G29" s="476"/>
      <c r="H29" s="474">
        <v>0</v>
      </c>
      <c r="I29" s="615"/>
      <c r="J29" s="476"/>
      <c r="K29" s="1690">
        <f t="shared" si="0"/>
        <v>0</v>
      </c>
      <c r="L29" s="466">
        <v>0</v>
      </c>
    </row>
    <row r="30" spans="1:12" x14ac:dyDescent="0.2">
      <c r="A30" s="1525" t="s">
        <v>154</v>
      </c>
      <c r="B30" s="601" t="s">
        <v>759</v>
      </c>
      <c r="C30" s="476"/>
      <c r="D30" s="476"/>
      <c r="E30" s="476"/>
      <c r="F30" s="476"/>
      <c r="G30" s="476"/>
      <c r="H30" s="474">
        <v>0</v>
      </c>
      <c r="I30" s="615"/>
      <c r="J30" s="476"/>
      <c r="K30" s="1690">
        <f t="shared" si="0"/>
        <v>0</v>
      </c>
      <c r="L30" s="466">
        <v>0</v>
      </c>
    </row>
    <row r="31" spans="1:12" x14ac:dyDescent="0.2">
      <c r="A31" s="1525" t="s">
        <v>155</v>
      </c>
      <c r="B31" s="601" t="s">
        <v>760</v>
      </c>
      <c r="C31" s="476"/>
      <c r="D31" s="476"/>
      <c r="E31" s="476"/>
      <c r="F31" s="476"/>
      <c r="G31" s="476"/>
      <c r="H31" s="474">
        <v>0</v>
      </c>
      <c r="I31" s="615"/>
      <c r="J31" s="476"/>
      <c r="K31" s="1690">
        <f t="shared" si="0"/>
        <v>0</v>
      </c>
      <c r="L31" s="466">
        <v>0</v>
      </c>
    </row>
    <row r="32" spans="1:12" x14ac:dyDescent="0.2">
      <c r="A32" s="1526"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3027310</v>
      </c>
      <c r="D33" s="1689">
        <f t="shared" ref="D33:L33" si="1">SUM(D5:D32)</f>
        <v>740070</v>
      </c>
      <c r="E33" s="1689">
        <f t="shared" si="1"/>
        <v>155248</v>
      </c>
      <c r="F33" s="1689">
        <f t="shared" si="1"/>
        <v>166074</v>
      </c>
      <c r="G33" s="1689">
        <f t="shared" si="1"/>
        <v>87983</v>
      </c>
      <c r="H33" s="1689">
        <f t="shared" si="1"/>
        <v>225871</v>
      </c>
      <c r="I33" s="1689">
        <f t="shared" si="1"/>
        <v>0</v>
      </c>
      <c r="J33" s="1689">
        <f t="shared" si="1"/>
        <v>0</v>
      </c>
      <c r="K33" s="1689">
        <f t="shared" si="1"/>
        <v>4402556</v>
      </c>
      <c r="L33" s="1689">
        <f t="shared" si="1"/>
        <v>4440193</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0">
        <f t="shared" ref="K36:K41" si="2">SUM(C36:J36)</f>
        <v>0</v>
      </c>
      <c r="L36" s="466">
        <v>0</v>
      </c>
    </row>
    <row r="37" spans="1:14" x14ac:dyDescent="0.2">
      <c r="A37" s="1524" t="s">
        <v>1151</v>
      </c>
      <c r="B37" s="613">
        <v>2120</v>
      </c>
      <c r="C37" s="466">
        <v>168788</v>
      </c>
      <c r="D37" s="466">
        <v>36573</v>
      </c>
      <c r="E37" s="466">
        <v>0</v>
      </c>
      <c r="F37" s="466">
        <v>12483</v>
      </c>
      <c r="G37" s="466">
        <v>0</v>
      </c>
      <c r="H37" s="466">
        <v>0</v>
      </c>
      <c r="I37" s="467">
        <v>0</v>
      </c>
      <c r="J37" s="467">
        <v>0</v>
      </c>
      <c r="K37" s="1690">
        <f t="shared" si="2"/>
        <v>217844</v>
      </c>
      <c r="L37" s="466">
        <v>231350</v>
      </c>
    </row>
    <row r="38" spans="1:14" x14ac:dyDescent="0.2">
      <c r="A38" s="1524" t="s">
        <v>207</v>
      </c>
      <c r="B38" s="613">
        <v>2130</v>
      </c>
      <c r="C38" s="466">
        <v>56599</v>
      </c>
      <c r="D38" s="466">
        <v>0</v>
      </c>
      <c r="E38" s="466">
        <v>219</v>
      </c>
      <c r="F38" s="466">
        <v>1075</v>
      </c>
      <c r="G38" s="466">
        <v>0</v>
      </c>
      <c r="H38" s="466">
        <v>0</v>
      </c>
      <c r="I38" s="467">
        <v>0</v>
      </c>
      <c r="J38" s="467">
        <v>0</v>
      </c>
      <c r="K38" s="1690">
        <f t="shared" si="2"/>
        <v>57893</v>
      </c>
      <c r="L38" s="466">
        <v>58750</v>
      </c>
    </row>
    <row r="39" spans="1:14" x14ac:dyDescent="0.2">
      <c r="A39" s="1524" t="s">
        <v>208</v>
      </c>
      <c r="B39" s="613">
        <v>2140</v>
      </c>
      <c r="C39" s="466">
        <v>0</v>
      </c>
      <c r="D39" s="466">
        <v>0</v>
      </c>
      <c r="E39" s="466">
        <v>0</v>
      </c>
      <c r="F39" s="466">
        <v>0</v>
      </c>
      <c r="G39" s="466">
        <v>0</v>
      </c>
      <c r="H39" s="466">
        <v>0</v>
      </c>
      <c r="I39" s="467">
        <v>0</v>
      </c>
      <c r="J39" s="467">
        <v>0</v>
      </c>
      <c r="K39" s="1690">
        <f t="shared" si="2"/>
        <v>0</v>
      </c>
      <c r="L39" s="466">
        <v>0</v>
      </c>
    </row>
    <row r="40" spans="1:14" x14ac:dyDescent="0.2">
      <c r="A40" s="1524" t="s">
        <v>209</v>
      </c>
      <c r="B40" s="613">
        <v>2150</v>
      </c>
      <c r="C40" s="466">
        <v>44829</v>
      </c>
      <c r="D40" s="466">
        <v>11866</v>
      </c>
      <c r="E40" s="466">
        <v>12786</v>
      </c>
      <c r="F40" s="466">
        <v>665</v>
      </c>
      <c r="G40" s="466">
        <v>0</v>
      </c>
      <c r="H40" s="466">
        <v>0</v>
      </c>
      <c r="I40" s="467">
        <v>0</v>
      </c>
      <c r="J40" s="467">
        <v>0</v>
      </c>
      <c r="K40" s="1690">
        <f t="shared" si="2"/>
        <v>70146</v>
      </c>
      <c r="L40" s="466">
        <v>73100</v>
      </c>
    </row>
    <row r="41" spans="1:14" x14ac:dyDescent="0.2">
      <c r="A41" s="1524" t="s">
        <v>1768</v>
      </c>
      <c r="B41" s="613">
        <v>2190</v>
      </c>
      <c r="C41" s="466">
        <v>0</v>
      </c>
      <c r="D41" s="466">
        <v>0</v>
      </c>
      <c r="E41" s="466">
        <v>0</v>
      </c>
      <c r="F41" s="466">
        <v>0</v>
      </c>
      <c r="G41" s="466">
        <v>0</v>
      </c>
      <c r="H41" s="466">
        <v>0</v>
      </c>
      <c r="I41" s="467">
        <v>0</v>
      </c>
      <c r="J41" s="467">
        <v>0</v>
      </c>
      <c r="K41" s="1690">
        <f t="shared" si="2"/>
        <v>0</v>
      </c>
      <c r="L41" s="466">
        <v>0</v>
      </c>
    </row>
    <row r="42" spans="1:14" ht="12.75" customHeight="1" thickBot="1" x14ac:dyDescent="0.25">
      <c r="A42" s="1687" t="s">
        <v>581</v>
      </c>
      <c r="B42" s="1688" t="s">
        <v>740</v>
      </c>
      <c r="C42" s="1689">
        <f>SUM(C36:C41)</f>
        <v>270216</v>
      </c>
      <c r="D42" s="1689">
        <f t="shared" ref="D42:L42" si="3">SUM(D36:D41)</f>
        <v>48439</v>
      </c>
      <c r="E42" s="1689">
        <f t="shared" si="3"/>
        <v>13005</v>
      </c>
      <c r="F42" s="1689">
        <f t="shared" si="3"/>
        <v>14223</v>
      </c>
      <c r="G42" s="1689">
        <f t="shared" si="3"/>
        <v>0</v>
      </c>
      <c r="H42" s="1689">
        <f t="shared" si="3"/>
        <v>0</v>
      </c>
      <c r="I42" s="1689">
        <f t="shared" si="3"/>
        <v>0</v>
      </c>
      <c r="J42" s="1689">
        <f t="shared" si="3"/>
        <v>0</v>
      </c>
      <c r="K42" s="1689">
        <f t="shared" si="3"/>
        <v>345883</v>
      </c>
      <c r="L42" s="1689">
        <f t="shared" si="3"/>
        <v>363200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1000</v>
      </c>
      <c r="F44" s="480">
        <v>0</v>
      </c>
      <c r="G44" s="480">
        <v>0</v>
      </c>
      <c r="H44" s="480">
        <v>0</v>
      </c>
      <c r="I44" s="467">
        <v>0</v>
      </c>
      <c r="J44" s="467">
        <v>0</v>
      </c>
      <c r="K44" s="1691">
        <f>SUM(C44:J44)</f>
        <v>1000</v>
      </c>
      <c r="L44" s="480">
        <v>0</v>
      </c>
    </row>
    <row r="45" spans="1:14" x14ac:dyDescent="0.2">
      <c r="A45" s="1524" t="s">
        <v>869</v>
      </c>
      <c r="B45" s="613">
        <v>2220</v>
      </c>
      <c r="C45" s="467">
        <v>153378</v>
      </c>
      <c r="D45" s="466">
        <v>19100</v>
      </c>
      <c r="E45" s="466">
        <v>250</v>
      </c>
      <c r="F45" s="466">
        <v>5272</v>
      </c>
      <c r="G45" s="466">
        <v>0</v>
      </c>
      <c r="H45" s="466">
        <v>0</v>
      </c>
      <c r="I45" s="467">
        <v>0</v>
      </c>
      <c r="J45" s="467">
        <v>0</v>
      </c>
      <c r="K45" s="1691">
        <f>SUM(C45:J45)</f>
        <v>178000</v>
      </c>
      <c r="L45" s="466">
        <v>220200</v>
      </c>
    </row>
    <row r="46" spans="1:14" x14ac:dyDescent="0.2">
      <c r="A46" s="1524" t="s">
        <v>870</v>
      </c>
      <c r="B46" s="613">
        <v>2230</v>
      </c>
      <c r="C46" s="467">
        <v>0</v>
      </c>
      <c r="D46" s="466">
        <v>0</v>
      </c>
      <c r="E46" s="466">
        <v>0</v>
      </c>
      <c r="F46" s="466">
        <v>0</v>
      </c>
      <c r="G46" s="466">
        <v>0</v>
      </c>
      <c r="H46" s="466">
        <v>0</v>
      </c>
      <c r="I46" s="467">
        <v>0</v>
      </c>
      <c r="J46" s="467">
        <v>0</v>
      </c>
      <c r="K46" s="1691">
        <f>SUM(C46:J46)</f>
        <v>0</v>
      </c>
      <c r="L46" s="466">
        <v>0</v>
      </c>
    </row>
    <row r="47" spans="1:14" ht="12.75" customHeight="1" thickBot="1" x14ac:dyDescent="0.25">
      <c r="A47" s="1687" t="s">
        <v>582</v>
      </c>
      <c r="B47" s="1688" t="s">
        <v>32</v>
      </c>
      <c r="C47" s="1689">
        <f>SUM(C44:C46)</f>
        <v>153378</v>
      </c>
      <c r="D47" s="1689">
        <f t="shared" ref="D47:K47" si="4">SUM(D44:D46)</f>
        <v>19100</v>
      </c>
      <c r="E47" s="1689">
        <f t="shared" si="4"/>
        <v>1250</v>
      </c>
      <c r="F47" s="1689">
        <f t="shared" si="4"/>
        <v>5272</v>
      </c>
      <c r="G47" s="1689">
        <f t="shared" si="4"/>
        <v>0</v>
      </c>
      <c r="H47" s="1689">
        <f t="shared" si="4"/>
        <v>0</v>
      </c>
      <c r="I47" s="1689">
        <f t="shared" si="4"/>
        <v>0</v>
      </c>
      <c r="J47" s="1689">
        <f t="shared" si="4"/>
        <v>0</v>
      </c>
      <c r="K47" s="1689">
        <f t="shared" si="4"/>
        <v>179000</v>
      </c>
      <c r="L47" s="1689">
        <f>SUM(L44:L46)</f>
        <v>220200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2927</v>
      </c>
      <c r="D49" s="480">
        <v>0</v>
      </c>
      <c r="E49" s="480">
        <v>28706</v>
      </c>
      <c r="F49" s="480">
        <v>195</v>
      </c>
      <c r="G49" s="480">
        <v>0</v>
      </c>
      <c r="H49" s="480">
        <v>4094</v>
      </c>
      <c r="I49" s="467">
        <v>0</v>
      </c>
      <c r="J49" s="467">
        <v>0</v>
      </c>
      <c r="K49" s="1691">
        <f>SUM(C49:J49)</f>
        <v>35922</v>
      </c>
      <c r="L49" s="466">
        <v>42400</v>
      </c>
    </row>
    <row r="50" spans="1:14" x14ac:dyDescent="0.2">
      <c r="A50" s="1524" t="s">
        <v>872</v>
      </c>
      <c r="B50" s="613">
        <v>2320</v>
      </c>
      <c r="C50" s="466">
        <v>116150</v>
      </c>
      <c r="D50" s="466">
        <v>36836</v>
      </c>
      <c r="E50" s="466">
        <v>2655</v>
      </c>
      <c r="F50" s="466">
        <v>0</v>
      </c>
      <c r="G50" s="466">
        <v>0</v>
      </c>
      <c r="H50" s="466">
        <v>948</v>
      </c>
      <c r="I50" s="467">
        <v>0</v>
      </c>
      <c r="J50" s="467">
        <v>0</v>
      </c>
      <c r="K50" s="1691">
        <f>SUM(C50:J50)</f>
        <v>156589</v>
      </c>
      <c r="L50" s="466">
        <v>160392</v>
      </c>
    </row>
    <row r="51" spans="1:14" x14ac:dyDescent="0.2">
      <c r="A51" s="1524"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119077</v>
      </c>
      <c r="D53" s="1689">
        <f t="shared" ref="D53:L53" si="5">SUM(D49:D52)</f>
        <v>36836</v>
      </c>
      <c r="E53" s="1689">
        <f t="shared" si="5"/>
        <v>31361</v>
      </c>
      <c r="F53" s="1689">
        <f t="shared" si="5"/>
        <v>195</v>
      </c>
      <c r="G53" s="1689">
        <f t="shared" si="5"/>
        <v>0</v>
      </c>
      <c r="H53" s="1689">
        <f t="shared" si="5"/>
        <v>5042</v>
      </c>
      <c r="I53" s="1689">
        <f t="shared" si="5"/>
        <v>0</v>
      </c>
      <c r="J53" s="1689">
        <f t="shared" si="5"/>
        <v>0</v>
      </c>
      <c r="K53" s="1689">
        <f t="shared" si="5"/>
        <v>192511</v>
      </c>
      <c r="L53" s="1689">
        <f t="shared" si="5"/>
        <v>202792</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408150</v>
      </c>
      <c r="D55" s="480">
        <v>106639</v>
      </c>
      <c r="E55" s="480">
        <v>5966</v>
      </c>
      <c r="F55" s="480">
        <v>0</v>
      </c>
      <c r="G55" s="480">
        <v>0</v>
      </c>
      <c r="H55" s="480">
        <v>924</v>
      </c>
      <c r="I55" s="467">
        <v>0</v>
      </c>
      <c r="J55" s="467">
        <v>0</v>
      </c>
      <c r="K55" s="1691">
        <f>SUM(C55:J55)</f>
        <v>521679</v>
      </c>
      <c r="L55" s="480">
        <v>538035</v>
      </c>
    </row>
    <row r="56" spans="1:14" ht="12.75" customHeight="1" x14ac:dyDescent="0.2">
      <c r="A56" s="1528"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408150</v>
      </c>
      <c r="D57" s="1693">
        <f t="shared" ref="D57:K57" si="6">SUM(D55:D56)</f>
        <v>106639</v>
      </c>
      <c r="E57" s="1693">
        <f t="shared" si="6"/>
        <v>5966</v>
      </c>
      <c r="F57" s="1693">
        <f t="shared" si="6"/>
        <v>0</v>
      </c>
      <c r="G57" s="1693">
        <f t="shared" si="6"/>
        <v>0</v>
      </c>
      <c r="H57" s="1693">
        <f t="shared" si="6"/>
        <v>924</v>
      </c>
      <c r="I57" s="1693">
        <f t="shared" si="6"/>
        <v>0</v>
      </c>
      <c r="J57" s="1693">
        <f t="shared" si="6"/>
        <v>0</v>
      </c>
      <c r="K57" s="1693">
        <f t="shared" si="6"/>
        <v>521679</v>
      </c>
      <c r="L57" s="1689">
        <f>SUM(L55:L56)</f>
        <v>538035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4" t="s">
        <v>483</v>
      </c>
      <c r="B60" s="613">
        <v>2520</v>
      </c>
      <c r="C60" s="466">
        <v>79467</v>
      </c>
      <c r="D60" s="466">
        <v>13366</v>
      </c>
      <c r="E60" s="466">
        <v>3711</v>
      </c>
      <c r="F60" s="466">
        <v>1968</v>
      </c>
      <c r="G60" s="466">
        <v>0</v>
      </c>
      <c r="H60" s="466">
        <v>0</v>
      </c>
      <c r="I60" s="467">
        <v>0</v>
      </c>
      <c r="J60" s="467">
        <v>0</v>
      </c>
      <c r="K60" s="1691">
        <f t="shared" si="7"/>
        <v>98512</v>
      </c>
      <c r="L60" s="466">
        <v>102300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1">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4" t="s">
        <v>102</v>
      </c>
      <c r="B63" s="613">
        <v>2560</v>
      </c>
      <c r="C63" s="466">
        <v>120395</v>
      </c>
      <c r="D63" s="466">
        <v>3341</v>
      </c>
      <c r="E63" s="466">
        <v>5483</v>
      </c>
      <c r="F63" s="466">
        <v>165009</v>
      </c>
      <c r="G63" s="466">
        <v>0</v>
      </c>
      <c r="H63" s="466">
        <v>0</v>
      </c>
      <c r="I63" s="467">
        <v>0</v>
      </c>
      <c r="J63" s="467">
        <v>0</v>
      </c>
      <c r="K63" s="1691">
        <f t="shared" si="7"/>
        <v>294228</v>
      </c>
      <c r="L63" s="466">
        <v>313000</v>
      </c>
    </row>
    <row r="64" spans="1:14" s="608" customFormat="1" x14ac:dyDescent="0.2">
      <c r="A64" s="1529"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199862</v>
      </c>
      <c r="D65" s="1689">
        <f t="shared" ref="D65:L65" si="8">SUM(D59:D64)</f>
        <v>16707</v>
      </c>
      <c r="E65" s="1689">
        <f t="shared" si="8"/>
        <v>9194</v>
      </c>
      <c r="F65" s="1689">
        <f t="shared" si="8"/>
        <v>166977</v>
      </c>
      <c r="G65" s="1689">
        <f t="shared" si="8"/>
        <v>0</v>
      </c>
      <c r="H65" s="1689">
        <f t="shared" si="8"/>
        <v>0</v>
      </c>
      <c r="I65" s="1689">
        <f t="shared" si="8"/>
        <v>0</v>
      </c>
      <c r="J65" s="1689">
        <f t="shared" si="8"/>
        <v>0</v>
      </c>
      <c r="K65" s="1689">
        <f t="shared" si="8"/>
        <v>392740</v>
      </c>
      <c r="L65" s="1689">
        <f t="shared" si="8"/>
        <v>415300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1150683</v>
      </c>
      <c r="D74" s="1696">
        <f t="shared" ref="D74:K74" si="10">SUM(D42,D47,D53,D57,D65,D72,D73)</f>
        <v>227721</v>
      </c>
      <c r="E74" s="1696">
        <f t="shared" si="10"/>
        <v>60776</v>
      </c>
      <c r="F74" s="1696">
        <f t="shared" si="10"/>
        <v>186667</v>
      </c>
      <c r="G74" s="1696">
        <f t="shared" si="10"/>
        <v>0</v>
      </c>
      <c r="H74" s="1696">
        <f t="shared" si="10"/>
        <v>5966</v>
      </c>
      <c r="I74" s="1696">
        <f t="shared" si="10"/>
        <v>0</v>
      </c>
      <c r="J74" s="1696">
        <f t="shared" si="10"/>
        <v>0</v>
      </c>
      <c r="K74" s="1696">
        <f t="shared" si="10"/>
        <v>1631813</v>
      </c>
      <c r="L74" s="1696">
        <f>SUM(L42,L47,L53,L57,L65,L72,L73)</f>
        <v>1739527</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32487</v>
      </c>
      <c r="F78" s="615"/>
      <c r="G78" s="615"/>
      <c r="H78" s="633">
        <v>7029</v>
      </c>
      <c r="I78" s="476"/>
      <c r="J78" s="476"/>
      <c r="K78" s="1690">
        <f t="shared" ref="K78:K83" si="11">SUM(C78:J78)</f>
        <v>39516</v>
      </c>
      <c r="L78" s="480">
        <v>14000</v>
      </c>
    </row>
    <row r="79" spans="1:14" x14ac:dyDescent="0.2">
      <c r="A79" s="1524" t="s">
        <v>322</v>
      </c>
      <c r="B79" s="613">
        <v>4120</v>
      </c>
      <c r="C79" s="615"/>
      <c r="D79" s="615"/>
      <c r="E79" s="466">
        <v>0</v>
      </c>
      <c r="F79" s="615"/>
      <c r="G79" s="615"/>
      <c r="H79" s="466">
        <v>0</v>
      </c>
      <c r="I79" s="476"/>
      <c r="J79" s="476"/>
      <c r="K79" s="1690">
        <f t="shared" si="11"/>
        <v>0</v>
      </c>
      <c r="L79" s="466">
        <v>0</v>
      </c>
    </row>
    <row r="80" spans="1:14" x14ac:dyDescent="0.2">
      <c r="A80" s="1524" t="s">
        <v>323</v>
      </c>
      <c r="B80" s="613">
        <v>4130</v>
      </c>
      <c r="C80" s="615"/>
      <c r="D80" s="615"/>
      <c r="E80" s="466">
        <v>0</v>
      </c>
      <c r="F80" s="615"/>
      <c r="G80" s="615"/>
      <c r="H80" s="466">
        <v>0</v>
      </c>
      <c r="I80" s="476"/>
      <c r="J80" s="476"/>
      <c r="K80" s="1690">
        <f t="shared" si="11"/>
        <v>0</v>
      </c>
      <c r="L80" s="466">
        <v>0</v>
      </c>
    </row>
    <row r="81" spans="1:12" x14ac:dyDescent="0.2">
      <c r="A81" s="1524" t="s">
        <v>721</v>
      </c>
      <c r="B81" s="613">
        <v>4140</v>
      </c>
      <c r="C81" s="615"/>
      <c r="D81" s="615"/>
      <c r="E81" s="466">
        <v>0</v>
      </c>
      <c r="F81" s="615"/>
      <c r="G81" s="615"/>
      <c r="H81" s="466">
        <v>0</v>
      </c>
      <c r="I81" s="476"/>
      <c r="J81" s="476"/>
      <c r="K81" s="1690">
        <f t="shared" si="11"/>
        <v>0</v>
      </c>
      <c r="L81" s="466">
        <v>0</v>
      </c>
    </row>
    <row r="82" spans="1:12" x14ac:dyDescent="0.2">
      <c r="A82" s="1524" t="s">
        <v>88</v>
      </c>
      <c r="B82" s="613">
        <v>4170</v>
      </c>
      <c r="C82" s="615"/>
      <c r="D82" s="615"/>
      <c r="E82" s="466">
        <v>0</v>
      </c>
      <c r="F82" s="615"/>
      <c r="G82" s="615"/>
      <c r="H82" s="466">
        <v>0</v>
      </c>
      <c r="I82" s="476"/>
      <c r="J82" s="476"/>
      <c r="K82" s="1690">
        <f t="shared" si="11"/>
        <v>0</v>
      </c>
      <c r="L82" s="466">
        <v>0</v>
      </c>
    </row>
    <row r="83" spans="1:12" x14ac:dyDescent="0.2">
      <c r="A83" s="1528"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32487</v>
      </c>
      <c r="F84" s="615"/>
      <c r="G84" s="615"/>
      <c r="H84" s="1689">
        <f>SUM(H78:H83)</f>
        <v>7029</v>
      </c>
      <c r="I84" s="476"/>
      <c r="J84" s="476"/>
      <c r="K84" s="1689">
        <f>SUM(K78:K83)</f>
        <v>39516</v>
      </c>
      <c r="L84" s="1689">
        <f>SUM(L78:L83)</f>
        <v>14000</v>
      </c>
    </row>
    <row r="85" spans="1:12" ht="12.75" customHeight="1" thickTop="1" thickBot="1" x14ac:dyDescent="0.25">
      <c r="A85" s="1531" t="s">
        <v>273</v>
      </c>
      <c r="B85" s="634">
        <v>4210</v>
      </c>
      <c r="C85" s="615"/>
      <c r="D85" s="615"/>
      <c r="E85" s="635"/>
      <c r="F85" s="615"/>
      <c r="G85" s="615"/>
      <c r="H85" s="533">
        <v>0</v>
      </c>
      <c r="I85" s="476"/>
      <c r="J85" s="476"/>
      <c r="K85" s="1696">
        <f>H85</f>
        <v>0</v>
      </c>
      <c r="L85" s="528">
        <v>0</v>
      </c>
    </row>
    <row r="86" spans="1:12" ht="12.75" customHeight="1" thickTop="1" thickBot="1" x14ac:dyDescent="0.25">
      <c r="A86" s="1532" t="s">
        <v>723</v>
      </c>
      <c r="B86" s="636">
        <v>4220</v>
      </c>
      <c r="C86" s="615"/>
      <c r="D86" s="615"/>
      <c r="E86" s="637"/>
      <c r="F86" s="615"/>
      <c r="G86" s="615"/>
      <c r="H86" s="467">
        <v>428937</v>
      </c>
      <c r="I86" s="476"/>
      <c r="J86" s="476"/>
      <c r="K86" s="1696">
        <f t="shared" ref="K86:K98" si="12">H86</f>
        <v>428937</v>
      </c>
      <c r="L86" s="528">
        <v>335000</v>
      </c>
    </row>
    <row r="87" spans="1:12" ht="14.25" thickTop="1" thickBot="1" x14ac:dyDescent="0.25">
      <c r="A87" s="1533" t="s">
        <v>724</v>
      </c>
      <c r="B87" s="638">
        <v>4230</v>
      </c>
      <c r="C87" s="615"/>
      <c r="D87" s="615"/>
      <c r="E87" s="637"/>
      <c r="F87" s="615"/>
      <c r="G87" s="615"/>
      <c r="H87" s="467">
        <v>0</v>
      </c>
      <c r="I87" s="476"/>
      <c r="J87" s="476"/>
      <c r="K87" s="1696">
        <f t="shared" si="12"/>
        <v>0</v>
      </c>
      <c r="L87" s="528">
        <v>0</v>
      </c>
    </row>
    <row r="88" spans="1:12" ht="12.75" customHeight="1" thickTop="1" thickBot="1" x14ac:dyDescent="0.25">
      <c r="A88" s="1533" t="s">
        <v>789</v>
      </c>
      <c r="B88" s="638">
        <v>4240</v>
      </c>
      <c r="C88" s="615"/>
      <c r="D88" s="615"/>
      <c r="E88" s="637"/>
      <c r="F88" s="615"/>
      <c r="G88" s="615"/>
      <c r="H88" s="467">
        <v>34923</v>
      </c>
      <c r="I88" s="476"/>
      <c r="J88" s="476"/>
      <c r="K88" s="1696">
        <f t="shared" si="12"/>
        <v>34923</v>
      </c>
      <c r="L88" s="528">
        <v>35000</v>
      </c>
    </row>
    <row r="89" spans="1:12" ht="12.75" customHeight="1" thickTop="1" thickBot="1" x14ac:dyDescent="0.25">
      <c r="A89" s="1533" t="s">
        <v>725</v>
      </c>
      <c r="B89" s="638">
        <v>4270</v>
      </c>
      <c r="C89" s="615"/>
      <c r="D89" s="615"/>
      <c r="E89" s="637"/>
      <c r="F89" s="615"/>
      <c r="G89" s="615"/>
      <c r="H89" s="467">
        <v>35491</v>
      </c>
      <c r="I89" s="476"/>
      <c r="J89" s="476"/>
      <c r="K89" s="1696">
        <f t="shared" si="12"/>
        <v>35491</v>
      </c>
      <c r="L89" s="528">
        <v>25000</v>
      </c>
    </row>
    <row r="90" spans="1:12" ht="12.75" customHeight="1" thickTop="1" thickBot="1" x14ac:dyDescent="0.25">
      <c r="A90" s="1533" t="s">
        <v>710</v>
      </c>
      <c r="B90" s="638">
        <v>4280</v>
      </c>
      <c r="C90" s="615"/>
      <c r="D90" s="615"/>
      <c r="E90" s="637"/>
      <c r="F90" s="615"/>
      <c r="G90" s="615"/>
      <c r="H90" s="467">
        <v>0</v>
      </c>
      <c r="I90" s="476"/>
      <c r="J90" s="476"/>
      <c r="K90" s="1696">
        <f t="shared" si="12"/>
        <v>0</v>
      </c>
      <c r="L90" s="528">
        <v>0</v>
      </c>
    </row>
    <row r="91" spans="1:12" ht="12.75" customHeight="1" thickTop="1" thickBot="1" x14ac:dyDescent="0.25">
      <c r="A91" s="1533"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499351</v>
      </c>
      <c r="I92" s="476"/>
      <c r="J92" s="476"/>
      <c r="K92" s="1696">
        <f t="shared" si="12"/>
        <v>499351</v>
      </c>
      <c r="L92" s="1689">
        <f>SUM(L85:L91)</f>
        <v>395000</v>
      </c>
    </row>
    <row r="93" spans="1:12" ht="14.25" thickTop="1" thickBot="1" x14ac:dyDescent="0.25">
      <c r="A93" s="1532" t="s">
        <v>712</v>
      </c>
      <c r="B93" s="639">
        <v>4310</v>
      </c>
      <c r="C93" s="615"/>
      <c r="D93" s="615"/>
      <c r="E93" s="637"/>
      <c r="F93" s="615"/>
      <c r="G93" s="615"/>
      <c r="H93" s="640">
        <v>0</v>
      </c>
      <c r="I93" s="476"/>
      <c r="J93" s="476"/>
      <c r="K93" s="1696">
        <f t="shared" si="12"/>
        <v>0</v>
      </c>
      <c r="L93" s="530">
        <v>0</v>
      </c>
    </row>
    <row r="94" spans="1:12" ht="12.75" customHeight="1" thickTop="1" thickBot="1" x14ac:dyDescent="0.25">
      <c r="A94" s="1533" t="s">
        <v>713</v>
      </c>
      <c r="B94" s="638">
        <v>4320</v>
      </c>
      <c r="C94" s="615"/>
      <c r="D94" s="615"/>
      <c r="E94" s="637"/>
      <c r="F94" s="615"/>
      <c r="G94" s="615"/>
      <c r="H94" s="467">
        <v>0</v>
      </c>
      <c r="I94" s="476"/>
      <c r="J94" s="476"/>
      <c r="K94" s="1696">
        <f t="shared" si="12"/>
        <v>0</v>
      </c>
      <c r="L94" s="528">
        <v>0</v>
      </c>
    </row>
    <row r="95" spans="1:12" ht="15" customHeight="1" thickTop="1" thickBot="1" x14ac:dyDescent="0.25">
      <c r="A95" s="1533" t="s">
        <v>1568</v>
      </c>
      <c r="B95" s="638">
        <v>4330</v>
      </c>
      <c r="C95" s="615"/>
      <c r="D95" s="615"/>
      <c r="E95" s="637"/>
      <c r="F95" s="615"/>
      <c r="G95" s="615"/>
      <c r="H95" s="467">
        <v>0</v>
      </c>
      <c r="I95" s="476"/>
      <c r="J95" s="476"/>
      <c r="K95" s="1696">
        <f t="shared" si="12"/>
        <v>0</v>
      </c>
      <c r="L95" s="528">
        <v>0</v>
      </c>
    </row>
    <row r="96" spans="1:12" ht="14.25" thickTop="1" thickBot="1" x14ac:dyDescent="0.25">
      <c r="A96" s="1533" t="s">
        <v>714</v>
      </c>
      <c r="B96" s="638">
        <v>4340</v>
      </c>
      <c r="C96" s="615"/>
      <c r="D96" s="615"/>
      <c r="E96" s="637"/>
      <c r="F96" s="615"/>
      <c r="G96" s="615"/>
      <c r="H96" s="467">
        <v>0</v>
      </c>
      <c r="I96" s="476"/>
      <c r="J96" s="476"/>
      <c r="K96" s="1696">
        <f t="shared" si="12"/>
        <v>0</v>
      </c>
      <c r="L96" s="528">
        <v>0</v>
      </c>
    </row>
    <row r="97" spans="1:14" ht="12.75" customHeight="1" thickTop="1" thickBot="1" x14ac:dyDescent="0.25">
      <c r="A97" s="1533" t="s">
        <v>787</v>
      </c>
      <c r="B97" s="638">
        <v>4370</v>
      </c>
      <c r="C97" s="615"/>
      <c r="D97" s="615"/>
      <c r="E97" s="637"/>
      <c r="F97" s="615"/>
      <c r="G97" s="615"/>
      <c r="H97" s="467">
        <v>0</v>
      </c>
      <c r="I97" s="476"/>
      <c r="J97" s="476"/>
      <c r="K97" s="1696">
        <f t="shared" si="12"/>
        <v>0</v>
      </c>
      <c r="L97" s="528">
        <v>0</v>
      </c>
    </row>
    <row r="98" spans="1:14" ht="14.25" thickTop="1" thickBot="1" x14ac:dyDescent="0.25">
      <c r="A98" s="1533" t="s">
        <v>788</v>
      </c>
      <c r="B98" s="638">
        <v>4380</v>
      </c>
      <c r="C98" s="615"/>
      <c r="D98" s="615"/>
      <c r="E98" s="641"/>
      <c r="F98" s="615"/>
      <c r="G98" s="615"/>
      <c r="H98" s="467">
        <v>0</v>
      </c>
      <c r="I98" s="476"/>
      <c r="J98" s="476"/>
      <c r="K98" s="1696">
        <f t="shared" si="12"/>
        <v>0</v>
      </c>
      <c r="L98" s="528">
        <v>0</v>
      </c>
    </row>
    <row r="99" spans="1:14" ht="14.25" thickTop="1" thickBot="1" x14ac:dyDescent="0.25">
      <c r="A99" s="1533"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30"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32487</v>
      </c>
      <c r="F102" s="615"/>
      <c r="G102" s="615"/>
      <c r="H102" s="1696">
        <f>SUM(H84,H92,H100,H101)</f>
        <v>506380</v>
      </c>
      <c r="I102" s="476"/>
      <c r="J102" s="476"/>
      <c r="K102" s="1696">
        <f>SUM(K84,K92,K100,K101)</f>
        <v>538867</v>
      </c>
      <c r="L102" s="1696">
        <f>SUM(L84,L92,L100,L101)</f>
        <v>409000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4177993</v>
      </c>
      <c r="D114" s="1689">
        <f t="shared" ref="D114:K114" si="13">SUM(D33,D74,D75,D102,D112,D113)</f>
        <v>967791</v>
      </c>
      <c r="E114" s="1689">
        <f t="shared" si="13"/>
        <v>248511</v>
      </c>
      <c r="F114" s="1689">
        <f t="shared" si="13"/>
        <v>352741</v>
      </c>
      <c r="G114" s="1689">
        <f t="shared" si="13"/>
        <v>87983</v>
      </c>
      <c r="H114" s="1689">
        <f>SUM(H33,H74,H75,H102,H112,H113)</f>
        <v>738217</v>
      </c>
      <c r="I114" s="1689">
        <f t="shared" si="13"/>
        <v>0</v>
      </c>
      <c r="J114" s="1689">
        <f t="shared" si="13"/>
        <v>0</v>
      </c>
      <c r="K114" s="1689">
        <f t="shared" si="13"/>
        <v>6573236</v>
      </c>
      <c r="L114" s="1689">
        <f>SUM(L33,L74,L75,L102,L112,L113)</f>
        <v>6588720</v>
      </c>
    </row>
    <row r="115" spans="1:14" ht="13.5" thickTop="1" x14ac:dyDescent="0.2">
      <c r="A115" s="2196" t="s">
        <v>1053</v>
      </c>
      <c r="B115" s="2197"/>
      <c r="C115" s="617"/>
      <c r="D115" s="617"/>
      <c r="E115" s="617"/>
      <c r="F115" s="617"/>
      <c r="G115" s="617"/>
      <c r="H115" s="617"/>
      <c r="I115" s="617"/>
      <c r="J115" s="617"/>
      <c r="K115" s="1703">
        <f>'Revenues 9-14'!C275-'Expenditures 15-22'!K114</f>
        <v>354502</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4" t="s">
        <v>314</v>
      </c>
      <c r="B117" s="2175"/>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89">
        <f>SUM(C123:J123)</f>
        <v>0</v>
      </c>
      <c r="L123" s="466">
        <v>15000</v>
      </c>
    </row>
    <row r="124" spans="1:14" ht="14.25" thickTop="1" thickBot="1" x14ac:dyDescent="0.25">
      <c r="A124" s="1524" t="s">
        <v>206</v>
      </c>
      <c r="B124" s="613">
        <v>2540</v>
      </c>
      <c r="C124" s="466">
        <v>254878</v>
      </c>
      <c r="D124" s="466">
        <v>46779</v>
      </c>
      <c r="E124" s="466">
        <v>123751</v>
      </c>
      <c r="F124" s="466">
        <v>225421</v>
      </c>
      <c r="G124" s="466">
        <v>18178</v>
      </c>
      <c r="H124" s="466">
        <v>0</v>
      </c>
      <c r="I124" s="467">
        <v>0</v>
      </c>
      <c r="J124" s="467">
        <v>0</v>
      </c>
      <c r="K124" s="1689">
        <f>SUM(C124:J124)</f>
        <v>669007</v>
      </c>
      <c r="L124" s="466">
        <v>799250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254878</v>
      </c>
      <c r="D127" s="1689">
        <f t="shared" ref="D127:L127" si="14">SUM(D122:D126)</f>
        <v>46779</v>
      </c>
      <c r="E127" s="1689">
        <f t="shared" si="14"/>
        <v>123751</v>
      </c>
      <c r="F127" s="1689">
        <f t="shared" si="14"/>
        <v>225421</v>
      </c>
      <c r="G127" s="1689">
        <f t="shared" si="14"/>
        <v>18178</v>
      </c>
      <c r="H127" s="1689">
        <f t="shared" si="14"/>
        <v>0</v>
      </c>
      <c r="I127" s="1689">
        <f t="shared" si="14"/>
        <v>0</v>
      </c>
      <c r="J127" s="1689">
        <f t="shared" si="14"/>
        <v>0</v>
      </c>
      <c r="K127" s="1689">
        <f t="shared" si="14"/>
        <v>669007</v>
      </c>
      <c r="L127" s="1689">
        <f t="shared" si="14"/>
        <v>814250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254878</v>
      </c>
      <c r="D129" s="1696">
        <f t="shared" ref="D129:L129" si="15">SUM(D120,D127,D128)</f>
        <v>46779</v>
      </c>
      <c r="E129" s="1696">
        <f t="shared" si="15"/>
        <v>123751</v>
      </c>
      <c r="F129" s="1696">
        <f t="shared" si="15"/>
        <v>225421</v>
      </c>
      <c r="G129" s="1696">
        <f t="shared" si="15"/>
        <v>18178</v>
      </c>
      <c r="H129" s="1696">
        <f t="shared" si="15"/>
        <v>0</v>
      </c>
      <c r="I129" s="1696">
        <f t="shared" si="15"/>
        <v>0</v>
      </c>
      <c r="J129" s="1696">
        <f t="shared" si="15"/>
        <v>0</v>
      </c>
      <c r="K129" s="1696">
        <f t="shared" si="15"/>
        <v>669007</v>
      </c>
      <c r="L129" s="1696">
        <f t="shared" si="15"/>
        <v>814250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1" t="s">
        <v>1957</v>
      </c>
      <c r="C133" s="468"/>
      <c r="D133" s="468"/>
      <c r="E133" s="640">
        <v>0</v>
      </c>
      <c r="F133" s="468"/>
      <c r="G133" s="468"/>
      <c r="H133" s="640">
        <v>0</v>
      </c>
      <c r="I133" s="468"/>
      <c r="J133" s="468"/>
      <c r="K133" s="1841">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1">
        <f>SUM(E134,H134)</f>
        <v>0</v>
      </c>
      <c r="L134" s="640">
        <v>0</v>
      </c>
    </row>
    <row r="135" spans="1:14" x14ac:dyDescent="0.2">
      <c r="A135" s="1524" t="s">
        <v>721</v>
      </c>
      <c r="B135" s="613">
        <v>4140</v>
      </c>
      <c r="C135" s="615"/>
      <c r="D135" s="615"/>
      <c r="E135" s="467">
        <v>0</v>
      </c>
      <c r="F135" s="615"/>
      <c r="G135" s="615"/>
      <c r="H135" s="466">
        <v>7376</v>
      </c>
      <c r="I135" s="476"/>
      <c r="J135" s="615"/>
      <c r="K135" s="1691">
        <f>SUM(E135,H135)</f>
        <v>7376</v>
      </c>
      <c r="L135" s="466">
        <v>8200</v>
      </c>
    </row>
    <row r="136" spans="1:14" x14ac:dyDescent="0.2">
      <c r="A136" s="1528"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7376</v>
      </c>
      <c r="I137" s="476"/>
      <c r="J137" s="615"/>
      <c r="K137" s="1689">
        <f>SUM(K133:K136)</f>
        <v>7376</v>
      </c>
      <c r="L137" s="1689">
        <f>SUM(L133:L136)</f>
        <v>8200</v>
      </c>
    </row>
    <row r="138" spans="1:14" ht="12.75" customHeight="1" thickTop="1" thickBot="1" x14ac:dyDescent="0.25">
      <c r="A138" s="1530"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7376</v>
      </c>
      <c r="I139" s="476"/>
      <c r="J139" s="615"/>
      <c r="K139" s="1691">
        <f>SUM(K137,K138)</f>
        <v>7376</v>
      </c>
      <c r="L139" s="1698">
        <f>SUM(L137,L138)</f>
        <v>8200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1">
        <f>SUM(H142)</f>
        <v>0</v>
      </c>
      <c r="L142" s="480">
        <v>0</v>
      </c>
    </row>
    <row r="143" spans="1:14" x14ac:dyDescent="0.2">
      <c r="A143" s="1524" t="s">
        <v>90</v>
      </c>
      <c r="B143" s="613">
        <v>5120</v>
      </c>
      <c r="C143" s="615"/>
      <c r="D143" s="615"/>
      <c r="E143" s="615"/>
      <c r="F143" s="615"/>
      <c r="G143" s="615"/>
      <c r="H143" s="466">
        <v>0</v>
      </c>
      <c r="I143" s="468"/>
      <c r="J143" s="615"/>
      <c r="K143" s="1691">
        <f>SUM(H143)</f>
        <v>0</v>
      </c>
      <c r="L143" s="466">
        <v>0</v>
      </c>
    </row>
    <row r="144" spans="1:14" ht="12.75" customHeight="1" x14ac:dyDescent="0.2">
      <c r="A144" s="1524" t="s">
        <v>1232</v>
      </c>
      <c r="B144" s="627" t="s">
        <v>638</v>
      </c>
      <c r="C144" s="615"/>
      <c r="D144" s="615"/>
      <c r="E144" s="615"/>
      <c r="F144" s="615"/>
      <c r="G144" s="615"/>
      <c r="H144" s="466">
        <v>0</v>
      </c>
      <c r="I144" s="468"/>
      <c r="J144" s="615"/>
      <c r="K144" s="1691">
        <f>SUM(H144)</f>
        <v>0</v>
      </c>
      <c r="L144" s="466">
        <v>0</v>
      </c>
    </row>
    <row r="145" spans="1:14" x14ac:dyDescent="0.2">
      <c r="A145" s="1524" t="s">
        <v>91</v>
      </c>
      <c r="B145" s="613" t="s">
        <v>610</v>
      </c>
      <c r="C145" s="615"/>
      <c r="D145" s="615"/>
      <c r="E145" s="615"/>
      <c r="F145" s="615"/>
      <c r="G145" s="615"/>
      <c r="H145" s="466">
        <v>0</v>
      </c>
      <c r="I145" s="468"/>
      <c r="J145" s="615"/>
      <c r="K145" s="1691">
        <f>SUM(H145)</f>
        <v>0</v>
      </c>
      <c r="L145" s="466">
        <v>0</v>
      </c>
    </row>
    <row r="146" spans="1:14" ht="12.75" customHeight="1" x14ac:dyDescent="0.2">
      <c r="A146" s="1524" t="s">
        <v>640</v>
      </c>
      <c r="B146" s="613" t="s">
        <v>639</v>
      </c>
      <c r="C146" s="615"/>
      <c r="D146" s="615"/>
      <c r="E146" s="615"/>
      <c r="F146" s="615"/>
      <c r="G146" s="615"/>
      <c r="H146" s="466">
        <v>0</v>
      </c>
      <c r="I146" s="468"/>
      <c r="J146" s="615"/>
      <c r="K146" s="1691">
        <f>SUM(H146)</f>
        <v>0</v>
      </c>
      <c r="L146" s="466">
        <v>0</v>
      </c>
    </row>
    <row r="147" spans="1:14" ht="12.75" customHeight="1" thickBot="1" x14ac:dyDescent="0.25">
      <c r="A147" s="1535"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7"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6" t="s">
        <v>641</v>
      </c>
      <c r="B151" s="2168"/>
      <c r="C151" s="1689">
        <f>SUM(C129,C130,C139,C149,C150)</f>
        <v>254878</v>
      </c>
      <c r="D151" s="1689">
        <f t="shared" ref="D151:K151" si="16">SUM(D129,D130,D139,D149,D150)</f>
        <v>46779</v>
      </c>
      <c r="E151" s="1689">
        <f t="shared" si="16"/>
        <v>123751</v>
      </c>
      <c r="F151" s="1689">
        <f t="shared" si="16"/>
        <v>225421</v>
      </c>
      <c r="G151" s="1689">
        <f t="shared" si="16"/>
        <v>18178</v>
      </c>
      <c r="H151" s="1689">
        <f t="shared" si="16"/>
        <v>7376</v>
      </c>
      <c r="I151" s="1689">
        <f t="shared" si="16"/>
        <v>0</v>
      </c>
      <c r="J151" s="1689">
        <f t="shared" si="16"/>
        <v>0</v>
      </c>
      <c r="K151" s="1689">
        <f t="shared" si="16"/>
        <v>676383</v>
      </c>
      <c r="L151" s="1689">
        <f>SUM(L129,L130,L139,L149,L150)</f>
        <v>822450</v>
      </c>
    </row>
    <row r="152" spans="1:14" ht="12.75" customHeight="1" thickTop="1" x14ac:dyDescent="0.2">
      <c r="A152" s="2189" t="s">
        <v>1240</v>
      </c>
      <c r="B152" s="2190"/>
      <c r="C152" s="617"/>
      <c r="D152" s="617"/>
      <c r="E152" s="617"/>
      <c r="F152" s="617"/>
      <c r="G152" s="617"/>
      <c r="H152" s="617"/>
      <c r="I152" s="617"/>
      <c r="J152" s="615"/>
      <c r="K152" s="1703">
        <f>'Revenues 9-14'!D275-'Expenditures 15-22'!K151</f>
        <v>61488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4" t="s">
        <v>642</v>
      </c>
      <c r="B154" s="2176"/>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1958</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1957</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1959</v>
      </c>
      <c r="C158" s="615"/>
      <c r="D158" s="615"/>
      <c r="E158" s="615"/>
      <c r="F158" s="615"/>
      <c r="G158" s="615"/>
      <c r="H158" s="467">
        <v>0</v>
      </c>
      <c r="I158" s="615"/>
      <c r="J158" s="615"/>
      <c r="K158" s="1690">
        <f>H158</f>
        <v>0</v>
      </c>
      <c r="L158" s="467">
        <v>0</v>
      </c>
      <c r="M158" s="618"/>
      <c r="N158" s="618"/>
    </row>
    <row r="159" spans="1:14" s="619" customFormat="1" ht="12" x14ac:dyDescent="0.2">
      <c r="A159" s="1846" t="s">
        <v>1960</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1961</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0">
        <f>SUM(C163:J163)</f>
        <v>0</v>
      </c>
      <c r="L163" s="640">
        <v>0</v>
      </c>
    </row>
    <row r="164" spans="1:14" x14ac:dyDescent="0.2">
      <c r="A164" s="1524" t="s">
        <v>90</v>
      </c>
      <c r="B164" s="613">
        <v>5120</v>
      </c>
      <c r="C164" s="615"/>
      <c r="D164" s="615"/>
      <c r="E164" s="615"/>
      <c r="F164" s="615"/>
      <c r="G164" s="615"/>
      <c r="H164" s="466">
        <v>0</v>
      </c>
      <c r="I164" s="615"/>
      <c r="J164" s="615"/>
      <c r="K164" s="1690">
        <f>SUM(C164:J164)</f>
        <v>0</v>
      </c>
      <c r="L164" s="466">
        <v>0</v>
      </c>
    </row>
    <row r="165" spans="1:14" ht="12.75" customHeight="1" x14ac:dyDescent="0.2">
      <c r="A165" s="1524" t="s">
        <v>1232</v>
      </c>
      <c r="B165" s="613" t="s">
        <v>638</v>
      </c>
      <c r="C165" s="615"/>
      <c r="D165" s="615"/>
      <c r="E165" s="615"/>
      <c r="F165" s="615"/>
      <c r="G165" s="615"/>
      <c r="H165" s="466">
        <v>0</v>
      </c>
      <c r="I165" s="615"/>
      <c r="J165" s="615"/>
      <c r="K165" s="1690">
        <f>SUM(C165:J165)</f>
        <v>0</v>
      </c>
      <c r="L165" s="466">
        <v>0</v>
      </c>
    </row>
    <row r="166" spans="1:14" x14ac:dyDescent="0.2">
      <c r="A166" s="1524" t="s">
        <v>91</v>
      </c>
      <c r="B166" s="627" t="s">
        <v>610</v>
      </c>
      <c r="C166" s="615"/>
      <c r="D166" s="615"/>
      <c r="E166" s="615"/>
      <c r="F166" s="615"/>
      <c r="G166" s="615"/>
      <c r="H166" s="466">
        <v>0</v>
      </c>
      <c r="I166" s="615"/>
      <c r="J166" s="615"/>
      <c r="K166" s="1690">
        <f>SUM(C166:J166)</f>
        <v>0</v>
      </c>
      <c r="L166" s="466">
        <v>0</v>
      </c>
    </row>
    <row r="167" spans="1:14" ht="12.75" customHeight="1" x14ac:dyDescent="0.2">
      <c r="A167" s="1524"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16379</v>
      </c>
      <c r="I169" s="615"/>
      <c r="J169" s="615"/>
      <c r="K169" s="1690">
        <f>SUM(C169:H169)</f>
        <v>16379</v>
      </c>
      <c r="L169" s="655">
        <v>16379</v>
      </c>
    </row>
    <row r="170" spans="1:14" ht="33.75" customHeight="1" x14ac:dyDescent="0.2">
      <c r="A170" s="668" t="s">
        <v>1769</v>
      </c>
      <c r="B170" s="670" t="s">
        <v>31</v>
      </c>
      <c r="C170" s="615"/>
      <c r="D170" s="615"/>
      <c r="E170" s="615"/>
      <c r="F170" s="615"/>
      <c r="G170" s="615"/>
      <c r="H170" s="567">
        <v>320700</v>
      </c>
      <c r="I170" s="615"/>
      <c r="J170" s="615"/>
      <c r="K170" s="1690">
        <f>SUM(C170:J170)</f>
        <v>320700</v>
      </c>
      <c r="L170" s="567">
        <v>320950</v>
      </c>
    </row>
    <row r="171" spans="1:14" ht="15.75" customHeight="1" x14ac:dyDescent="0.2">
      <c r="A171" s="620" t="s">
        <v>790</v>
      </c>
      <c r="B171" s="671" t="s">
        <v>86</v>
      </c>
      <c r="C171" s="615"/>
      <c r="D171" s="615"/>
      <c r="E171" s="466">
        <v>0</v>
      </c>
      <c r="F171" s="615"/>
      <c r="G171" s="615"/>
      <c r="H171" s="567">
        <v>0</v>
      </c>
      <c r="I171" s="476"/>
      <c r="J171" s="615"/>
      <c r="K171" s="1690">
        <f>SUM(C171:J171)</f>
        <v>0</v>
      </c>
      <c r="L171" s="567">
        <v>0</v>
      </c>
    </row>
    <row r="172" spans="1:14" ht="12.75" customHeight="1" thickBot="1" x14ac:dyDescent="0.25">
      <c r="A172" s="1687" t="s">
        <v>659</v>
      </c>
      <c r="B172" s="1688" t="s">
        <v>513</v>
      </c>
      <c r="C172" s="615"/>
      <c r="D172" s="615"/>
      <c r="E172" s="1696">
        <f>SUM(E168,E169,E170,E171)</f>
        <v>0</v>
      </c>
      <c r="F172" s="615"/>
      <c r="G172" s="615"/>
      <c r="H172" s="1696">
        <f>SUM(H168,H169,H170,H171)</f>
        <v>337079</v>
      </c>
      <c r="I172" s="637"/>
      <c r="J172" s="615"/>
      <c r="K172" s="1696">
        <f>SUM(K168,K169,K170,K171)</f>
        <v>337079</v>
      </c>
      <c r="L172" s="1696">
        <f>SUM(L168,L169,L170,L171)</f>
        <v>337329</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337079</v>
      </c>
      <c r="I174" s="637"/>
      <c r="J174" s="615"/>
      <c r="K174" s="1696">
        <f>SUM(K160,K172,K173)</f>
        <v>337079</v>
      </c>
      <c r="L174" s="1696">
        <f>SUM(L160,L172,L173)</f>
        <v>337329</v>
      </c>
    </row>
    <row r="175" spans="1:14" ht="13.5" thickTop="1" x14ac:dyDescent="0.2">
      <c r="A175" s="2196" t="s">
        <v>1053</v>
      </c>
      <c r="B175" s="2197"/>
      <c r="C175" s="615"/>
      <c r="D175" s="615"/>
      <c r="E175" s="615"/>
      <c r="F175" s="615"/>
      <c r="G175" s="615"/>
      <c r="H175" s="617"/>
      <c r="I175" s="615"/>
      <c r="J175" s="615"/>
      <c r="K175" s="1703">
        <f>'Revenues 9-14'!E275-'Expenditures 15-22'!K174</f>
        <v>-90418</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235702</v>
      </c>
      <c r="D182" s="467">
        <v>6683</v>
      </c>
      <c r="E182" s="467">
        <v>168098</v>
      </c>
      <c r="F182" s="467">
        <v>93658</v>
      </c>
      <c r="G182" s="467">
        <v>0</v>
      </c>
      <c r="H182" s="466">
        <v>2471</v>
      </c>
      <c r="I182" s="467">
        <v>0</v>
      </c>
      <c r="J182" s="467">
        <v>0</v>
      </c>
      <c r="K182" s="1690">
        <f>SUM(C182:J182)</f>
        <v>506612</v>
      </c>
      <c r="L182" s="466">
        <v>514850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235702</v>
      </c>
      <c r="D184" s="1696">
        <f t="shared" ref="D184:J184" si="17">SUM(D180,D182,D183)</f>
        <v>6683</v>
      </c>
      <c r="E184" s="1696">
        <f t="shared" si="17"/>
        <v>168098</v>
      </c>
      <c r="F184" s="1696">
        <f t="shared" si="17"/>
        <v>93658</v>
      </c>
      <c r="G184" s="1696">
        <f t="shared" si="17"/>
        <v>0</v>
      </c>
      <c r="H184" s="1696">
        <f t="shared" si="17"/>
        <v>2471</v>
      </c>
      <c r="I184" s="1696">
        <f t="shared" si="17"/>
        <v>0</v>
      </c>
      <c r="J184" s="1696">
        <f t="shared" si="17"/>
        <v>0</v>
      </c>
      <c r="K184" s="1696">
        <f>SUM(K180,K182,K183)</f>
        <v>506612</v>
      </c>
      <c r="L184" s="1696">
        <f>SUM(L180, L182:L183)</f>
        <v>514850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0">
        <f t="shared" ref="K188:K193" si="18">SUM(E188,H188)</f>
        <v>0</v>
      </c>
      <c r="L188" s="466">
        <v>0</v>
      </c>
    </row>
    <row r="189" spans="1:14" x14ac:dyDescent="0.2">
      <c r="A189" s="1524" t="s">
        <v>322</v>
      </c>
      <c r="B189" s="613">
        <v>4120</v>
      </c>
      <c r="C189" s="615"/>
      <c r="D189" s="615"/>
      <c r="E189" s="466">
        <v>0</v>
      </c>
      <c r="F189" s="615"/>
      <c r="G189" s="615"/>
      <c r="H189" s="466">
        <v>0</v>
      </c>
      <c r="I189" s="476"/>
      <c r="J189" s="615"/>
      <c r="K189" s="1690">
        <f t="shared" si="18"/>
        <v>0</v>
      </c>
      <c r="L189" s="466">
        <v>0</v>
      </c>
    </row>
    <row r="190" spans="1:14" x14ac:dyDescent="0.2">
      <c r="A190" s="1524" t="s">
        <v>323</v>
      </c>
      <c r="B190" s="627">
        <v>4130</v>
      </c>
      <c r="C190" s="615"/>
      <c r="D190" s="615"/>
      <c r="E190" s="466">
        <v>0</v>
      </c>
      <c r="F190" s="615"/>
      <c r="G190" s="615"/>
      <c r="H190" s="466">
        <v>0</v>
      </c>
      <c r="I190" s="476"/>
      <c r="J190" s="615"/>
      <c r="K190" s="1690">
        <f t="shared" si="18"/>
        <v>0</v>
      </c>
      <c r="L190" s="466">
        <v>0</v>
      </c>
    </row>
    <row r="191" spans="1:14" x14ac:dyDescent="0.2">
      <c r="A191" s="1524" t="s">
        <v>721</v>
      </c>
      <c r="B191" s="613">
        <v>4140</v>
      </c>
      <c r="C191" s="615"/>
      <c r="D191" s="615"/>
      <c r="E191" s="466">
        <v>0</v>
      </c>
      <c r="F191" s="615"/>
      <c r="G191" s="615"/>
      <c r="H191" s="466">
        <v>0</v>
      </c>
      <c r="I191" s="476"/>
      <c r="J191" s="615"/>
      <c r="K191" s="1690">
        <f t="shared" si="18"/>
        <v>0</v>
      </c>
      <c r="L191" s="466">
        <v>0</v>
      </c>
    </row>
    <row r="192" spans="1:14" x14ac:dyDescent="0.2">
      <c r="A192" s="1524" t="s">
        <v>88</v>
      </c>
      <c r="B192" s="613">
        <v>4170</v>
      </c>
      <c r="C192" s="615"/>
      <c r="D192" s="615"/>
      <c r="E192" s="466">
        <v>0</v>
      </c>
      <c r="F192" s="615"/>
      <c r="G192" s="615"/>
      <c r="H192" s="466">
        <v>0</v>
      </c>
      <c r="I192" s="476"/>
      <c r="J192" s="615"/>
      <c r="K192" s="1690">
        <f t="shared" si="18"/>
        <v>0</v>
      </c>
      <c r="L192" s="466">
        <v>0</v>
      </c>
    </row>
    <row r="193" spans="1:14" x14ac:dyDescent="0.2">
      <c r="A193" s="1528"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0">
        <f>SUM(H199)</f>
        <v>0</v>
      </c>
      <c r="L199" s="466">
        <v>0</v>
      </c>
    </row>
    <row r="200" spans="1:14" x14ac:dyDescent="0.2">
      <c r="A200" s="1524" t="s">
        <v>90</v>
      </c>
      <c r="B200" s="613">
        <v>5120</v>
      </c>
      <c r="C200" s="615"/>
      <c r="D200" s="615"/>
      <c r="E200" s="615"/>
      <c r="F200" s="615"/>
      <c r="G200" s="615"/>
      <c r="H200" s="466">
        <v>0</v>
      </c>
      <c r="I200" s="615"/>
      <c r="J200" s="615"/>
      <c r="K200" s="1690">
        <f>SUM(H200)</f>
        <v>0</v>
      </c>
      <c r="L200" s="466">
        <v>0</v>
      </c>
    </row>
    <row r="201" spans="1:14" ht="12.75" customHeight="1" x14ac:dyDescent="0.2">
      <c r="A201" s="1524" t="s">
        <v>1232</v>
      </c>
      <c r="B201" s="627" t="s">
        <v>638</v>
      </c>
      <c r="C201" s="615"/>
      <c r="D201" s="615"/>
      <c r="E201" s="615"/>
      <c r="F201" s="615"/>
      <c r="G201" s="615"/>
      <c r="H201" s="466">
        <v>0</v>
      </c>
      <c r="I201" s="615"/>
      <c r="J201" s="615"/>
      <c r="K201" s="1690">
        <f>SUM(H201)</f>
        <v>0</v>
      </c>
      <c r="L201" s="466">
        <v>0</v>
      </c>
    </row>
    <row r="202" spans="1:14" x14ac:dyDescent="0.2">
      <c r="A202" s="1524" t="s">
        <v>91</v>
      </c>
      <c r="B202" s="613" t="s">
        <v>610</v>
      </c>
      <c r="C202" s="615"/>
      <c r="D202" s="615"/>
      <c r="E202" s="615"/>
      <c r="F202" s="615"/>
      <c r="G202" s="615"/>
      <c r="H202" s="466">
        <v>0</v>
      </c>
      <c r="I202" s="615"/>
      <c r="J202" s="615"/>
      <c r="K202" s="1690">
        <f>SUM(H202)</f>
        <v>0</v>
      </c>
      <c r="L202" s="466">
        <v>0</v>
      </c>
    </row>
    <row r="203" spans="1:14" x14ac:dyDescent="0.2">
      <c r="A203" s="1536"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235702</v>
      </c>
      <c r="D210" s="1689">
        <f>SUM(D184,D185)</f>
        <v>6683</v>
      </c>
      <c r="E210" s="1689">
        <f>SUM(E184,E185,E196)</f>
        <v>168098</v>
      </c>
      <c r="F210" s="1689">
        <f>SUM(F184,F185)</f>
        <v>93658</v>
      </c>
      <c r="G210" s="1689">
        <f>SUM(G184,G185)</f>
        <v>0</v>
      </c>
      <c r="H210" s="1689">
        <f>SUM(H184,H185,H196,H208,H209)</f>
        <v>2471</v>
      </c>
      <c r="I210" s="1689">
        <f>SUM(I184,I185)</f>
        <v>0</v>
      </c>
      <c r="J210" s="1689">
        <f>SUM(J184,J185)</f>
        <v>0</v>
      </c>
      <c r="K210" s="1690">
        <f>SUM(K184,K185,K196,K208,K209)</f>
        <v>506612</v>
      </c>
      <c r="L210" s="1689">
        <f>SUM(L184,L185,L196,L208,L209)</f>
        <v>514850</v>
      </c>
    </row>
    <row r="211" spans="1:14" ht="13.5" thickTop="1" x14ac:dyDescent="0.2">
      <c r="A211" s="2196" t="s">
        <v>1053</v>
      </c>
      <c r="B211" s="2197"/>
      <c r="C211" s="617"/>
      <c r="D211" s="617"/>
      <c r="E211" s="617"/>
      <c r="F211" s="617"/>
      <c r="G211" s="617"/>
      <c r="H211" s="617"/>
      <c r="I211" s="615"/>
      <c r="J211" s="615"/>
      <c r="K211" s="1703">
        <f>'Revenues 9-14'!F275-'Expenditures 15-22'!K210</f>
        <v>79538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1" t="s">
        <v>1022</v>
      </c>
      <c r="B213" s="2192"/>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27489</v>
      </c>
      <c r="E215" s="615"/>
      <c r="F215" s="615"/>
      <c r="G215" s="615"/>
      <c r="H215" s="615"/>
      <c r="I215" s="615"/>
      <c r="J215" s="615"/>
      <c r="K215" s="1690">
        <f>D215</f>
        <v>27489</v>
      </c>
      <c r="L215" s="466">
        <v>29260</v>
      </c>
    </row>
    <row r="216" spans="1:14" x14ac:dyDescent="0.2">
      <c r="A216" s="1524" t="s">
        <v>165</v>
      </c>
      <c r="B216" s="613" t="s">
        <v>1024</v>
      </c>
      <c r="C216" s="615"/>
      <c r="D216" s="467">
        <v>6447</v>
      </c>
      <c r="E216" s="615"/>
      <c r="F216" s="615"/>
      <c r="G216" s="615"/>
      <c r="H216" s="615"/>
      <c r="I216" s="615"/>
      <c r="J216" s="615"/>
      <c r="K216" s="1690">
        <f t="shared" ref="K216:K228" si="19">D216</f>
        <v>6447</v>
      </c>
      <c r="L216" s="466">
        <v>6400</v>
      </c>
    </row>
    <row r="217" spans="1:14" x14ac:dyDescent="0.2">
      <c r="A217" s="1524" t="s">
        <v>166</v>
      </c>
      <c r="B217" s="613">
        <v>1200</v>
      </c>
      <c r="C217" s="615"/>
      <c r="D217" s="466">
        <v>28826</v>
      </c>
      <c r="E217" s="615"/>
      <c r="F217" s="615"/>
      <c r="G217" s="615"/>
      <c r="H217" s="615"/>
      <c r="I217" s="615"/>
      <c r="J217" s="615"/>
      <c r="K217" s="1690">
        <f t="shared" si="19"/>
        <v>28826</v>
      </c>
      <c r="L217" s="466">
        <v>31800</v>
      </c>
    </row>
    <row r="218" spans="1:14" x14ac:dyDescent="0.2">
      <c r="A218" s="1524" t="s">
        <v>296</v>
      </c>
      <c r="B218" s="613" t="s">
        <v>1025</v>
      </c>
      <c r="C218" s="615"/>
      <c r="D218" s="467">
        <v>0</v>
      </c>
      <c r="E218" s="615"/>
      <c r="F218" s="615"/>
      <c r="G218" s="615"/>
      <c r="H218" s="615"/>
      <c r="I218" s="615"/>
      <c r="J218" s="615"/>
      <c r="K218" s="1690">
        <f t="shared" si="19"/>
        <v>0</v>
      </c>
      <c r="L218" s="466">
        <v>0</v>
      </c>
    </row>
    <row r="219" spans="1:14" x14ac:dyDescent="0.2">
      <c r="A219" s="1524" t="s">
        <v>297</v>
      </c>
      <c r="B219" s="613">
        <v>1250</v>
      </c>
      <c r="C219" s="615"/>
      <c r="D219" s="466">
        <v>5493</v>
      </c>
      <c r="E219" s="615"/>
      <c r="F219" s="615"/>
      <c r="G219" s="615"/>
      <c r="H219" s="615"/>
      <c r="I219" s="615"/>
      <c r="J219" s="615"/>
      <c r="K219" s="1690">
        <f t="shared" si="19"/>
        <v>5493</v>
      </c>
      <c r="L219" s="466">
        <v>5245</v>
      </c>
    </row>
    <row r="220" spans="1:14" x14ac:dyDescent="0.2">
      <c r="A220" s="1524" t="s">
        <v>298</v>
      </c>
      <c r="B220" s="613" t="s">
        <v>163</v>
      </c>
      <c r="C220" s="615"/>
      <c r="D220" s="467">
        <v>0</v>
      </c>
      <c r="E220" s="615"/>
      <c r="F220" s="615"/>
      <c r="G220" s="615"/>
      <c r="H220" s="615"/>
      <c r="I220" s="615"/>
      <c r="J220" s="615"/>
      <c r="K220" s="1690">
        <f t="shared" si="19"/>
        <v>0</v>
      </c>
      <c r="L220" s="466">
        <v>0</v>
      </c>
    </row>
    <row r="221" spans="1:14" x14ac:dyDescent="0.2">
      <c r="A221" s="1524" t="s">
        <v>1019</v>
      </c>
      <c r="B221" s="613">
        <v>1300</v>
      </c>
      <c r="C221" s="615"/>
      <c r="D221" s="466">
        <v>0</v>
      </c>
      <c r="E221" s="615"/>
      <c r="F221" s="615"/>
      <c r="G221" s="615"/>
      <c r="H221" s="615"/>
      <c r="I221" s="615"/>
      <c r="J221" s="615"/>
      <c r="K221" s="1690">
        <f t="shared" si="19"/>
        <v>0</v>
      </c>
      <c r="L221" s="466">
        <v>0</v>
      </c>
    </row>
    <row r="222" spans="1:14" x14ac:dyDescent="0.2">
      <c r="A222" s="1524" t="s">
        <v>747</v>
      </c>
      <c r="B222" s="613">
        <v>1400</v>
      </c>
      <c r="C222" s="615"/>
      <c r="D222" s="466">
        <v>0</v>
      </c>
      <c r="E222" s="615"/>
      <c r="F222" s="615"/>
      <c r="G222" s="615"/>
      <c r="H222" s="615"/>
      <c r="I222" s="615"/>
      <c r="J222" s="615"/>
      <c r="K222" s="1690">
        <f t="shared" si="19"/>
        <v>0</v>
      </c>
      <c r="L222" s="466">
        <v>0</v>
      </c>
    </row>
    <row r="223" spans="1:14" x14ac:dyDescent="0.2">
      <c r="A223" s="1524" t="s">
        <v>1020</v>
      </c>
      <c r="B223" s="613">
        <v>1500</v>
      </c>
      <c r="C223" s="615"/>
      <c r="D223" s="466">
        <v>7291</v>
      </c>
      <c r="E223" s="615"/>
      <c r="F223" s="615"/>
      <c r="G223" s="615"/>
      <c r="H223" s="615"/>
      <c r="I223" s="615"/>
      <c r="J223" s="615"/>
      <c r="K223" s="1690">
        <f t="shared" si="19"/>
        <v>7291</v>
      </c>
      <c r="L223" s="466">
        <v>8490</v>
      </c>
    </row>
    <row r="224" spans="1:14" x14ac:dyDescent="0.2">
      <c r="A224" s="1524" t="s">
        <v>1021</v>
      </c>
      <c r="B224" s="613">
        <v>1600</v>
      </c>
      <c r="C224" s="615"/>
      <c r="D224" s="466">
        <v>0</v>
      </c>
      <c r="E224" s="615"/>
      <c r="F224" s="615"/>
      <c r="G224" s="615"/>
      <c r="H224" s="615"/>
      <c r="I224" s="615"/>
      <c r="J224" s="615"/>
      <c r="K224" s="1690">
        <f t="shared" si="19"/>
        <v>0</v>
      </c>
      <c r="L224" s="466">
        <v>0</v>
      </c>
    </row>
    <row r="225" spans="1:12" x14ac:dyDescent="0.2">
      <c r="A225" s="1524" t="s">
        <v>1044</v>
      </c>
      <c r="B225" s="613">
        <v>1650</v>
      </c>
      <c r="C225" s="615"/>
      <c r="D225" s="466">
        <v>0</v>
      </c>
      <c r="E225" s="615"/>
      <c r="F225" s="615"/>
      <c r="G225" s="615"/>
      <c r="H225" s="615"/>
      <c r="I225" s="615"/>
      <c r="J225" s="615"/>
      <c r="K225" s="1690">
        <f t="shared" si="19"/>
        <v>0</v>
      </c>
      <c r="L225" s="466">
        <v>0</v>
      </c>
    </row>
    <row r="226" spans="1:12" x14ac:dyDescent="0.2">
      <c r="A226" s="1524" t="s">
        <v>748</v>
      </c>
      <c r="B226" s="613" t="s">
        <v>164</v>
      </c>
      <c r="C226" s="615"/>
      <c r="D226" s="467">
        <v>849</v>
      </c>
      <c r="E226" s="615"/>
      <c r="F226" s="615"/>
      <c r="G226" s="615"/>
      <c r="H226" s="615"/>
      <c r="I226" s="615"/>
      <c r="J226" s="615"/>
      <c r="K226" s="1690">
        <f t="shared" si="19"/>
        <v>849</v>
      </c>
      <c r="L226" s="466">
        <v>1100</v>
      </c>
    </row>
    <row r="227" spans="1:12" x14ac:dyDescent="0.2">
      <c r="A227" s="1524" t="s">
        <v>1148</v>
      </c>
      <c r="B227" s="613">
        <v>1800</v>
      </c>
      <c r="C227" s="615"/>
      <c r="D227" s="466">
        <v>0</v>
      </c>
      <c r="E227" s="615"/>
      <c r="F227" s="615"/>
      <c r="G227" s="615"/>
      <c r="H227" s="615"/>
      <c r="I227" s="615"/>
      <c r="J227" s="615"/>
      <c r="K227" s="1690">
        <f t="shared" si="19"/>
        <v>0</v>
      </c>
      <c r="L227" s="466">
        <v>0</v>
      </c>
    </row>
    <row r="228" spans="1:12" x14ac:dyDescent="0.2">
      <c r="A228" s="1524"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76395</v>
      </c>
      <c r="E229" s="615"/>
      <c r="F229" s="615"/>
      <c r="G229" s="615"/>
      <c r="H229" s="615"/>
      <c r="I229" s="615"/>
      <c r="J229" s="615"/>
      <c r="K229" s="1689">
        <f>SUM(K215:K228)</f>
        <v>76395</v>
      </c>
      <c r="L229" s="1689">
        <f>SUM(L215:L228)</f>
        <v>82295</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0">
        <f t="shared" ref="K232:K237" si="20">D232</f>
        <v>0</v>
      </c>
      <c r="L232" s="466">
        <v>0</v>
      </c>
    </row>
    <row r="233" spans="1:12" x14ac:dyDescent="0.2">
      <c r="A233" s="1524" t="s">
        <v>1151</v>
      </c>
      <c r="B233" s="613">
        <v>2120</v>
      </c>
      <c r="C233" s="615"/>
      <c r="D233" s="466">
        <v>2434</v>
      </c>
      <c r="E233" s="615"/>
      <c r="F233" s="615"/>
      <c r="G233" s="615"/>
      <c r="H233" s="615"/>
      <c r="I233" s="615"/>
      <c r="J233" s="615"/>
      <c r="K233" s="1690">
        <f t="shared" si="20"/>
        <v>2434</v>
      </c>
      <c r="L233" s="466">
        <v>2500</v>
      </c>
    </row>
    <row r="234" spans="1:12" x14ac:dyDescent="0.2">
      <c r="A234" s="1524" t="s">
        <v>207</v>
      </c>
      <c r="B234" s="613">
        <v>2130</v>
      </c>
      <c r="C234" s="615"/>
      <c r="D234" s="466">
        <v>9241</v>
      </c>
      <c r="E234" s="615"/>
      <c r="F234" s="615"/>
      <c r="G234" s="615"/>
      <c r="H234" s="615"/>
      <c r="I234" s="615"/>
      <c r="J234" s="615"/>
      <c r="K234" s="1690">
        <f t="shared" si="20"/>
        <v>9241</v>
      </c>
      <c r="L234" s="466">
        <v>9250</v>
      </c>
    </row>
    <row r="235" spans="1:12" x14ac:dyDescent="0.2">
      <c r="A235" s="1524" t="s">
        <v>208</v>
      </c>
      <c r="B235" s="613">
        <v>2140</v>
      </c>
      <c r="C235" s="615"/>
      <c r="D235" s="466">
        <v>0</v>
      </c>
      <c r="E235" s="615"/>
      <c r="F235" s="615"/>
      <c r="G235" s="615"/>
      <c r="H235" s="615"/>
      <c r="I235" s="615"/>
      <c r="J235" s="615"/>
      <c r="K235" s="1690">
        <f t="shared" si="20"/>
        <v>0</v>
      </c>
      <c r="L235" s="466">
        <v>0</v>
      </c>
    </row>
    <row r="236" spans="1:12" x14ac:dyDescent="0.2">
      <c r="A236" s="1524" t="s">
        <v>209</v>
      </c>
      <c r="B236" s="613">
        <v>2150</v>
      </c>
      <c r="C236" s="615"/>
      <c r="D236" s="466">
        <v>451</v>
      </c>
      <c r="E236" s="615"/>
      <c r="F236" s="615"/>
      <c r="G236" s="615"/>
      <c r="H236" s="615"/>
      <c r="I236" s="615"/>
      <c r="J236" s="615"/>
      <c r="K236" s="1690">
        <f t="shared" si="20"/>
        <v>451</v>
      </c>
      <c r="L236" s="466">
        <v>650</v>
      </c>
    </row>
    <row r="237" spans="1:12" x14ac:dyDescent="0.2">
      <c r="A237" s="1524"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12126</v>
      </c>
      <c r="E238" s="615"/>
      <c r="F238" s="615"/>
      <c r="G238" s="615"/>
      <c r="H238" s="615"/>
      <c r="I238" s="615"/>
      <c r="J238" s="615"/>
      <c r="K238" s="1689">
        <f>SUM(K232:K237)</f>
        <v>12126</v>
      </c>
      <c r="L238" s="1689">
        <f>SUM(L232:L237)</f>
        <v>12400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1">
        <f>D240</f>
        <v>0</v>
      </c>
      <c r="L240" s="480">
        <v>0</v>
      </c>
    </row>
    <row r="241" spans="1:12" x14ac:dyDescent="0.2">
      <c r="A241" s="1524" t="s">
        <v>869</v>
      </c>
      <c r="B241" s="613">
        <v>2220</v>
      </c>
      <c r="C241" s="615"/>
      <c r="D241" s="466">
        <v>18573</v>
      </c>
      <c r="E241" s="615"/>
      <c r="F241" s="615"/>
      <c r="G241" s="615"/>
      <c r="H241" s="615"/>
      <c r="I241" s="615"/>
      <c r="J241" s="615"/>
      <c r="K241" s="1691">
        <f>D241</f>
        <v>18573</v>
      </c>
      <c r="L241" s="466">
        <v>19600</v>
      </c>
    </row>
    <row r="242" spans="1:12" x14ac:dyDescent="0.2">
      <c r="A242" s="1524"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18573</v>
      </c>
      <c r="E243" s="615"/>
      <c r="F243" s="615"/>
      <c r="G243" s="615"/>
      <c r="H243" s="615"/>
      <c r="I243" s="615"/>
      <c r="J243" s="615"/>
      <c r="K243" s="1689">
        <f>SUM(K240:K242)</f>
        <v>18573</v>
      </c>
      <c r="L243" s="1689">
        <f>SUM(L240:L242)</f>
        <v>19600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486</v>
      </c>
      <c r="E245" s="615"/>
      <c r="F245" s="615"/>
      <c r="G245" s="615"/>
      <c r="H245" s="615"/>
      <c r="I245" s="615"/>
      <c r="J245" s="615"/>
      <c r="K245" s="1691">
        <f>D245</f>
        <v>486</v>
      </c>
      <c r="L245" s="480">
        <v>550</v>
      </c>
    </row>
    <row r="246" spans="1:12" x14ac:dyDescent="0.2">
      <c r="A246" s="1524" t="s">
        <v>872</v>
      </c>
      <c r="B246" s="613">
        <v>2320</v>
      </c>
      <c r="C246" s="615"/>
      <c r="D246" s="466">
        <v>1684</v>
      </c>
      <c r="E246" s="615"/>
      <c r="F246" s="615"/>
      <c r="G246" s="615"/>
      <c r="H246" s="615"/>
      <c r="I246" s="615"/>
      <c r="J246" s="615"/>
      <c r="K246" s="1691">
        <f t="shared" ref="K246:K256" si="21">D246</f>
        <v>1684</v>
      </c>
      <c r="L246" s="466">
        <v>1800</v>
      </c>
    </row>
    <row r="247" spans="1:12" x14ac:dyDescent="0.2">
      <c r="A247" s="1524" t="s">
        <v>873</v>
      </c>
      <c r="B247" s="613">
        <v>2330</v>
      </c>
      <c r="C247" s="615"/>
      <c r="D247" s="466">
        <v>0</v>
      </c>
      <c r="E247" s="615"/>
      <c r="F247" s="615"/>
      <c r="G247" s="615"/>
      <c r="H247" s="615"/>
      <c r="I247" s="615"/>
      <c r="J247" s="615"/>
      <c r="K247" s="1691">
        <f t="shared" si="21"/>
        <v>0</v>
      </c>
      <c r="L247" s="466">
        <v>0</v>
      </c>
    </row>
    <row r="248" spans="1:12" x14ac:dyDescent="0.2">
      <c r="A248" s="1525" t="s">
        <v>317</v>
      </c>
      <c r="B248" s="601" t="s">
        <v>299</v>
      </c>
      <c r="C248" s="615"/>
      <c r="D248" s="474">
        <v>0</v>
      </c>
      <c r="E248" s="615"/>
      <c r="F248" s="615"/>
      <c r="G248" s="615"/>
      <c r="H248" s="615"/>
      <c r="I248" s="615"/>
      <c r="J248" s="615"/>
      <c r="K248" s="1691">
        <f t="shared" si="21"/>
        <v>0</v>
      </c>
      <c r="L248" s="466">
        <v>0</v>
      </c>
    </row>
    <row r="249" spans="1:12" x14ac:dyDescent="0.2">
      <c r="A249" s="1526" t="s">
        <v>1908</v>
      </c>
      <c r="B249" s="682" t="s">
        <v>300</v>
      </c>
      <c r="C249" s="615"/>
      <c r="D249" s="474">
        <v>0</v>
      </c>
      <c r="E249" s="615"/>
      <c r="F249" s="615"/>
      <c r="G249" s="615"/>
      <c r="H249" s="615"/>
      <c r="I249" s="615"/>
      <c r="J249" s="615"/>
      <c r="K249" s="1691">
        <f t="shared" si="21"/>
        <v>0</v>
      </c>
      <c r="L249" s="466">
        <v>0</v>
      </c>
    </row>
    <row r="250" spans="1:12" x14ac:dyDescent="0.2">
      <c r="A250" s="1525" t="s">
        <v>1909</v>
      </c>
      <c r="B250" s="601" t="s">
        <v>301</v>
      </c>
      <c r="C250" s="615"/>
      <c r="D250" s="474">
        <v>0</v>
      </c>
      <c r="E250" s="615"/>
      <c r="F250" s="615"/>
      <c r="G250" s="615"/>
      <c r="H250" s="615"/>
      <c r="I250" s="615"/>
      <c r="J250" s="615"/>
      <c r="K250" s="1691">
        <f t="shared" si="21"/>
        <v>0</v>
      </c>
      <c r="L250" s="466">
        <v>0</v>
      </c>
    </row>
    <row r="251" spans="1:12" x14ac:dyDescent="0.2">
      <c r="A251" s="1525" t="s">
        <v>256</v>
      </c>
      <c r="B251" s="601" t="s">
        <v>302</v>
      </c>
      <c r="C251" s="615"/>
      <c r="D251" s="474">
        <v>0</v>
      </c>
      <c r="E251" s="615"/>
      <c r="F251" s="615"/>
      <c r="G251" s="615"/>
      <c r="H251" s="615"/>
      <c r="I251" s="615"/>
      <c r="J251" s="615"/>
      <c r="K251" s="1691">
        <f t="shared" si="21"/>
        <v>0</v>
      </c>
      <c r="L251" s="466">
        <v>0</v>
      </c>
    </row>
    <row r="252" spans="1:12" x14ac:dyDescent="0.2">
      <c r="A252" s="1525" t="s">
        <v>726</v>
      </c>
      <c r="B252" s="601" t="s">
        <v>303</v>
      </c>
      <c r="C252" s="615"/>
      <c r="D252" s="474">
        <v>0</v>
      </c>
      <c r="E252" s="615"/>
      <c r="F252" s="615"/>
      <c r="G252" s="615"/>
      <c r="H252" s="615"/>
      <c r="I252" s="615"/>
      <c r="J252" s="615"/>
      <c r="K252" s="1691">
        <f t="shared" si="21"/>
        <v>0</v>
      </c>
      <c r="L252" s="466">
        <v>0</v>
      </c>
    </row>
    <row r="253" spans="1:12" x14ac:dyDescent="0.2">
      <c r="A253" s="1525" t="s">
        <v>257</v>
      </c>
      <c r="B253" s="601" t="s">
        <v>304</v>
      </c>
      <c r="C253" s="615"/>
      <c r="D253" s="474">
        <v>0</v>
      </c>
      <c r="E253" s="615"/>
      <c r="F253" s="615"/>
      <c r="G253" s="615"/>
      <c r="H253" s="615"/>
      <c r="I253" s="615"/>
      <c r="J253" s="615"/>
      <c r="K253" s="1691">
        <f t="shared" si="21"/>
        <v>0</v>
      </c>
      <c r="L253" s="466">
        <v>0</v>
      </c>
    </row>
    <row r="254" spans="1:12" ht="22.5" x14ac:dyDescent="0.2">
      <c r="A254" s="1525" t="s">
        <v>1087</v>
      </c>
      <c r="B254" s="682" t="s">
        <v>305</v>
      </c>
      <c r="C254" s="615"/>
      <c r="D254" s="474">
        <v>0</v>
      </c>
      <c r="E254" s="615"/>
      <c r="F254" s="615"/>
      <c r="G254" s="615"/>
      <c r="H254" s="615"/>
      <c r="I254" s="615"/>
      <c r="J254" s="615"/>
      <c r="K254" s="1691">
        <f t="shared" si="21"/>
        <v>0</v>
      </c>
      <c r="L254" s="466">
        <v>0</v>
      </c>
    </row>
    <row r="255" spans="1:12" x14ac:dyDescent="0.2">
      <c r="A255" s="1525" t="s">
        <v>1088</v>
      </c>
      <c r="B255" s="601" t="s">
        <v>306</v>
      </c>
      <c r="C255" s="615"/>
      <c r="D255" s="474">
        <v>0</v>
      </c>
      <c r="E255" s="615"/>
      <c r="F255" s="615"/>
      <c r="G255" s="615"/>
      <c r="H255" s="615"/>
      <c r="I255" s="615"/>
      <c r="J255" s="615"/>
      <c r="K255" s="1691">
        <f t="shared" si="21"/>
        <v>0</v>
      </c>
      <c r="L255" s="466">
        <v>0</v>
      </c>
    </row>
    <row r="256" spans="1:12" x14ac:dyDescent="0.2">
      <c r="A256" s="1525"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2170</v>
      </c>
      <c r="E257" s="615"/>
      <c r="F257" s="615"/>
      <c r="G257" s="615"/>
      <c r="H257" s="615"/>
      <c r="I257" s="615"/>
      <c r="J257" s="615"/>
      <c r="K257" s="1689">
        <f>SUM(K245:K256)</f>
        <v>2170</v>
      </c>
      <c r="L257" s="1689">
        <f>SUM(L245:L256)</f>
        <v>2350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19438</v>
      </c>
      <c r="E259" s="615"/>
      <c r="F259" s="615"/>
      <c r="G259" s="615"/>
      <c r="H259" s="615"/>
      <c r="I259" s="615"/>
      <c r="J259" s="615"/>
      <c r="K259" s="1691">
        <f>D259</f>
        <v>19438</v>
      </c>
      <c r="L259" s="480">
        <v>20100</v>
      </c>
    </row>
    <row r="260" spans="1:14" s="596" customFormat="1" x14ac:dyDescent="0.2">
      <c r="A260" s="1542" t="s">
        <v>1907</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19438</v>
      </c>
      <c r="E261" s="615"/>
      <c r="F261" s="615"/>
      <c r="G261" s="615"/>
      <c r="H261" s="615"/>
      <c r="I261" s="615"/>
      <c r="J261" s="615"/>
      <c r="K261" s="1689">
        <f>SUM(K259:K260)</f>
        <v>19438</v>
      </c>
      <c r="L261" s="1689">
        <f>SUM(L259:L260)</f>
        <v>20100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1">
        <f>D263</f>
        <v>0</v>
      </c>
      <c r="L263" s="480">
        <v>0</v>
      </c>
    </row>
    <row r="264" spans="1:14" x14ac:dyDescent="0.2">
      <c r="A264" s="1524" t="s">
        <v>483</v>
      </c>
      <c r="B264" s="684">
        <v>2520</v>
      </c>
      <c r="C264" s="615"/>
      <c r="D264" s="466">
        <v>13137</v>
      </c>
      <c r="E264" s="615"/>
      <c r="F264" s="615"/>
      <c r="G264" s="615"/>
      <c r="H264" s="615"/>
      <c r="I264" s="615"/>
      <c r="J264" s="615"/>
      <c r="K264" s="1691">
        <f t="shared" ref="K264:K269" si="22">D264</f>
        <v>13137</v>
      </c>
      <c r="L264" s="466">
        <v>13500</v>
      </c>
    </row>
    <row r="265" spans="1:14" x14ac:dyDescent="0.2">
      <c r="A265" s="1524" t="s">
        <v>4</v>
      </c>
      <c r="B265" s="613">
        <v>2530</v>
      </c>
      <c r="C265" s="615"/>
      <c r="D265" s="466">
        <v>0</v>
      </c>
      <c r="E265" s="615"/>
      <c r="F265" s="615"/>
      <c r="G265" s="615"/>
      <c r="H265" s="615"/>
      <c r="I265" s="615"/>
      <c r="J265" s="615"/>
      <c r="K265" s="1691">
        <f t="shared" si="22"/>
        <v>0</v>
      </c>
      <c r="L265" s="466">
        <v>0</v>
      </c>
    </row>
    <row r="266" spans="1:14" x14ac:dyDescent="0.2">
      <c r="A266" s="1524" t="s">
        <v>206</v>
      </c>
      <c r="B266" s="613">
        <v>2540</v>
      </c>
      <c r="C266" s="615"/>
      <c r="D266" s="466">
        <v>39692</v>
      </c>
      <c r="E266" s="615"/>
      <c r="F266" s="615"/>
      <c r="G266" s="615"/>
      <c r="H266" s="615"/>
      <c r="I266" s="615"/>
      <c r="J266" s="615"/>
      <c r="K266" s="1691">
        <f t="shared" si="22"/>
        <v>39692</v>
      </c>
      <c r="L266" s="466">
        <v>42000</v>
      </c>
    </row>
    <row r="267" spans="1:14" x14ac:dyDescent="0.2">
      <c r="A267" s="1524" t="s">
        <v>1010</v>
      </c>
      <c r="B267" s="613">
        <v>2550</v>
      </c>
      <c r="C267" s="615"/>
      <c r="D267" s="466">
        <v>36899</v>
      </c>
      <c r="E267" s="615"/>
      <c r="F267" s="615"/>
      <c r="G267" s="615"/>
      <c r="H267" s="615"/>
      <c r="I267" s="615"/>
      <c r="J267" s="615"/>
      <c r="K267" s="1691">
        <f t="shared" si="22"/>
        <v>36899</v>
      </c>
      <c r="L267" s="466">
        <v>37300</v>
      </c>
    </row>
    <row r="268" spans="1:14" x14ac:dyDescent="0.2">
      <c r="A268" s="1524" t="s">
        <v>102</v>
      </c>
      <c r="B268" s="613">
        <v>2560</v>
      </c>
      <c r="C268" s="615"/>
      <c r="D268" s="466">
        <v>18551</v>
      </c>
      <c r="E268" s="615"/>
      <c r="F268" s="615"/>
      <c r="G268" s="615"/>
      <c r="H268" s="615"/>
      <c r="I268" s="615"/>
      <c r="J268" s="615"/>
      <c r="K268" s="1691">
        <f t="shared" si="22"/>
        <v>18551</v>
      </c>
      <c r="L268" s="466">
        <v>17900</v>
      </c>
    </row>
    <row r="269" spans="1:14" x14ac:dyDescent="0.2">
      <c r="A269" s="1524"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108279</v>
      </c>
      <c r="E270" s="615"/>
      <c r="F270" s="615"/>
      <c r="G270" s="615"/>
      <c r="H270" s="615"/>
      <c r="I270" s="615"/>
      <c r="J270" s="615"/>
      <c r="K270" s="1689">
        <f>SUM(K263:K269)</f>
        <v>108279</v>
      </c>
      <c r="L270" s="1689">
        <f>SUM(L263:L269)</f>
        <v>110700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1">
        <f>D272</f>
        <v>0</v>
      </c>
      <c r="L272" s="480">
        <v>0</v>
      </c>
    </row>
    <row r="273" spans="1:12" x14ac:dyDescent="0.2">
      <c r="A273" s="1524" t="s">
        <v>628</v>
      </c>
      <c r="B273" s="627">
        <v>2620</v>
      </c>
      <c r="C273" s="615"/>
      <c r="D273" s="466">
        <v>0</v>
      </c>
      <c r="E273" s="615"/>
      <c r="F273" s="615"/>
      <c r="G273" s="615"/>
      <c r="H273" s="615"/>
      <c r="I273" s="615"/>
      <c r="J273" s="615"/>
      <c r="K273" s="1691">
        <f>D273</f>
        <v>0</v>
      </c>
      <c r="L273" s="466">
        <v>0</v>
      </c>
    </row>
    <row r="274" spans="1:12" ht="12" customHeight="1" x14ac:dyDescent="0.2">
      <c r="A274" s="1524" t="s">
        <v>1121</v>
      </c>
      <c r="B274" s="613">
        <v>2630</v>
      </c>
      <c r="C274" s="615"/>
      <c r="D274" s="466">
        <v>0</v>
      </c>
      <c r="E274" s="615"/>
      <c r="F274" s="615"/>
      <c r="G274" s="615"/>
      <c r="H274" s="615"/>
      <c r="I274" s="615"/>
      <c r="J274" s="615"/>
      <c r="K274" s="1691">
        <f>D274</f>
        <v>0</v>
      </c>
      <c r="L274" s="466">
        <v>0</v>
      </c>
    </row>
    <row r="275" spans="1:12" x14ac:dyDescent="0.2">
      <c r="A275" s="1524" t="s">
        <v>423</v>
      </c>
      <c r="B275" s="613">
        <v>2640</v>
      </c>
      <c r="C275" s="615"/>
      <c r="D275" s="466">
        <v>0</v>
      </c>
      <c r="E275" s="615"/>
      <c r="F275" s="615"/>
      <c r="G275" s="615"/>
      <c r="H275" s="615"/>
      <c r="I275" s="615"/>
      <c r="J275" s="615"/>
      <c r="K275" s="1691">
        <f>D275</f>
        <v>0</v>
      </c>
      <c r="L275" s="466">
        <v>0</v>
      </c>
    </row>
    <row r="276" spans="1:12" x14ac:dyDescent="0.2">
      <c r="A276" s="1524"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30"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160586</v>
      </c>
      <c r="E279" s="615"/>
      <c r="F279" s="615"/>
      <c r="G279" s="615"/>
      <c r="H279" s="615"/>
      <c r="I279" s="615"/>
      <c r="J279" s="615"/>
      <c r="K279" s="1696">
        <f>SUM(K238,K243,K257,K261,K270,K277,K278)</f>
        <v>160586</v>
      </c>
      <c r="L279" s="1696">
        <f>SUM(L238,L243,L257,L261,L270,L277,L278)</f>
        <v>165150</v>
      </c>
    </row>
    <row r="280" spans="1:12" ht="15.75" customHeight="1" thickTop="1" thickBot="1" x14ac:dyDescent="0.25">
      <c r="A280" s="1644" t="s">
        <v>930</v>
      </c>
      <c r="B280" s="1633">
        <v>3000</v>
      </c>
      <c r="C280" s="615"/>
      <c r="D280" s="574">
        <v>0</v>
      </c>
      <c r="E280" s="615"/>
      <c r="F280" s="615"/>
      <c r="G280" s="615"/>
      <c r="H280" s="615"/>
      <c r="I280" s="615"/>
      <c r="J280" s="615"/>
      <c r="K280" s="1698">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0" t="s">
        <v>517</v>
      </c>
      <c r="B282" s="689" t="s">
        <v>1957</v>
      </c>
      <c r="C282" s="615"/>
      <c r="D282" s="467">
        <v>0</v>
      </c>
      <c r="E282" s="615"/>
      <c r="F282" s="615"/>
      <c r="G282" s="615"/>
      <c r="H282" s="615"/>
      <c r="I282" s="615"/>
      <c r="J282" s="615"/>
      <c r="K282" s="1690">
        <f>D282</f>
        <v>0</v>
      </c>
      <c r="L282" s="467">
        <v>0</v>
      </c>
    </row>
    <row r="283" spans="1:12" x14ac:dyDescent="0.2">
      <c r="A283" s="1524" t="s">
        <v>322</v>
      </c>
      <c r="B283" s="613">
        <v>4120</v>
      </c>
      <c r="C283" s="615"/>
      <c r="D283" s="466">
        <v>0</v>
      </c>
      <c r="E283" s="615"/>
      <c r="F283" s="615"/>
      <c r="G283" s="615"/>
      <c r="H283" s="615"/>
      <c r="I283" s="615"/>
      <c r="J283" s="615"/>
      <c r="K283" s="1690">
        <f>D283</f>
        <v>0</v>
      </c>
      <c r="L283" s="466">
        <v>0</v>
      </c>
    </row>
    <row r="284" spans="1:12" x14ac:dyDescent="0.2">
      <c r="A284" s="1524"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0">
        <f>H288</f>
        <v>0</v>
      </c>
      <c r="L288" s="466">
        <v>0</v>
      </c>
    </row>
    <row r="289" spans="1:14" x14ac:dyDescent="0.2">
      <c r="A289" s="1524" t="s">
        <v>90</v>
      </c>
      <c r="B289" s="613">
        <v>5120</v>
      </c>
      <c r="C289" s="615"/>
      <c r="D289" s="615"/>
      <c r="E289" s="615"/>
      <c r="F289" s="615"/>
      <c r="G289" s="615"/>
      <c r="H289" s="466">
        <v>0</v>
      </c>
      <c r="I289" s="615"/>
      <c r="J289" s="615"/>
      <c r="K289" s="1690">
        <f>H289</f>
        <v>0</v>
      </c>
      <c r="L289" s="466">
        <v>0</v>
      </c>
    </row>
    <row r="290" spans="1:14" ht="12.75" customHeight="1" x14ac:dyDescent="0.2">
      <c r="A290" s="1524" t="s">
        <v>1232</v>
      </c>
      <c r="B290" s="627" t="s">
        <v>638</v>
      </c>
      <c r="C290" s="615"/>
      <c r="D290" s="615"/>
      <c r="E290" s="615"/>
      <c r="F290" s="615"/>
      <c r="G290" s="615"/>
      <c r="H290" s="466">
        <v>0</v>
      </c>
      <c r="I290" s="615"/>
      <c r="J290" s="615"/>
      <c r="K290" s="1690">
        <f>H290</f>
        <v>0</v>
      </c>
      <c r="L290" s="466">
        <v>0</v>
      </c>
    </row>
    <row r="291" spans="1:14" x14ac:dyDescent="0.2">
      <c r="A291" s="1524" t="s">
        <v>91</v>
      </c>
      <c r="B291" s="613" t="s">
        <v>610</v>
      </c>
      <c r="C291" s="615"/>
      <c r="D291" s="615"/>
      <c r="E291" s="615"/>
      <c r="F291" s="615"/>
      <c r="G291" s="615"/>
      <c r="H291" s="466">
        <v>0</v>
      </c>
      <c r="I291" s="615"/>
      <c r="J291" s="615"/>
      <c r="K291" s="1690">
        <f>H291</f>
        <v>0</v>
      </c>
      <c r="L291" s="466">
        <v>0</v>
      </c>
    </row>
    <row r="292" spans="1:14" x14ac:dyDescent="0.2">
      <c r="A292" s="1524"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7" t="s">
        <v>526</v>
      </c>
      <c r="B295" s="2188"/>
      <c r="C295" s="615"/>
      <c r="D295" s="1689">
        <f>SUM(D229,D279,D280,D285)</f>
        <v>236981</v>
      </c>
      <c r="E295" s="615"/>
      <c r="F295" s="615"/>
      <c r="G295" s="615"/>
      <c r="H295" s="1689">
        <f>H293</f>
        <v>0</v>
      </c>
      <c r="I295" s="615"/>
      <c r="J295" s="615"/>
      <c r="K295" s="1689">
        <f>SUM(K229,K279,K280,K285,K293,K294)</f>
        <v>236981</v>
      </c>
      <c r="L295" s="1689">
        <f>SUM(L229,L279,L280,L285,L293,L294)</f>
        <v>247445</v>
      </c>
    </row>
    <row r="296" spans="1:14" ht="13.5" thickTop="1" x14ac:dyDescent="0.2">
      <c r="A296" s="2196" t="s">
        <v>1053</v>
      </c>
      <c r="B296" s="2197"/>
      <c r="C296" s="615"/>
      <c r="D296" s="617"/>
      <c r="E296" s="615"/>
      <c r="F296" s="615"/>
      <c r="G296" s="615"/>
      <c r="H296" s="686"/>
      <c r="I296" s="615"/>
      <c r="J296" s="615"/>
      <c r="K296" s="1703">
        <f>'Revenues 9-14'!G275-'Expenditures 15-22'!K295</f>
        <v>20536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9" t="s">
        <v>145</v>
      </c>
      <c r="B298" s="2173"/>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3785</v>
      </c>
      <c r="F301" s="466">
        <v>0</v>
      </c>
      <c r="G301" s="466">
        <v>211677</v>
      </c>
      <c r="H301" s="466">
        <v>0</v>
      </c>
      <c r="I301" s="467">
        <v>0</v>
      </c>
      <c r="J301" s="467">
        <v>0</v>
      </c>
      <c r="K301" s="1690">
        <f>SUM(C301:J301)</f>
        <v>215462</v>
      </c>
      <c r="L301" s="467">
        <v>350000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3785</v>
      </c>
      <c r="F303" s="1696">
        <f t="shared" si="23"/>
        <v>0</v>
      </c>
      <c r="G303" s="1696">
        <f t="shared" si="23"/>
        <v>211677</v>
      </c>
      <c r="H303" s="1696">
        <f t="shared" si="23"/>
        <v>0</v>
      </c>
      <c r="I303" s="1696">
        <f t="shared" si="23"/>
        <v>0</v>
      </c>
      <c r="J303" s="1696">
        <f t="shared" si="23"/>
        <v>0</v>
      </c>
      <c r="K303" s="1696">
        <f t="shared" si="23"/>
        <v>215462</v>
      </c>
      <c r="L303" s="1696">
        <f t="shared" si="23"/>
        <v>350000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0">
        <f>SUM(E306,H306)</f>
        <v>0</v>
      </c>
      <c r="L306" s="467">
        <v>0</v>
      </c>
    </row>
    <row r="307" spans="1:14" x14ac:dyDescent="0.2">
      <c r="A307" s="1524" t="s">
        <v>322</v>
      </c>
      <c r="B307" s="613">
        <v>4120</v>
      </c>
      <c r="C307" s="615"/>
      <c r="D307" s="615"/>
      <c r="E307" s="467">
        <v>0</v>
      </c>
      <c r="F307" s="615"/>
      <c r="G307" s="615"/>
      <c r="H307" s="467">
        <v>0</v>
      </c>
      <c r="I307" s="476"/>
      <c r="J307" s="615"/>
      <c r="K307" s="1690">
        <f>SUM(E307,H307)</f>
        <v>0</v>
      </c>
      <c r="L307" s="466">
        <v>0</v>
      </c>
    </row>
    <row r="308" spans="1:14" x14ac:dyDescent="0.2">
      <c r="A308" s="1524" t="s">
        <v>721</v>
      </c>
      <c r="B308" s="613">
        <v>4140</v>
      </c>
      <c r="C308" s="615"/>
      <c r="D308" s="615"/>
      <c r="E308" s="467">
        <v>0</v>
      </c>
      <c r="F308" s="615"/>
      <c r="G308" s="615"/>
      <c r="H308" s="467">
        <v>0</v>
      </c>
      <c r="I308" s="476"/>
      <c r="J308" s="615"/>
      <c r="K308" s="1690">
        <f>SUM(E308,H308)</f>
        <v>0</v>
      </c>
      <c r="L308" s="466">
        <v>0</v>
      </c>
    </row>
    <row r="309" spans="1:14" ht="12.75" customHeight="1" x14ac:dyDescent="0.2">
      <c r="A309" s="1528"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4" t="s">
        <v>295</v>
      </c>
      <c r="B312" s="2185"/>
      <c r="C312" s="1689">
        <f>SUM(C303)</f>
        <v>0</v>
      </c>
      <c r="D312" s="1689">
        <f>SUM(D303)</f>
        <v>0</v>
      </c>
      <c r="E312" s="1689">
        <f>SUM(E303,E310)</f>
        <v>3785</v>
      </c>
      <c r="F312" s="1689">
        <f>SUM(F303)</f>
        <v>0</v>
      </c>
      <c r="G312" s="1689">
        <f>SUM(G303)</f>
        <v>211677</v>
      </c>
      <c r="H312" s="1689">
        <f>SUM(H303,H310)</f>
        <v>0</v>
      </c>
      <c r="I312" s="1689">
        <f>SUM(I303)</f>
        <v>0</v>
      </c>
      <c r="J312" s="1689">
        <f>SUM(J303)</f>
        <v>0</v>
      </c>
      <c r="K312" s="1689">
        <f>SUM(K303,K310,K311)</f>
        <v>215462</v>
      </c>
      <c r="L312" s="1689">
        <f>SUM(L303,L310,L311)</f>
        <v>350000</v>
      </c>
      <c r="M312" s="664"/>
      <c r="N312" s="664"/>
    </row>
    <row r="313" spans="1:14" ht="13.5" thickTop="1" x14ac:dyDescent="0.2">
      <c r="A313" s="2180" t="s">
        <v>1053</v>
      </c>
      <c r="B313" s="2181"/>
      <c r="C313" s="625"/>
      <c r="D313" s="625"/>
      <c r="E313" s="625"/>
      <c r="F313" s="625"/>
      <c r="G313" s="625"/>
      <c r="H313" s="625"/>
      <c r="I313" s="625"/>
      <c r="J313" s="625"/>
      <c r="K313" s="1704">
        <f>'Revenues 9-14'!H275-'Expenditures 15-22'!K312</f>
        <v>201269</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3" t="s">
        <v>151</v>
      </c>
      <c r="B315" s="2194"/>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5" t="s">
        <v>954</v>
      </c>
      <c r="B317" s="2194"/>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3" t="s">
        <v>1908</v>
      </c>
      <c r="B320" s="697" t="s">
        <v>300</v>
      </c>
      <c r="C320" s="467">
        <v>0</v>
      </c>
      <c r="D320" s="467">
        <v>0</v>
      </c>
      <c r="E320" s="467">
        <v>32040</v>
      </c>
      <c r="F320" s="467">
        <v>0</v>
      </c>
      <c r="G320" s="467">
        <v>0</v>
      </c>
      <c r="H320" s="467">
        <v>0</v>
      </c>
      <c r="I320" s="467">
        <v>0</v>
      </c>
      <c r="J320" s="467">
        <v>0</v>
      </c>
      <c r="K320" s="1690">
        <f t="shared" ref="K320:K327" si="24">SUM(C320:J320)</f>
        <v>32040</v>
      </c>
      <c r="L320" s="467">
        <v>50000</v>
      </c>
      <c r="M320" s="664"/>
      <c r="N320" s="664"/>
    </row>
    <row r="321" spans="1:14" s="673" customFormat="1" x14ac:dyDescent="0.2">
      <c r="A321" s="1539" t="s">
        <v>318</v>
      </c>
      <c r="B321" s="696" t="s">
        <v>301</v>
      </c>
      <c r="C321" s="467">
        <v>0</v>
      </c>
      <c r="D321" s="467">
        <v>0</v>
      </c>
      <c r="E321" s="467">
        <v>4264</v>
      </c>
      <c r="F321" s="467">
        <v>0</v>
      </c>
      <c r="G321" s="467">
        <v>0</v>
      </c>
      <c r="H321" s="467">
        <v>0</v>
      </c>
      <c r="I321" s="467">
        <v>0</v>
      </c>
      <c r="J321" s="467">
        <v>0</v>
      </c>
      <c r="K321" s="1690">
        <f t="shared" si="24"/>
        <v>4264</v>
      </c>
      <c r="L321" s="467">
        <v>20000</v>
      </c>
      <c r="M321" s="664"/>
      <c r="N321" s="664"/>
    </row>
    <row r="322" spans="1:14" s="673" customFormat="1" x14ac:dyDescent="0.2">
      <c r="A322" s="1539" t="s">
        <v>256</v>
      </c>
      <c r="B322" s="696" t="s">
        <v>302</v>
      </c>
      <c r="C322" s="467">
        <v>0</v>
      </c>
      <c r="D322" s="467">
        <v>0</v>
      </c>
      <c r="E322" s="467">
        <v>694</v>
      </c>
      <c r="F322" s="467">
        <v>0</v>
      </c>
      <c r="G322" s="467">
        <v>0</v>
      </c>
      <c r="H322" s="467">
        <v>0</v>
      </c>
      <c r="I322" s="467">
        <v>0</v>
      </c>
      <c r="J322" s="467">
        <v>0</v>
      </c>
      <c r="K322" s="1690">
        <f t="shared" si="24"/>
        <v>694</v>
      </c>
      <c r="L322" s="467">
        <v>5200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0">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9" t="s">
        <v>1028</v>
      </c>
      <c r="B327" s="696" t="s">
        <v>307</v>
      </c>
      <c r="C327" s="467">
        <v>0</v>
      </c>
      <c r="D327" s="467">
        <v>0</v>
      </c>
      <c r="E327" s="467">
        <v>8819</v>
      </c>
      <c r="F327" s="467">
        <v>0</v>
      </c>
      <c r="G327" s="467">
        <v>0</v>
      </c>
      <c r="H327" s="467">
        <v>0</v>
      </c>
      <c r="I327" s="467">
        <v>0</v>
      </c>
      <c r="J327" s="467">
        <v>0</v>
      </c>
      <c r="K327" s="1690">
        <f t="shared" si="24"/>
        <v>8819</v>
      </c>
      <c r="L327" s="467">
        <v>15000</v>
      </c>
      <c r="M327" s="664"/>
      <c r="N327" s="664"/>
    </row>
    <row r="328" spans="1:14" s="673" customFormat="1" x14ac:dyDescent="0.2">
      <c r="A328" s="1540" t="s">
        <v>492</v>
      </c>
      <c r="B328" s="689" t="s">
        <v>1194</v>
      </c>
      <c r="C328" s="474">
        <v>0</v>
      </c>
      <c r="D328" s="474">
        <v>0</v>
      </c>
      <c r="E328" s="474">
        <v>52471</v>
      </c>
      <c r="F328" s="474">
        <v>0</v>
      </c>
      <c r="G328" s="474">
        <v>0</v>
      </c>
      <c r="H328" s="474">
        <v>0</v>
      </c>
      <c r="I328" s="474">
        <v>0</v>
      </c>
      <c r="J328" s="474">
        <v>0</v>
      </c>
      <c r="K328" s="1718">
        <f>SUM(C328:J328)</f>
        <v>52471</v>
      </c>
      <c r="L328" s="474">
        <v>60000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0</v>
      </c>
      <c r="D330" s="1689">
        <f t="shared" ref="D330:J330" si="25">SUM(D319:D329)</f>
        <v>0</v>
      </c>
      <c r="E330" s="1689">
        <f t="shared" si="25"/>
        <v>98288</v>
      </c>
      <c r="F330" s="1689">
        <f t="shared" si="25"/>
        <v>0</v>
      </c>
      <c r="G330" s="1689">
        <f t="shared" si="25"/>
        <v>0</v>
      </c>
      <c r="H330" s="1689">
        <f t="shared" si="25"/>
        <v>0</v>
      </c>
      <c r="I330" s="1689">
        <f t="shared" si="25"/>
        <v>0</v>
      </c>
      <c r="J330" s="1689">
        <f t="shared" si="25"/>
        <v>0</v>
      </c>
      <c r="K330" s="1689">
        <f>SUM(K319:K329)</f>
        <v>98288</v>
      </c>
      <c r="L330" s="1689">
        <f>SUM(L319:L329)</f>
        <v>150200</v>
      </c>
      <c r="M330" s="664"/>
      <c r="N330" s="664"/>
    </row>
    <row r="331" spans="1:14" s="673" customFormat="1" ht="12.75" customHeight="1" thickTop="1" x14ac:dyDescent="0.2">
      <c r="A331" s="1851" t="s">
        <v>1963</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1957</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1959</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0">
        <f>H337</f>
        <v>0</v>
      </c>
      <c r="L337" s="477">
        <v>0</v>
      </c>
    </row>
    <row r="338" spans="1:14" ht="12.75" customHeight="1" x14ac:dyDescent="0.2">
      <c r="A338" s="1538" t="s">
        <v>1232</v>
      </c>
      <c r="B338" s="689" t="s">
        <v>638</v>
      </c>
      <c r="C338" s="637"/>
      <c r="D338" s="637"/>
      <c r="E338" s="637"/>
      <c r="F338" s="637"/>
      <c r="G338" s="637"/>
      <c r="H338" s="477">
        <v>0</v>
      </c>
      <c r="I338" s="637"/>
      <c r="J338" s="637"/>
      <c r="K338" s="1690">
        <f>H338</f>
        <v>0</v>
      </c>
      <c r="L338" s="477">
        <v>0</v>
      </c>
    </row>
    <row r="339" spans="1:14" x14ac:dyDescent="0.2">
      <c r="A339" s="1524"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0</v>
      </c>
      <c r="D342" s="1689">
        <f>SUM(D330)</f>
        <v>0</v>
      </c>
      <c r="E342" s="1689">
        <f>SUM(E330)</f>
        <v>98288</v>
      </c>
      <c r="F342" s="1689">
        <f>SUM(F330)</f>
        <v>0</v>
      </c>
      <c r="G342" s="1689">
        <f>SUM(G330)</f>
        <v>0</v>
      </c>
      <c r="H342" s="1689">
        <f>SUM(H330,H334,H340)</f>
        <v>0</v>
      </c>
      <c r="I342" s="1689">
        <f>SUM(I330)</f>
        <v>0</v>
      </c>
      <c r="J342" s="1689">
        <f>SUM(J330)</f>
        <v>0</v>
      </c>
      <c r="K342" s="1689">
        <f>SUM(K330,K334,K340)</f>
        <v>98288</v>
      </c>
      <c r="L342" s="1696">
        <f>SUM(L330,L340,L341)</f>
        <v>150200</v>
      </c>
    </row>
    <row r="343" spans="1:14" ht="12.75" customHeight="1" thickTop="1" x14ac:dyDescent="0.2">
      <c r="A343" s="2182" t="s">
        <v>1053</v>
      </c>
      <c r="B343" s="2183"/>
      <c r="C343" s="615"/>
      <c r="D343" s="615"/>
      <c r="E343" s="615"/>
      <c r="F343" s="615"/>
      <c r="G343" s="615"/>
      <c r="H343" s="615"/>
      <c r="I343" s="615"/>
      <c r="J343" s="615"/>
      <c r="K343" s="1703">
        <f>'Revenues 9-14'!J275-'Expenditures 15-22'!K342</f>
        <v>67949</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2" t="s">
        <v>1023</v>
      </c>
      <c r="B345" s="2173"/>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559212</v>
      </c>
      <c r="H348" s="466">
        <v>0</v>
      </c>
      <c r="I348" s="467">
        <v>0</v>
      </c>
      <c r="J348" s="467">
        <v>0</v>
      </c>
      <c r="K348" s="1690">
        <f>SUM(C348:J348)</f>
        <v>559212</v>
      </c>
      <c r="L348" s="466">
        <v>490000</v>
      </c>
    </row>
    <row r="349" spans="1:14" x14ac:dyDescent="0.2">
      <c r="A349" s="1524" t="s">
        <v>206</v>
      </c>
      <c r="B349" s="613">
        <v>2540</v>
      </c>
      <c r="C349" s="466">
        <v>0</v>
      </c>
      <c r="D349" s="466">
        <v>0</v>
      </c>
      <c r="E349" s="466">
        <v>24068</v>
      </c>
      <c r="F349" s="466">
        <v>0</v>
      </c>
      <c r="G349" s="466">
        <v>0</v>
      </c>
      <c r="H349" s="466">
        <v>0</v>
      </c>
      <c r="I349" s="467">
        <v>0</v>
      </c>
      <c r="J349" s="467">
        <v>0</v>
      </c>
      <c r="K349" s="1690">
        <f>SUM(C349:J349)</f>
        <v>24068</v>
      </c>
      <c r="L349" s="466">
        <v>110000</v>
      </c>
    </row>
    <row r="350" spans="1:14" ht="12.75" customHeight="1" thickBot="1" x14ac:dyDescent="0.25">
      <c r="A350" s="1687" t="s">
        <v>743</v>
      </c>
      <c r="B350" s="1688" t="s">
        <v>35</v>
      </c>
      <c r="C350" s="1689">
        <f>SUM(C348:C349)</f>
        <v>0</v>
      </c>
      <c r="D350" s="1689">
        <f t="shared" ref="D350:L350" si="26">SUM(D348:D349)</f>
        <v>0</v>
      </c>
      <c r="E350" s="1689">
        <f t="shared" si="26"/>
        <v>24068</v>
      </c>
      <c r="F350" s="1689">
        <f t="shared" si="26"/>
        <v>0</v>
      </c>
      <c r="G350" s="1689">
        <f t="shared" si="26"/>
        <v>559212</v>
      </c>
      <c r="H350" s="1689">
        <f t="shared" si="26"/>
        <v>0</v>
      </c>
      <c r="I350" s="1689">
        <f t="shared" si="26"/>
        <v>0</v>
      </c>
      <c r="J350" s="1689">
        <f t="shared" si="26"/>
        <v>0</v>
      </c>
      <c r="K350" s="1689">
        <f t="shared" si="26"/>
        <v>583280</v>
      </c>
      <c r="L350" s="1689">
        <f t="shared" si="26"/>
        <v>600000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24068</v>
      </c>
      <c r="F352" s="1689">
        <f t="shared" si="27"/>
        <v>0</v>
      </c>
      <c r="G352" s="1689">
        <f t="shared" si="27"/>
        <v>559212</v>
      </c>
      <c r="H352" s="1689">
        <f t="shared" si="27"/>
        <v>0</v>
      </c>
      <c r="I352" s="1689">
        <f t="shared" si="27"/>
        <v>0</v>
      </c>
      <c r="J352" s="1689">
        <f t="shared" si="27"/>
        <v>0</v>
      </c>
      <c r="K352" s="1689">
        <f t="shared" si="27"/>
        <v>583280</v>
      </c>
      <c r="L352" s="1689">
        <f t="shared" si="27"/>
        <v>600000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4" t="s">
        <v>1965</v>
      </c>
      <c r="B354" s="682" t="s">
        <v>1957</v>
      </c>
      <c r="C354" s="615"/>
      <c r="D354" s="615"/>
      <c r="E354" s="615"/>
      <c r="F354" s="615"/>
      <c r="G354" s="615"/>
      <c r="H354" s="474">
        <v>0</v>
      </c>
      <c r="I354" s="700"/>
      <c r="J354" s="615"/>
      <c r="K354" s="1718">
        <f>H354</f>
        <v>0</v>
      </c>
      <c r="L354" s="471">
        <v>0</v>
      </c>
    </row>
    <row r="355" spans="1:14" ht="12.75" customHeight="1" x14ac:dyDescent="0.2">
      <c r="A355" s="1533" t="s">
        <v>1966</v>
      </c>
      <c r="B355" s="689" t="s">
        <v>1959</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0">
        <f>SUM(C360:J360)</f>
        <v>0</v>
      </c>
      <c r="L360" s="466">
        <v>0</v>
      </c>
    </row>
    <row r="361" spans="1:14" ht="12.75" customHeight="1" x14ac:dyDescent="0.2">
      <c r="A361" s="1525"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1"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24068</v>
      </c>
      <c r="F367" s="1689">
        <f t="shared" si="28"/>
        <v>0</v>
      </c>
      <c r="G367" s="1689">
        <f t="shared" si="28"/>
        <v>559212</v>
      </c>
      <c r="H367" s="1689">
        <f t="shared" si="28"/>
        <v>0</v>
      </c>
      <c r="I367" s="1689">
        <f t="shared" si="28"/>
        <v>0</v>
      </c>
      <c r="J367" s="1689">
        <f t="shared" si="28"/>
        <v>0</v>
      </c>
      <c r="K367" s="1689">
        <f t="shared" si="28"/>
        <v>583280</v>
      </c>
      <c r="L367" s="1689">
        <f t="shared" si="28"/>
        <v>600000</v>
      </c>
    </row>
    <row r="368" spans="1:14" ht="13.5" thickTop="1" x14ac:dyDescent="0.2">
      <c r="A368" s="2196" t="s">
        <v>1053</v>
      </c>
      <c r="B368" s="2197"/>
      <c r="C368" s="653"/>
      <c r="D368" s="653"/>
      <c r="E368" s="625"/>
      <c r="F368" s="625"/>
      <c r="G368" s="625"/>
      <c r="H368" s="625"/>
      <c r="I368" s="625"/>
      <c r="J368" s="622"/>
      <c r="K368" s="1690">
        <f>'Revenues 9-14'!K275-'Expenditures 15-22'!K367</f>
        <v>-527852</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198" t="s">
        <v>1905</v>
      </c>
      <c r="B2" s="1548" t="s">
        <v>2037</v>
      </c>
      <c r="C2" s="713" t="s">
        <v>1910</v>
      </c>
      <c r="D2" s="713" t="s">
        <v>1911</v>
      </c>
      <c r="E2" s="713" t="s">
        <v>1912</v>
      </c>
      <c r="F2" s="713" t="s">
        <v>1913</v>
      </c>
    </row>
    <row r="3" spans="1:6" ht="12" customHeight="1" x14ac:dyDescent="0.2">
      <c r="A3" s="2199"/>
      <c r="B3" s="1545"/>
      <c r="C3" s="1546"/>
      <c r="D3" s="1547" t="s">
        <v>274</v>
      </c>
      <c r="E3" s="1546"/>
      <c r="F3" s="1547" t="s">
        <v>275</v>
      </c>
    </row>
    <row r="4" spans="1:6" ht="13.7" customHeight="1" x14ac:dyDescent="0.2">
      <c r="A4" s="714" t="s">
        <v>1217</v>
      </c>
      <c r="B4" s="1768">
        <f>'Revenues 9-14'!C5</f>
        <v>2713294</v>
      </c>
      <c r="C4" s="1544">
        <v>1485720</v>
      </c>
      <c r="D4" s="1771">
        <f>B4-C4</f>
        <v>1227574</v>
      </c>
      <c r="E4" s="1544">
        <v>2764973</v>
      </c>
      <c r="F4" s="1771">
        <f>E4-C4</f>
        <v>1279253</v>
      </c>
    </row>
    <row r="5" spans="1:6" ht="13.7" customHeight="1" x14ac:dyDescent="0.2">
      <c r="A5" s="714" t="s">
        <v>925</v>
      </c>
      <c r="B5" s="1769">
        <f>'Revenues 9-14'!D5</f>
        <v>714025</v>
      </c>
      <c r="C5" s="583">
        <v>390979</v>
      </c>
      <c r="D5" s="1772">
        <f t="shared" ref="D5:D18" si="0">B5-C5</f>
        <v>323046</v>
      </c>
      <c r="E5" s="583">
        <v>727624</v>
      </c>
      <c r="F5" s="1772">
        <f>E5-C5</f>
        <v>336645</v>
      </c>
    </row>
    <row r="6" spans="1:6" ht="13.7" customHeight="1" x14ac:dyDescent="0.2">
      <c r="A6" s="714" t="s">
        <v>431</v>
      </c>
      <c r="B6" s="1769">
        <f>'Revenues 9-14'!E5</f>
        <v>242045</v>
      </c>
      <c r="C6" s="583">
        <v>81011</v>
      </c>
      <c r="D6" s="1772">
        <f t="shared" si="0"/>
        <v>161034</v>
      </c>
      <c r="E6" s="583">
        <v>150764</v>
      </c>
      <c r="F6" s="1772">
        <f t="shared" ref="F6:F18" si="1">E6-C6</f>
        <v>69753</v>
      </c>
    </row>
    <row r="7" spans="1:6" ht="13.7" customHeight="1" x14ac:dyDescent="0.2">
      <c r="A7" s="714" t="s">
        <v>157</v>
      </c>
      <c r="B7" s="1769">
        <f>'Revenues 9-14'!F5</f>
        <v>190407</v>
      </c>
      <c r="C7" s="583">
        <v>104261</v>
      </c>
      <c r="D7" s="1772">
        <f t="shared" si="0"/>
        <v>86146</v>
      </c>
      <c r="E7" s="583">
        <v>194033</v>
      </c>
      <c r="F7" s="1772">
        <f t="shared" si="1"/>
        <v>89772</v>
      </c>
    </row>
    <row r="8" spans="1:6" ht="13.7" customHeight="1" x14ac:dyDescent="0.2">
      <c r="A8" s="714" t="s">
        <v>1241</v>
      </c>
      <c r="B8" s="1769">
        <f>'Revenues 9-14'!G5</f>
        <v>108644</v>
      </c>
      <c r="C8" s="583">
        <v>56405</v>
      </c>
      <c r="D8" s="1772">
        <f t="shared" si="0"/>
        <v>52239</v>
      </c>
      <c r="E8" s="583">
        <v>104972</v>
      </c>
      <c r="F8" s="1772">
        <f t="shared" si="1"/>
        <v>48567</v>
      </c>
    </row>
    <row r="9" spans="1:6" ht="13.7" customHeight="1" x14ac:dyDescent="0.2">
      <c r="A9" s="714" t="s">
        <v>428</v>
      </c>
      <c r="B9" s="1769">
        <f>'Revenues 9-14'!H5</f>
        <v>0</v>
      </c>
      <c r="C9" s="583">
        <v>0</v>
      </c>
      <c r="D9" s="1772">
        <f t="shared" si="0"/>
        <v>0</v>
      </c>
      <c r="E9" s="583">
        <v>0</v>
      </c>
      <c r="F9" s="1772">
        <f t="shared" si="1"/>
        <v>0</v>
      </c>
    </row>
    <row r="10" spans="1:6" ht="13.7" customHeight="1" x14ac:dyDescent="0.2">
      <c r="A10" s="714" t="s">
        <v>427</v>
      </c>
      <c r="B10" s="1769">
        <f>'Revenues 9-14'!I5</f>
        <v>47602</v>
      </c>
      <c r="C10" s="583">
        <v>26065</v>
      </c>
      <c r="D10" s="1772">
        <f t="shared" si="0"/>
        <v>21537</v>
      </c>
      <c r="E10" s="583">
        <v>48508</v>
      </c>
      <c r="F10" s="1772">
        <f t="shared" si="1"/>
        <v>22443</v>
      </c>
    </row>
    <row r="11" spans="1:6" x14ac:dyDescent="0.2">
      <c r="A11" s="714" t="s">
        <v>429</v>
      </c>
      <c r="B11" s="1769">
        <f>'Revenues 9-14'!J5</f>
        <v>160171</v>
      </c>
      <c r="C11" s="583">
        <v>84921</v>
      </c>
      <c r="D11" s="1772">
        <f t="shared" si="0"/>
        <v>75250</v>
      </c>
      <c r="E11" s="583">
        <v>158040</v>
      </c>
      <c r="F11" s="1772">
        <f t="shared" si="1"/>
        <v>73119</v>
      </c>
    </row>
    <row r="12" spans="1:6" ht="13.7" customHeight="1" x14ac:dyDescent="0.2">
      <c r="A12" s="714" t="s">
        <v>159</v>
      </c>
      <c r="B12" s="1769">
        <f>'Revenues 9-14'!K5</f>
        <v>47602</v>
      </c>
      <c r="C12" s="583">
        <v>26065</v>
      </c>
      <c r="D12" s="1772">
        <f t="shared" si="0"/>
        <v>21537</v>
      </c>
      <c r="E12" s="583">
        <v>48508</v>
      </c>
      <c r="F12" s="1772">
        <f t="shared" si="1"/>
        <v>22443</v>
      </c>
    </row>
    <row r="13" spans="1:6" ht="13.7" customHeight="1" x14ac:dyDescent="0.2">
      <c r="A13" s="714" t="s">
        <v>993</v>
      </c>
      <c r="B13" s="1769">
        <f>SUM('Revenues 9-14'!C6:D6)</f>
        <v>47585</v>
      </c>
      <c r="C13" s="583">
        <v>26066</v>
      </c>
      <c r="D13" s="1772">
        <f t="shared" si="0"/>
        <v>21519</v>
      </c>
      <c r="E13" s="583">
        <v>48508</v>
      </c>
      <c r="F13" s="1772">
        <f t="shared" si="1"/>
        <v>22442</v>
      </c>
    </row>
    <row r="14" spans="1:6" ht="13.7" customHeight="1" x14ac:dyDescent="0.2">
      <c r="A14" s="714" t="s">
        <v>430</v>
      </c>
      <c r="B14" s="1769">
        <f>SUM('Revenues 9-14'!C7:D7,'Revenues 9-14'!F7:H7)</f>
        <v>38081</v>
      </c>
      <c r="C14" s="583">
        <v>20852</v>
      </c>
      <c r="D14" s="1772">
        <f t="shared" si="0"/>
        <v>17229</v>
      </c>
      <c r="E14" s="583">
        <v>38807</v>
      </c>
      <c r="F14" s="1772">
        <f t="shared" si="1"/>
        <v>17955</v>
      </c>
    </row>
    <row r="15" spans="1:6" ht="13.7" customHeight="1" x14ac:dyDescent="0.2">
      <c r="A15" s="714" t="s">
        <v>1220</v>
      </c>
      <c r="B15" s="1769">
        <f>'Revenues 9-14'!E9</f>
        <v>0</v>
      </c>
      <c r="C15" s="583">
        <v>0</v>
      </c>
      <c r="D15" s="1772">
        <f t="shared" si="0"/>
        <v>0</v>
      </c>
      <c r="E15" s="583">
        <v>0</v>
      </c>
      <c r="F15" s="1772">
        <f t="shared" si="1"/>
        <v>0</v>
      </c>
    </row>
    <row r="16" spans="1:6" ht="13.7" customHeight="1" x14ac:dyDescent="0.2">
      <c r="A16" s="714" t="s">
        <v>1221</v>
      </c>
      <c r="B16" s="1769">
        <f>'Revenues 9-14'!G8</f>
        <v>127609</v>
      </c>
      <c r="C16" s="583">
        <v>57500</v>
      </c>
      <c r="D16" s="1772">
        <f t="shared" si="0"/>
        <v>70109</v>
      </c>
      <c r="E16" s="583">
        <v>107009</v>
      </c>
      <c r="F16" s="1772">
        <f t="shared" si="1"/>
        <v>49509</v>
      </c>
    </row>
    <row r="17" spans="1:6" ht="13.7" customHeight="1" x14ac:dyDescent="0.2">
      <c r="A17" s="714" t="s">
        <v>1222</v>
      </c>
      <c r="B17" s="1769">
        <f>'Revenues 9-14'!C10</f>
        <v>0</v>
      </c>
      <c r="C17" s="583">
        <v>0</v>
      </c>
      <c r="D17" s="1772">
        <f t="shared" si="0"/>
        <v>0</v>
      </c>
      <c r="E17" s="583">
        <v>0</v>
      </c>
      <c r="F17" s="1772">
        <f t="shared" si="1"/>
        <v>0</v>
      </c>
    </row>
    <row r="18" spans="1:6" ht="13.7" customHeight="1" x14ac:dyDescent="0.2">
      <c r="A18" s="714" t="s">
        <v>786</v>
      </c>
      <c r="B18" s="1769">
        <f>SUM('Revenues 9-14'!C11:K11)</f>
        <v>0</v>
      </c>
      <c r="C18" s="583">
        <v>0</v>
      </c>
      <c r="D18" s="1772">
        <f t="shared" si="0"/>
        <v>0</v>
      </c>
      <c r="E18" s="583">
        <v>0</v>
      </c>
      <c r="F18" s="1772">
        <f t="shared" si="1"/>
        <v>0</v>
      </c>
    </row>
    <row r="19" spans="1:6" ht="13.7" customHeight="1" thickBot="1" x14ac:dyDescent="0.25">
      <c r="A19" s="1773" t="s">
        <v>1223</v>
      </c>
      <c r="B19" s="1770">
        <f>SUM(B4:B18)</f>
        <v>4437065</v>
      </c>
      <c r="C19" s="1770">
        <f>SUM(C4:C18)</f>
        <v>2359845</v>
      </c>
      <c r="D19" s="1770">
        <f>SUM(D4:D18)</f>
        <v>2077220</v>
      </c>
      <c r="E19" s="1770">
        <f>SUM(E4:E18)</f>
        <v>4391746</v>
      </c>
      <c r="F19" s="1770">
        <f>SUM(F4:F18)</f>
        <v>2031901</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650</v>
      </c>
      <c r="B1" s="2205"/>
      <c r="C1" s="720"/>
    </row>
    <row r="2" spans="1:7" ht="33.75" x14ac:dyDescent="0.2">
      <c r="A2" s="2213" t="s">
        <v>1905</v>
      </c>
      <c r="B2" s="2214"/>
      <c r="C2" s="1904" t="s">
        <v>2038</v>
      </c>
      <c r="D2" s="722" t="s">
        <v>2045</v>
      </c>
      <c r="E2" s="722" t="s">
        <v>2046</v>
      </c>
      <c r="F2" s="1904" t="s">
        <v>2039</v>
      </c>
    </row>
    <row r="3" spans="1:7" ht="15.75" customHeight="1" x14ac:dyDescent="0.2">
      <c r="A3" s="2217" t="s">
        <v>1176</v>
      </c>
      <c r="B3" s="2218"/>
      <c r="C3" s="2206"/>
      <c r="D3" s="2207"/>
      <c r="E3" s="2207"/>
      <c r="F3" s="2208"/>
    </row>
    <row r="4" spans="1:7" ht="12.75" customHeight="1" thickBot="1" x14ac:dyDescent="0.25">
      <c r="A4" s="2215" t="s">
        <v>651</v>
      </c>
      <c r="B4" s="2216"/>
      <c r="C4" s="579"/>
      <c r="D4" s="579"/>
      <c r="E4" s="579"/>
      <c r="F4" s="1774">
        <f>SUM(C4+D4)-E4</f>
        <v>0</v>
      </c>
    </row>
    <row r="5" spans="1:7" ht="15.75" customHeight="1" thickTop="1" x14ac:dyDescent="0.2">
      <c r="A5" s="2200" t="s">
        <v>1172</v>
      </c>
      <c r="B5" s="2201"/>
      <c r="C5" s="2209"/>
      <c r="D5" s="2210"/>
      <c r="E5" s="2210"/>
      <c r="F5" s="2211"/>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02" t="s">
        <v>652</v>
      </c>
      <c r="B15" s="2203"/>
      <c r="C15" s="1774">
        <f>SUM(C6:C14)</f>
        <v>0</v>
      </c>
      <c r="D15" s="1774">
        <f>SUM(D6:D14)</f>
        <v>0</v>
      </c>
      <c r="E15" s="1774">
        <f>SUM(E6:E14)</f>
        <v>0</v>
      </c>
      <c r="F15" s="1774">
        <f>SUM(F6:F14)</f>
        <v>0</v>
      </c>
      <c r="G15" s="550"/>
    </row>
    <row r="16" spans="1:7" s="202" customFormat="1" ht="15.75" customHeight="1" thickTop="1" x14ac:dyDescent="0.2">
      <c r="A16" s="2212" t="s">
        <v>1173</v>
      </c>
      <c r="B16" s="2201"/>
      <c r="C16" s="2209"/>
      <c r="D16" s="2210"/>
      <c r="E16" s="2210"/>
      <c r="F16" s="2211"/>
    </row>
    <row r="17" spans="1:11" ht="12.75" customHeight="1" thickBot="1" x14ac:dyDescent="0.25">
      <c r="A17" s="2225" t="s">
        <v>66</v>
      </c>
      <c r="B17" s="2226"/>
      <c r="C17" s="725"/>
      <c r="D17" s="583"/>
      <c r="E17" s="725"/>
      <c r="F17" s="1774">
        <f>SUM(C17+D17)-E17</f>
        <v>0</v>
      </c>
    </row>
    <row r="18" spans="1:11" ht="12.75" customHeight="1" thickTop="1" thickBot="1" x14ac:dyDescent="0.25">
      <c r="A18" s="2225" t="s">
        <v>6</v>
      </c>
      <c r="B18" s="2226"/>
      <c r="C18" s="725"/>
      <c r="D18" s="583"/>
      <c r="E18" s="725"/>
      <c r="F18" s="1774">
        <f>SUM(C18+D18)-E18</f>
        <v>0</v>
      </c>
    </row>
    <row r="19" spans="1:11" ht="12.75" customHeight="1" thickTop="1" thickBot="1" x14ac:dyDescent="0.25">
      <c r="A19" s="2225" t="s">
        <v>406</v>
      </c>
      <c r="B19" s="2226"/>
      <c r="C19" s="725"/>
      <c r="D19" s="583"/>
      <c r="E19" s="725"/>
      <c r="F19" s="1774">
        <f>SUM(C19+D19)-E19</f>
        <v>0</v>
      </c>
    </row>
    <row r="20" spans="1:11" ht="12.75" customHeight="1" thickTop="1" thickBot="1" x14ac:dyDescent="0.25">
      <c r="A20" s="2225" t="s">
        <v>468</v>
      </c>
      <c r="B20" s="2226"/>
      <c r="C20" s="725"/>
      <c r="D20" s="583"/>
      <c r="E20" s="725"/>
      <c r="F20" s="1774">
        <f>SUM(C20+D20)-E20</f>
        <v>0</v>
      </c>
    </row>
    <row r="21" spans="1:11" ht="14.25" thickTop="1" thickBot="1" x14ac:dyDescent="0.25">
      <c r="A21" s="2202" t="s">
        <v>653</v>
      </c>
      <c r="B21" s="2203"/>
      <c r="C21" s="1774">
        <f>SUM(C17:C20)</f>
        <v>0</v>
      </c>
      <c r="D21" s="1774">
        <f>SUM(D17:D20)</f>
        <v>0</v>
      </c>
      <c r="E21" s="1774">
        <f>SUM(E17:E20)</f>
        <v>0</v>
      </c>
      <c r="F21" s="1774">
        <f>SUM(F17:F20)</f>
        <v>0</v>
      </c>
      <c r="G21" s="550"/>
    </row>
    <row r="22" spans="1:11" ht="15.75" customHeight="1" thickTop="1" x14ac:dyDescent="0.2">
      <c r="A22" s="2227" t="s">
        <v>1174</v>
      </c>
      <c r="B22" s="2201"/>
      <c r="C22" s="2209"/>
      <c r="D22" s="2210"/>
      <c r="E22" s="2210"/>
      <c r="F22" s="2211"/>
    </row>
    <row r="23" spans="1:11" ht="13.5" thickBot="1" x14ac:dyDescent="0.25">
      <c r="A23" s="2215" t="s">
        <v>654</v>
      </c>
      <c r="B23" s="2216"/>
      <c r="C23" s="579"/>
      <c r="D23" s="579"/>
      <c r="E23" s="579"/>
      <c r="F23" s="1774">
        <f>SUM(C23+D23)-E23</f>
        <v>0</v>
      </c>
      <c r="G23" s="550"/>
    </row>
    <row r="24" spans="1:11" ht="15.75" customHeight="1" thickTop="1" x14ac:dyDescent="0.2">
      <c r="A24" s="2227" t="s">
        <v>1175</v>
      </c>
      <c r="B24" s="2201"/>
      <c r="C24" s="2209"/>
      <c r="D24" s="2210"/>
      <c r="E24" s="2210"/>
      <c r="F24" s="2211"/>
    </row>
    <row r="25" spans="1:11" ht="13.5" thickBot="1" x14ac:dyDescent="0.25">
      <c r="A25" s="2215" t="s">
        <v>655</v>
      </c>
      <c r="B25" s="2216"/>
      <c r="C25" s="579"/>
      <c r="D25" s="579"/>
      <c r="E25" s="579"/>
      <c r="F25" s="1774">
        <f>SUM(C25+D25)-E25</f>
        <v>0</v>
      </c>
      <c r="G25" s="550"/>
    </row>
    <row r="26" spans="1:11" ht="15.75" customHeight="1" thickTop="1" x14ac:dyDescent="0.2">
      <c r="A26" s="2200" t="s">
        <v>678</v>
      </c>
      <c r="B26" s="2201"/>
      <c r="C26" s="726"/>
      <c r="D26" s="726"/>
      <c r="E26" s="726"/>
      <c r="F26" s="727"/>
    </row>
    <row r="27" spans="1:11" ht="13.5" thickBot="1" x14ac:dyDescent="0.25">
      <c r="A27" s="2202" t="s">
        <v>1130</v>
      </c>
      <c r="B27" s="2203"/>
      <c r="C27" s="583"/>
      <c r="D27" s="583"/>
      <c r="E27" s="583"/>
      <c r="F27" s="1774">
        <f>SUM(C27+D27)-E27</f>
        <v>0</v>
      </c>
      <c r="G27" s="550"/>
    </row>
    <row r="28" spans="1:11" ht="7.5" customHeight="1" thickTop="1" x14ac:dyDescent="0.2">
      <c r="A28" s="592"/>
    </row>
    <row r="29" spans="1:11" ht="23.25" customHeight="1" x14ac:dyDescent="0.2">
      <c r="A29" s="2228" t="s">
        <v>603</v>
      </c>
      <c r="B29" s="2205"/>
      <c r="C29" s="728"/>
      <c r="D29" s="728"/>
      <c r="E29" s="728"/>
      <c r="F29" s="728"/>
      <c r="G29" s="728"/>
      <c r="H29" s="728"/>
      <c r="I29" s="728"/>
      <c r="J29" s="728"/>
    </row>
    <row r="30" spans="1:11" ht="33.75" x14ac:dyDescent="0.2">
      <c r="A30" s="1549" t="s">
        <v>1131</v>
      </c>
      <c r="B30" s="729" t="s">
        <v>1186</v>
      </c>
      <c r="C30" s="1905" t="s">
        <v>604</v>
      </c>
      <c r="D30" s="1905" t="s">
        <v>1772</v>
      </c>
      <c r="E30" s="1905" t="s">
        <v>2040</v>
      </c>
      <c r="F30" s="1905" t="s">
        <v>2041</v>
      </c>
      <c r="G30" s="1905" t="s">
        <v>2044</v>
      </c>
      <c r="H30" s="1905" t="s">
        <v>2042</v>
      </c>
      <c r="I30" s="1905" t="s">
        <v>2043</v>
      </c>
      <c r="J30" s="1906" t="s">
        <v>2</v>
      </c>
      <c r="K30" s="730"/>
    </row>
    <row r="31" spans="1:11" ht="12" customHeight="1" x14ac:dyDescent="0.2">
      <c r="A31" s="731" t="s">
        <v>2094</v>
      </c>
      <c r="B31" s="732">
        <v>42408</v>
      </c>
      <c r="C31" s="733">
        <v>1204400</v>
      </c>
      <c r="D31" s="734">
        <v>4</v>
      </c>
      <c r="E31" s="733">
        <v>888300</v>
      </c>
      <c r="F31" s="733"/>
      <c r="G31" s="733"/>
      <c r="H31" s="733">
        <v>320700</v>
      </c>
      <c r="I31" s="1775">
        <f>((E31+F31)-H31)+G31</f>
        <v>567600</v>
      </c>
      <c r="J31" s="733">
        <v>484640</v>
      </c>
      <c r="K31" s="735"/>
    </row>
    <row r="32" spans="1:11" ht="12" customHeight="1" x14ac:dyDescent="0.2">
      <c r="A32" s="731" t="s">
        <v>2110</v>
      </c>
      <c r="B32" s="732"/>
      <c r="C32" s="733"/>
      <c r="D32" s="734"/>
      <c r="E32" s="733"/>
      <c r="F32" s="733"/>
      <c r="G32" s="733"/>
      <c r="H32" s="733"/>
      <c r="I32" s="1775">
        <f>((E32+F32)-H32)+G32</f>
        <v>0</v>
      </c>
      <c r="J32" s="733">
        <v>-174718</v>
      </c>
      <c r="K32" s="735"/>
    </row>
    <row r="33" spans="1:11" ht="12" customHeight="1" x14ac:dyDescent="0.2">
      <c r="A33" s="731"/>
      <c r="B33" s="732"/>
      <c r="C33" s="733"/>
      <c r="D33" s="734"/>
      <c r="E33" s="733"/>
      <c r="F33" s="733"/>
      <c r="G33" s="733"/>
      <c r="H33" s="733"/>
      <c r="I33" s="1775">
        <f t="shared" ref="I33:I48" si="1">((E33+F33)-H33)+G33</f>
        <v>0</v>
      </c>
      <c r="J33" s="733"/>
      <c r="K33" s="735"/>
    </row>
    <row r="34" spans="1:11" ht="12" customHeight="1" x14ac:dyDescent="0.2">
      <c r="A34" s="731"/>
      <c r="B34" s="732"/>
      <c r="C34" s="733"/>
      <c r="D34" s="734"/>
      <c r="E34" s="733"/>
      <c r="F34" s="733"/>
      <c r="G34" s="733"/>
      <c r="H34" s="733"/>
      <c r="I34" s="1775">
        <f t="shared" si="1"/>
        <v>0</v>
      </c>
      <c r="J34" s="733"/>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1204400</v>
      </c>
      <c r="D49" s="744"/>
      <c r="E49" s="1775">
        <f t="shared" ref="E49:J49" si="2">SUM(E31:E48)</f>
        <v>888300</v>
      </c>
      <c r="F49" s="1775">
        <f t="shared" si="2"/>
        <v>0</v>
      </c>
      <c r="G49" s="1775">
        <f t="shared" si="2"/>
        <v>0</v>
      </c>
      <c r="H49" s="1775">
        <f t="shared" si="2"/>
        <v>320700</v>
      </c>
      <c r="I49" s="1775">
        <f t="shared" si="2"/>
        <v>567600</v>
      </c>
      <c r="J49" s="1775">
        <f t="shared" si="2"/>
        <v>309922</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19" t="s">
        <v>605</v>
      </c>
      <c r="C52" s="2220"/>
      <c r="D52" s="2220"/>
      <c r="E52" s="748" t="s">
        <v>900</v>
      </c>
      <c r="F52" s="2221"/>
      <c r="G52" s="2222"/>
      <c r="H52" s="735"/>
      <c r="I52" s="735"/>
      <c r="J52" s="745"/>
    </row>
    <row r="53" spans="1:11" ht="11.25" customHeight="1" x14ac:dyDescent="0.2">
      <c r="A53" s="749" t="s">
        <v>969</v>
      </c>
      <c r="B53" s="750" t="s">
        <v>1008</v>
      </c>
      <c r="C53" s="745"/>
      <c r="D53" s="736"/>
      <c r="E53" s="748" t="s">
        <v>518</v>
      </c>
      <c r="F53" s="2223"/>
      <c r="G53" s="2224"/>
      <c r="H53" s="735"/>
      <c r="I53" s="735"/>
      <c r="J53" s="745"/>
    </row>
    <row r="54" spans="1:11" ht="11.25" customHeight="1" x14ac:dyDescent="0.2">
      <c r="A54" s="751" t="s">
        <v>970</v>
      </c>
      <c r="B54" s="746" t="s">
        <v>1009</v>
      </c>
      <c r="C54" s="745"/>
      <c r="D54" s="736"/>
      <c r="E54" s="748" t="s">
        <v>519</v>
      </c>
      <c r="F54" s="2223"/>
      <c r="G54" s="222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911</v>
      </c>
      <c r="B1" s="2254"/>
      <c r="C1" s="2254"/>
      <c r="D1" s="2254"/>
      <c r="E1" s="2254"/>
      <c r="F1" s="2254"/>
      <c r="G1" s="2255"/>
      <c r="H1" s="1550"/>
      <c r="I1" s="759"/>
      <c r="J1" s="433"/>
    </row>
    <row r="2" spans="1:11" ht="26.25" x14ac:dyDescent="0.2">
      <c r="A2" s="2232" t="s">
        <v>1776</v>
      </c>
      <c r="B2" s="2233"/>
      <c r="C2" s="2233"/>
      <c r="D2" s="2233"/>
      <c r="E2" s="2234"/>
      <c r="F2" s="760" t="s">
        <v>960</v>
      </c>
      <c r="G2" s="761" t="s">
        <v>1773</v>
      </c>
      <c r="H2" s="761" t="s">
        <v>430</v>
      </c>
      <c r="I2" s="761" t="s">
        <v>1220</v>
      </c>
      <c r="J2" s="761" t="s">
        <v>1919</v>
      </c>
      <c r="K2" s="761" t="s">
        <v>140</v>
      </c>
    </row>
    <row r="3" spans="1:11" x14ac:dyDescent="0.2">
      <c r="A3" s="2235" t="s">
        <v>1698</v>
      </c>
      <c r="B3" s="2236"/>
      <c r="C3" s="2236"/>
      <c r="D3" s="2236"/>
      <c r="E3" s="2237"/>
      <c r="F3" s="762"/>
      <c r="G3" s="763"/>
      <c r="H3" s="763"/>
      <c r="I3" s="763"/>
      <c r="J3" s="764">
        <v>481182</v>
      </c>
      <c r="K3" s="764"/>
    </row>
    <row r="4" spans="1:11" x14ac:dyDescent="0.2">
      <c r="A4" s="2238" t="s">
        <v>387</v>
      </c>
      <c r="B4" s="2239"/>
      <c r="C4" s="2239"/>
      <c r="D4" s="2239"/>
      <c r="E4" s="2220"/>
      <c r="F4" s="765"/>
      <c r="G4" s="766"/>
      <c r="H4" s="767"/>
      <c r="I4" s="766"/>
      <c r="J4" s="768"/>
      <c r="K4" s="768"/>
    </row>
    <row r="5" spans="1:11" x14ac:dyDescent="0.2">
      <c r="A5" s="2256" t="s">
        <v>1129</v>
      </c>
      <c r="B5" s="2229"/>
      <c r="C5" s="2229"/>
      <c r="D5" s="2229"/>
      <c r="E5" s="2257"/>
      <c r="F5" s="769" t="s">
        <v>903</v>
      </c>
      <c r="G5" s="770"/>
      <c r="H5" s="763">
        <v>38081</v>
      </c>
      <c r="I5" s="771"/>
      <c r="J5" s="772"/>
      <c r="K5" s="772"/>
    </row>
    <row r="6" spans="1:11" x14ac:dyDescent="0.2">
      <c r="A6" s="773" t="s">
        <v>744</v>
      </c>
      <c r="B6" s="774"/>
      <c r="C6" s="774"/>
      <c r="D6" s="774"/>
      <c r="E6" s="775"/>
      <c r="F6" s="776" t="s">
        <v>904</v>
      </c>
      <c r="G6" s="763"/>
      <c r="H6" s="763"/>
      <c r="I6" s="763"/>
      <c r="J6" s="764">
        <v>6838</v>
      </c>
      <c r="K6" s="764"/>
    </row>
    <row r="7" spans="1:11" x14ac:dyDescent="0.2">
      <c r="A7" s="777" t="s">
        <v>264</v>
      </c>
      <c r="B7" s="778"/>
      <c r="C7" s="778"/>
      <c r="D7" s="778"/>
      <c r="E7" s="779"/>
      <c r="F7" s="769" t="s">
        <v>905</v>
      </c>
      <c r="G7" s="766"/>
      <c r="H7" s="766"/>
      <c r="I7" s="766"/>
      <c r="J7" s="780"/>
      <c r="K7" s="764">
        <v>4578</v>
      </c>
    </row>
    <row r="8" spans="1:11" x14ac:dyDescent="0.2">
      <c r="A8" s="777" t="s">
        <v>363</v>
      </c>
      <c r="B8" s="778"/>
      <c r="C8" s="778"/>
      <c r="D8" s="778"/>
      <c r="E8" s="779"/>
      <c r="F8" s="769" t="s">
        <v>906</v>
      </c>
      <c r="G8" s="781"/>
      <c r="H8" s="781"/>
      <c r="I8" s="781"/>
      <c r="J8" s="764">
        <v>409893</v>
      </c>
      <c r="K8" s="768"/>
    </row>
    <row r="9" spans="1:11" x14ac:dyDescent="0.2">
      <c r="A9" s="777" t="s">
        <v>140</v>
      </c>
      <c r="B9" s="778"/>
      <c r="C9" s="778"/>
      <c r="D9" s="778"/>
      <c r="E9" s="779"/>
      <c r="F9" s="776" t="s">
        <v>908</v>
      </c>
      <c r="G9" s="781"/>
      <c r="H9" s="770"/>
      <c r="I9" s="770"/>
      <c r="J9" s="780"/>
      <c r="K9" s="764">
        <v>12562</v>
      </c>
    </row>
    <row r="10" spans="1:11" x14ac:dyDescent="0.2">
      <c r="A10" s="2256" t="s">
        <v>1920</v>
      </c>
      <c r="B10" s="2229"/>
      <c r="C10" s="2229"/>
      <c r="D10" s="2229"/>
      <c r="E10" s="2258"/>
      <c r="F10" s="782" t="s">
        <v>917</v>
      </c>
      <c r="G10" s="781"/>
      <c r="H10" s="783"/>
      <c r="I10" s="763"/>
      <c r="J10" s="764"/>
      <c r="K10" s="764"/>
    </row>
    <row r="11" spans="1:11" x14ac:dyDescent="0.2">
      <c r="A11" s="2256" t="s">
        <v>162</v>
      </c>
      <c r="B11" s="2229"/>
      <c r="C11" s="2229"/>
      <c r="D11" s="2229"/>
      <c r="E11" s="2257"/>
      <c r="F11" s="769" t="s">
        <v>907</v>
      </c>
      <c r="G11" s="770"/>
      <c r="H11" s="763"/>
      <c r="I11" s="763"/>
      <c r="J11" s="764"/>
      <c r="K11" s="772"/>
    </row>
    <row r="12" spans="1:11" ht="13.5" thickBot="1" x14ac:dyDescent="0.25">
      <c r="A12" s="2246" t="s">
        <v>961</v>
      </c>
      <c r="B12" s="2247"/>
      <c r="C12" s="2247"/>
      <c r="D12" s="2247"/>
      <c r="E12" s="2248"/>
      <c r="F12" s="1776"/>
      <c r="G12" s="1777">
        <f>SUM(G5:G11)</f>
        <v>0</v>
      </c>
      <c r="H12" s="1777">
        <f>SUM(H5:H11)</f>
        <v>38081</v>
      </c>
      <c r="I12" s="1777">
        <f>SUM(I5:I11)</f>
        <v>0</v>
      </c>
      <c r="J12" s="1777">
        <f>SUM(J5:J11)</f>
        <v>416731</v>
      </c>
      <c r="K12" s="1777">
        <f>SUM(K5:K11)</f>
        <v>17140</v>
      </c>
    </row>
    <row r="13" spans="1:11" ht="13.5" thickTop="1" x14ac:dyDescent="0.2">
      <c r="A13" s="2240" t="s">
        <v>388</v>
      </c>
      <c r="B13" s="2241"/>
      <c r="C13" s="2241"/>
      <c r="D13" s="2241"/>
      <c r="E13" s="2242"/>
      <c r="F13" s="784"/>
      <c r="G13" s="785"/>
      <c r="H13" s="786"/>
      <c r="I13" s="787"/>
      <c r="J13" s="787"/>
      <c r="K13" s="787"/>
    </row>
    <row r="14" spans="1:11" x14ac:dyDescent="0.2">
      <c r="A14" s="2262" t="s">
        <v>476</v>
      </c>
      <c r="B14" s="2262"/>
      <c r="C14" s="2262"/>
      <c r="D14" s="2262"/>
      <c r="E14" s="2263"/>
      <c r="F14" s="788" t="s">
        <v>909</v>
      </c>
      <c r="G14" s="781"/>
      <c r="H14" s="763">
        <v>38081</v>
      </c>
      <c r="I14" s="770"/>
      <c r="J14" s="772"/>
      <c r="K14" s="764">
        <v>17140</v>
      </c>
    </row>
    <row r="15" spans="1:11" x14ac:dyDescent="0.2">
      <c r="A15" s="2229" t="s">
        <v>4</v>
      </c>
      <c r="B15" s="2229"/>
      <c r="C15" s="2229"/>
      <c r="D15" s="2229"/>
      <c r="E15" s="2257"/>
      <c r="F15" s="788" t="s">
        <v>910</v>
      </c>
      <c r="G15" s="770"/>
      <c r="H15" s="763"/>
      <c r="I15" s="763"/>
      <c r="J15" s="764">
        <v>215462</v>
      </c>
      <c r="K15" s="764"/>
    </row>
    <row r="16" spans="1:11" x14ac:dyDescent="0.2">
      <c r="A16" s="2229" t="s">
        <v>316</v>
      </c>
      <c r="B16" s="2229"/>
      <c r="C16" s="2229"/>
      <c r="D16" s="2229"/>
      <c r="E16" s="2257"/>
      <c r="F16" s="788" t="s">
        <v>980</v>
      </c>
      <c r="G16" s="771"/>
      <c r="H16" s="766"/>
      <c r="I16" s="766"/>
      <c r="J16" s="768"/>
      <c r="K16" s="768"/>
    </row>
    <row r="17" spans="1:11" x14ac:dyDescent="0.2">
      <c r="A17" s="2251" t="s">
        <v>992</v>
      </c>
      <c r="B17" s="2251"/>
      <c r="C17" s="2251"/>
      <c r="D17" s="2251"/>
      <c r="E17" s="2252"/>
      <c r="F17" s="789"/>
      <c r="G17" s="790"/>
      <c r="H17" s="791"/>
      <c r="I17" s="791"/>
      <c r="J17" s="792"/>
      <c r="K17" s="793"/>
    </row>
    <row r="18" spans="1:11" x14ac:dyDescent="0.2">
      <c r="A18" s="2243" t="s">
        <v>386</v>
      </c>
      <c r="B18" s="2244"/>
      <c r="C18" s="2244"/>
      <c r="D18" s="2244"/>
      <c r="E18" s="2245"/>
      <c r="F18" s="788" t="s">
        <v>989</v>
      </c>
      <c r="G18" s="781"/>
      <c r="H18" s="781"/>
      <c r="I18" s="781"/>
      <c r="J18" s="764"/>
      <c r="K18" s="794"/>
    </row>
    <row r="19" spans="1:11" ht="21.75" customHeight="1" x14ac:dyDescent="0.2">
      <c r="A19" s="2264" t="s">
        <v>1916</v>
      </c>
      <c r="B19" s="2264"/>
      <c r="C19" s="2264"/>
      <c r="D19" s="2264"/>
      <c r="E19" s="2265"/>
      <c r="F19" s="788" t="s">
        <v>990</v>
      </c>
      <c r="G19" s="781"/>
      <c r="H19" s="781"/>
      <c r="I19" s="781"/>
      <c r="J19" s="764"/>
      <c r="K19" s="794"/>
    </row>
    <row r="20" spans="1:11" x14ac:dyDescent="0.2">
      <c r="A20" s="2243" t="s">
        <v>1921</v>
      </c>
      <c r="B20" s="2244"/>
      <c r="C20" s="2244"/>
      <c r="D20" s="2244"/>
      <c r="E20" s="2245"/>
      <c r="F20" s="788" t="s">
        <v>991</v>
      </c>
      <c r="G20" s="781"/>
      <c r="H20" s="781"/>
      <c r="I20" s="781"/>
      <c r="J20" s="764"/>
      <c r="K20" s="794"/>
    </row>
    <row r="21" spans="1:11" ht="13.5" thickBot="1" x14ac:dyDescent="0.25">
      <c r="A21" s="2249" t="s">
        <v>659</v>
      </c>
      <c r="B21" s="2249"/>
      <c r="C21" s="2249"/>
      <c r="D21" s="2249"/>
      <c r="E21" s="2249"/>
      <c r="F21" s="1778"/>
      <c r="G21" s="791"/>
      <c r="H21" s="795"/>
      <c r="I21" s="795"/>
      <c r="J21" s="1779">
        <f>SUM(J18:J20)</f>
        <v>0</v>
      </c>
      <c r="K21" s="792"/>
    </row>
    <row r="22" spans="1:11" ht="13.5" thickTop="1" x14ac:dyDescent="0.2">
      <c r="A22" s="2229" t="s">
        <v>1922</v>
      </c>
      <c r="B22" s="2229"/>
      <c r="C22" s="2229"/>
      <c r="D22" s="2229"/>
      <c r="E22" s="2257"/>
      <c r="F22" s="788" t="s">
        <v>917</v>
      </c>
      <c r="G22" s="781"/>
      <c r="H22" s="763"/>
      <c r="I22" s="763"/>
      <c r="J22" s="796"/>
      <c r="K22" s="764"/>
    </row>
    <row r="23" spans="1:11" ht="13.5" thickBot="1" x14ac:dyDescent="0.25">
      <c r="A23" s="2250" t="s">
        <v>962</v>
      </c>
      <c r="B23" s="2249"/>
      <c r="C23" s="2249"/>
      <c r="D23" s="2249"/>
      <c r="E23" s="2249"/>
      <c r="F23" s="1780"/>
      <c r="G23" s="1777">
        <f>SUM(G14:G16,G21,G22)</f>
        <v>0</v>
      </c>
      <c r="H23" s="1777">
        <f>SUM(H14:H16,H21,H22)</f>
        <v>38081</v>
      </c>
      <c r="I23" s="1777">
        <f>SUM(I14:I16,I21,I22)</f>
        <v>0</v>
      </c>
      <c r="J23" s="1777">
        <f>SUM(J14:J16,J21,J22)</f>
        <v>215462</v>
      </c>
      <c r="K23" s="1777">
        <f>SUM(K14:K16,K21,K22)</f>
        <v>17140</v>
      </c>
    </row>
    <row r="24" spans="1:11" ht="14.25" thickTop="1" thickBot="1" x14ac:dyDescent="0.25">
      <c r="A24" s="2250" t="s">
        <v>2026</v>
      </c>
      <c r="B24" s="2249"/>
      <c r="C24" s="2249"/>
      <c r="D24" s="2249"/>
      <c r="E24" s="2249"/>
      <c r="F24" s="1781"/>
      <c r="G24" s="1782">
        <f>SUM(G3,G12)-G23</f>
        <v>0</v>
      </c>
      <c r="H24" s="1782">
        <f>SUM(H3,H12)-H23</f>
        <v>0</v>
      </c>
      <c r="I24" s="1782">
        <f>SUM(I3,I12)-I23</f>
        <v>0</v>
      </c>
      <c r="J24" s="1782">
        <f>SUM(J3,J12)-J23</f>
        <v>682451</v>
      </c>
      <c r="K24" s="1782">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7">
        <f>G24-G25</f>
        <v>0</v>
      </c>
      <c r="H26" s="1777">
        <f>H24-H25</f>
        <v>0</v>
      </c>
      <c r="I26" s="1777">
        <f>I24-I25</f>
        <v>0</v>
      </c>
      <c r="J26" s="1777">
        <f>J24-J25</f>
        <v>682451</v>
      </c>
      <c r="K26" s="1777">
        <f>K24-K25</f>
        <v>0</v>
      </c>
    </row>
    <row r="27" spans="1:11" ht="5.25" customHeight="1" thickTop="1" x14ac:dyDescent="0.2">
      <c r="I27" s="202"/>
      <c r="J27" s="202"/>
    </row>
    <row r="28" spans="1:11" ht="29.25" customHeight="1" x14ac:dyDescent="0.2">
      <c r="A28" s="1900" t="s">
        <v>2036</v>
      </c>
      <c r="B28" s="1901"/>
      <c r="C28" s="1901"/>
      <c r="D28" s="1901"/>
      <c r="E28" s="1902"/>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59"/>
      <c r="I31" s="2260"/>
      <c r="J31" s="2260"/>
      <c r="K31" s="2260"/>
    </row>
    <row r="32" spans="1:11" x14ac:dyDescent="0.2">
      <c r="A32" s="808"/>
      <c r="B32" s="237"/>
      <c r="C32" s="237"/>
      <c r="D32" s="237"/>
      <c r="E32" s="804"/>
      <c r="F32" s="810" t="s">
        <v>561</v>
      </c>
      <c r="G32" s="763"/>
      <c r="H32" s="2261"/>
      <c r="I32" s="2260"/>
      <c r="J32" s="2260"/>
      <c r="K32" s="2260"/>
    </row>
    <row r="33" spans="1:11" ht="1.5" customHeight="1" x14ac:dyDescent="0.2">
      <c r="A33" s="811" t="s">
        <v>1231</v>
      </c>
      <c r="B33" s="364"/>
      <c r="C33" s="364"/>
      <c r="D33" s="364"/>
      <c r="E33" s="364"/>
      <c r="F33" s="364"/>
      <c r="G33" s="812"/>
      <c r="H33" s="2261"/>
      <c r="I33" s="2260"/>
      <c r="J33" s="2260"/>
      <c r="K33" s="2260"/>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29" t="s">
        <v>562</v>
      </c>
      <c r="B41" s="2230"/>
      <c r="C41" s="2230"/>
      <c r="D41" s="2230"/>
      <c r="E41" s="2230"/>
      <c r="F41" s="2231"/>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5"/>
      <c r="E1" s="826"/>
      <c r="F1" s="826"/>
      <c r="G1" s="827"/>
      <c r="H1" s="828"/>
      <c r="I1" s="829"/>
      <c r="J1" s="2266"/>
      <c r="K1" s="2267"/>
      <c r="L1" s="2267"/>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79">
        <f>(C3+D3)-E3</f>
        <v>0</v>
      </c>
      <c r="G3" s="835"/>
      <c r="H3" s="834">
        <v>0</v>
      </c>
      <c r="I3" s="834">
        <v>0</v>
      </c>
      <c r="J3" s="834">
        <v>0</v>
      </c>
      <c r="K3" s="1788">
        <f>(H3+I3)-J3</f>
        <v>0</v>
      </c>
      <c r="L3" s="1788">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169617</v>
      </c>
      <c r="D5" s="840">
        <v>0</v>
      </c>
      <c r="E5" s="840">
        <v>0</v>
      </c>
      <c r="F5" s="1779">
        <f>(C5+D5)-E5</f>
        <v>169617</v>
      </c>
      <c r="G5" s="836"/>
      <c r="H5" s="841"/>
      <c r="I5" s="841"/>
      <c r="J5" s="841"/>
      <c r="K5" s="792"/>
      <c r="L5" s="1788">
        <f>F5-K5</f>
        <v>169617</v>
      </c>
    </row>
    <row r="6" spans="1:14" ht="14.25" thickTop="1" thickBot="1" x14ac:dyDescent="0.25">
      <c r="A6" s="777" t="s">
        <v>1179</v>
      </c>
      <c r="B6" s="839">
        <v>222</v>
      </c>
      <c r="C6" s="764">
        <v>0</v>
      </c>
      <c r="D6" s="764">
        <v>0</v>
      </c>
      <c r="E6" s="764">
        <v>0</v>
      </c>
      <c r="F6" s="1779">
        <f>(C6+D6)-E6</f>
        <v>0</v>
      </c>
      <c r="G6" s="836">
        <v>50</v>
      </c>
      <c r="H6" s="764">
        <v>0</v>
      </c>
      <c r="I6" s="764">
        <v>0</v>
      </c>
      <c r="J6" s="764">
        <v>0</v>
      </c>
      <c r="K6" s="1788">
        <f>(H6+I6)-J6</f>
        <v>0</v>
      </c>
      <c r="L6" s="1788">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28784751</v>
      </c>
      <c r="D8" s="843">
        <v>0</v>
      </c>
      <c r="E8" s="843">
        <v>0</v>
      </c>
      <c r="F8" s="1779">
        <f>(C8+D8)-E8</f>
        <v>28784751</v>
      </c>
      <c r="G8" s="842">
        <v>50</v>
      </c>
      <c r="H8" s="764">
        <v>7198126</v>
      </c>
      <c r="I8" s="764">
        <v>575695</v>
      </c>
      <c r="J8" s="764">
        <v>0</v>
      </c>
      <c r="K8" s="1788">
        <f>(H8+I8)-J8</f>
        <v>7773821</v>
      </c>
      <c r="L8" s="1788">
        <f>F8-K8</f>
        <v>21010930</v>
      </c>
    </row>
    <row r="9" spans="1:14" ht="14.25" thickTop="1" thickBot="1" x14ac:dyDescent="0.25">
      <c r="A9" s="777" t="s">
        <v>1181</v>
      </c>
      <c r="B9" s="839">
        <v>232</v>
      </c>
      <c r="C9" s="764">
        <v>0</v>
      </c>
      <c r="D9" s="764">
        <v>0</v>
      </c>
      <c r="E9" s="764">
        <v>0</v>
      </c>
      <c r="F9" s="1779">
        <f>(C9+D9)-E9</f>
        <v>0</v>
      </c>
      <c r="G9" s="842">
        <v>20</v>
      </c>
      <c r="H9" s="764">
        <v>0</v>
      </c>
      <c r="I9" s="764">
        <v>0</v>
      </c>
      <c r="J9" s="764">
        <v>0</v>
      </c>
      <c r="K9" s="1788">
        <f>(H9+I9)-J9</f>
        <v>0</v>
      </c>
      <c r="L9" s="1788">
        <f>F9-K9</f>
        <v>0</v>
      </c>
    </row>
    <row r="10" spans="1:14" ht="24" thickTop="1" thickBot="1" x14ac:dyDescent="0.25">
      <c r="A10" s="844" t="s">
        <v>1182</v>
      </c>
      <c r="B10" s="839">
        <v>240</v>
      </c>
      <c r="C10" s="845">
        <v>979809</v>
      </c>
      <c r="D10" s="845">
        <v>781452</v>
      </c>
      <c r="E10" s="845">
        <v>0</v>
      </c>
      <c r="F10" s="1783">
        <f>(C10+D10)-E10</f>
        <v>1761261</v>
      </c>
      <c r="G10" s="842">
        <v>20</v>
      </c>
      <c r="H10" s="846">
        <v>371986</v>
      </c>
      <c r="I10" s="846">
        <v>86947</v>
      </c>
      <c r="J10" s="846">
        <v>0</v>
      </c>
      <c r="K10" s="1788">
        <f>(H10+I10)-J10</f>
        <v>458933</v>
      </c>
      <c r="L10" s="1788">
        <f>F10-K10</f>
        <v>1302328</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1592627</v>
      </c>
      <c r="D12" s="843">
        <v>95598</v>
      </c>
      <c r="E12" s="843">
        <v>112675</v>
      </c>
      <c r="F12" s="1779">
        <f>(C12+D12)-E12</f>
        <v>1575550</v>
      </c>
      <c r="G12" s="842">
        <v>10</v>
      </c>
      <c r="H12" s="764">
        <v>747506</v>
      </c>
      <c r="I12" s="764">
        <v>157554</v>
      </c>
      <c r="J12" s="764">
        <v>112675</v>
      </c>
      <c r="K12" s="1788">
        <f>(H12+I12)-J12</f>
        <v>792385</v>
      </c>
      <c r="L12" s="1788">
        <f>F12-K12</f>
        <v>783165</v>
      </c>
    </row>
    <row r="13" spans="1:14" ht="14.25" thickTop="1" thickBot="1" x14ac:dyDescent="0.25">
      <c r="A13" s="847" t="s">
        <v>1184</v>
      </c>
      <c r="B13" s="839">
        <v>252</v>
      </c>
      <c r="C13" s="843">
        <v>1432278</v>
      </c>
      <c r="D13" s="843">
        <v>0</v>
      </c>
      <c r="E13" s="843">
        <v>0</v>
      </c>
      <c r="F13" s="1779">
        <f>(C13+D13)-E13</f>
        <v>1432278</v>
      </c>
      <c r="G13" s="842">
        <v>5</v>
      </c>
      <c r="H13" s="764">
        <v>1369651</v>
      </c>
      <c r="I13" s="764">
        <v>33834</v>
      </c>
      <c r="J13" s="764">
        <v>0</v>
      </c>
      <c r="K13" s="1788">
        <f>(H13+I13)-J13</f>
        <v>1403485</v>
      </c>
      <c r="L13" s="1788">
        <f>F13-K13</f>
        <v>28793</v>
      </c>
    </row>
    <row r="14" spans="1:14" ht="14.25" thickTop="1" thickBot="1" x14ac:dyDescent="0.25">
      <c r="A14" s="847" t="s">
        <v>1185</v>
      </c>
      <c r="B14" s="839">
        <v>253</v>
      </c>
      <c r="C14" s="764">
        <v>2022</v>
      </c>
      <c r="D14" s="764">
        <v>0</v>
      </c>
      <c r="E14" s="764">
        <v>0</v>
      </c>
      <c r="F14" s="1779">
        <f>(C14+D14)-E14</f>
        <v>2022</v>
      </c>
      <c r="G14" s="842">
        <v>3</v>
      </c>
      <c r="H14" s="764">
        <v>2022</v>
      </c>
      <c r="I14" s="764">
        <v>0</v>
      </c>
      <c r="J14" s="764">
        <v>0</v>
      </c>
      <c r="K14" s="1788">
        <f>(H14+I14)-J14</f>
        <v>2022</v>
      </c>
      <c r="L14" s="1788">
        <f>F14-K14</f>
        <v>0</v>
      </c>
    </row>
    <row r="15" spans="1:14" ht="15" customHeight="1" thickTop="1" thickBot="1" x14ac:dyDescent="0.25">
      <c r="A15" s="1651" t="s">
        <v>549</v>
      </c>
      <c r="B15" s="1650">
        <v>260</v>
      </c>
      <c r="C15" s="843">
        <v>0</v>
      </c>
      <c r="D15" s="843">
        <v>0</v>
      </c>
      <c r="E15" s="843">
        <v>0</v>
      </c>
      <c r="F15" s="1779">
        <f>(C15+D15)-E15</f>
        <v>0</v>
      </c>
      <c r="G15" s="848" t="s">
        <v>917</v>
      </c>
      <c r="H15" s="780"/>
      <c r="I15" s="780"/>
      <c r="J15" s="780"/>
      <c r="K15" s="780"/>
      <c r="L15" s="1788">
        <f>F15-K15</f>
        <v>0</v>
      </c>
    </row>
    <row r="16" spans="1:14" ht="15" customHeight="1" thickTop="1" thickBot="1" x14ac:dyDescent="0.25">
      <c r="A16" s="1784" t="s">
        <v>664</v>
      </c>
      <c r="B16" s="1785">
        <v>200</v>
      </c>
      <c r="C16" s="1779">
        <f>SUM(C3,C5:C6,C8:C10,C12:C15)</f>
        <v>32961104</v>
      </c>
      <c r="D16" s="1779">
        <f>SUM(D3,D5:D6,D8:D10,D12:D15)</f>
        <v>877050</v>
      </c>
      <c r="E16" s="1779">
        <f>SUM(E3,E5:E6,E8:E10,E12:E15)</f>
        <v>112675</v>
      </c>
      <c r="F16" s="1779">
        <f>SUM(F3,F5:F6,F8:F10,F12:F15)</f>
        <v>33725479</v>
      </c>
      <c r="G16" s="842"/>
      <c r="H16" s="1779">
        <f>SUM(H3,H6,H8:H10,H12:H14,)</f>
        <v>9689291</v>
      </c>
      <c r="I16" s="1779">
        <f>SUM(I3,I6,I8:I10,I12:I14,)</f>
        <v>854030</v>
      </c>
      <c r="J16" s="1779">
        <f>SUM(J3,J6,J8:J10,J12:J14,)</f>
        <v>112675</v>
      </c>
      <c r="K16" s="1779">
        <f>(H16+I16)-J16</f>
        <v>10430646</v>
      </c>
      <c r="L16" s="1779">
        <f>F16-K16</f>
        <v>23294833</v>
      </c>
    </row>
    <row r="17" spans="1:12" ht="15" customHeight="1" thickTop="1" thickBot="1" x14ac:dyDescent="0.25">
      <c r="A17" s="1653" t="s">
        <v>309</v>
      </c>
      <c r="B17" s="1650">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854030</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1" sqref="J3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4" t="s">
        <v>1699</v>
      </c>
      <c r="B1" s="2275"/>
      <c r="C1" s="2275"/>
      <c r="D1" s="2275"/>
      <c r="E1" s="2275"/>
      <c r="F1" s="2276"/>
      <c r="G1" s="854"/>
    </row>
    <row r="2" spans="1:7" ht="15" customHeight="1" thickBot="1" x14ac:dyDescent="0.25">
      <c r="A2" s="2277" t="s">
        <v>498</v>
      </c>
      <c r="B2" s="2278"/>
      <c r="C2" s="2278"/>
      <c r="D2" s="2278"/>
      <c r="E2" s="2278"/>
      <c r="F2" s="2279"/>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9">
        <f>'Expenditures 15-22'!K114</f>
        <v>6573236</v>
      </c>
      <c r="G8" s="864"/>
    </row>
    <row r="9" spans="1:7" x14ac:dyDescent="0.2">
      <c r="A9" s="868" t="s">
        <v>480</v>
      </c>
      <c r="B9" s="869" t="s">
        <v>1989</v>
      </c>
      <c r="C9" s="870"/>
      <c r="D9" s="868" t="s">
        <v>522</v>
      </c>
      <c r="E9" s="867"/>
      <c r="F9" s="1930">
        <f>'Expenditures 15-22'!K151</f>
        <v>676383</v>
      </c>
      <c r="G9" s="871"/>
    </row>
    <row r="10" spans="1:7" x14ac:dyDescent="0.2">
      <c r="A10" s="868" t="s">
        <v>520</v>
      </c>
      <c r="B10" s="869" t="s">
        <v>1990</v>
      </c>
      <c r="C10" s="870"/>
      <c r="D10" s="868" t="s">
        <v>522</v>
      </c>
      <c r="E10" s="867"/>
      <c r="F10" s="1930">
        <f>'Expenditures 15-22'!K174</f>
        <v>337079</v>
      </c>
      <c r="G10" s="871"/>
    </row>
    <row r="11" spans="1:7" x14ac:dyDescent="0.2">
      <c r="A11" s="868" t="s">
        <v>481</v>
      </c>
      <c r="B11" s="869" t="s">
        <v>1991</v>
      </c>
      <c r="C11" s="870"/>
      <c r="D11" s="868" t="s">
        <v>522</v>
      </c>
      <c r="E11" s="867"/>
      <c r="F11" s="1930">
        <f>'Expenditures 15-22'!K210</f>
        <v>506612</v>
      </c>
      <c r="G11" s="871"/>
    </row>
    <row r="12" spans="1:7" x14ac:dyDescent="0.2">
      <c r="A12" s="868" t="s">
        <v>482</v>
      </c>
      <c r="B12" s="869" t="s">
        <v>1992</v>
      </c>
      <c r="C12" s="870"/>
      <c r="D12" s="868" t="s">
        <v>522</v>
      </c>
      <c r="E12" s="867"/>
      <c r="F12" s="1930">
        <f>'Expenditures 15-22'!K295</f>
        <v>236981</v>
      </c>
      <c r="G12" s="871"/>
    </row>
    <row r="13" spans="1:7" x14ac:dyDescent="0.2">
      <c r="A13" s="868" t="s">
        <v>108</v>
      </c>
      <c r="B13" s="869" t="s">
        <v>1993</v>
      </c>
      <c r="C13" s="870"/>
      <c r="D13" s="868" t="s">
        <v>522</v>
      </c>
      <c r="E13" s="867"/>
      <c r="F13" s="1930">
        <f>'Expenditures 15-22'!K342</f>
        <v>98288</v>
      </c>
      <c r="G13" s="872"/>
    </row>
    <row r="14" spans="1:7" ht="12" customHeight="1" thickBot="1" x14ac:dyDescent="0.25">
      <c r="A14" s="1789"/>
      <c r="B14" s="1790"/>
      <c r="C14" s="1791"/>
      <c r="D14" s="1792" t="s">
        <v>522</v>
      </c>
      <c r="E14" s="1793" t="s">
        <v>1015</v>
      </c>
      <c r="F14" s="1794">
        <f>SUM(F8:F13)</f>
        <v>8428579</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1">
        <f>'Revenues 9-14'!F43</f>
        <v>0</v>
      </c>
      <c r="G18" s="864"/>
    </row>
    <row r="19" spans="1:7" x14ac:dyDescent="0.2">
      <c r="A19" s="868" t="s">
        <v>481</v>
      </c>
      <c r="B19" s="869" t="s">
        <v>1069</v>
      </c>
      <c r="C19" s="876">
        <f>'Revenues 9-14'!B47</f>
        <v>1421</v>
      </c>
      <c r="D19" s="877" t="str">
        <f>'Revenues 9-14'!A47</f>
        <v>Summer Sch - Transp. Fees from Pupils or Parents (In State)</v>
      </c>
      <c r="E19" s="878"/>
      <c r="F19" s="1932">
        <f>'Revenues 9-14'!F47</f>
        <v>0</v>
      </c>
      <c r="G19" s="864"/>
    </row>
    <row r="20" spans="1:7" x14ac:dyDescent="0.2">
      <c r="A20" s="868" t="s">
        <v>481</v>
      </c>
      <c r="B20" s="869" t="s">
        <v>1070</v>
      </c>
      <c r="C20" s="874">
        <f>'Revenues 9-14'!B48</f>
        <v>1422</v>
      </c>
      <c r="D20" s="875" t="str">
        <f>'Revenues 9-14'!A48</f>
        <v>Summer Sch - Transp. Fees from Other Districts (In State)</v>
      </c>
      <c r="E20" s="867"/>
      <c r="F20" s="1933">
        <f>'Revenues 9-14'!F48</f>
        <v>0</v>
      </c>
      <c r="G20" s="864"/>
    </row>
    <row r="21" spans="1:7" x14ac:dyDescent="0.2">
      <c r="A21" s="868" t="s">
        <v>481</v>
      </c>
      <c r="B21" s="869" t="s">
        <v>1071</v>
      </c>
      <c r="C21" s="876">
        <f>'Revenues 9-14'!B49</f>
        <v>1423</v>
      </c>
      <c r="D21" s="875" t="str">
        <f>'Revenues 9-14'!A49</f>
        <v>Summer Sch - Transp. Fees from Other Sources (In State)</v>
      </c>
      <c r="E21" s="867"/>
      <c r="F21" s="1934">
        <f>'Revenues 9-14'!F49</f>
        <v>0</v>
      </c>
      <c r="G21" s="864"/>
    </row>
    <row r="22" spans="1:7" x14ac:dyDescent="0.2">
      <c r="A22" s="868" t="s">
        <v>481</v>
      </c>
      <c r="B22" s="869" t="s">
        <v>1072</v>
      </c>
      <c r="C22" s="876">
        <f>'Revenues 9-14'!B50</f>
        <v>1424</v>
      </c>
      <c r="D22" s="875" t="str">
        <f>'Revenues 9-14'!A50</f>
        <v>Summer Sch - Transp. Fees from Other Sources (Out of State)</v>
      </c>
      <c r="E22" s="867"/>
      <c r="F22" s="1934">
        <f>'Revenues 9-14'!F50</f>
        <v>0</v>
      </c>
      <c r="G22" s="864"/>
    </row>
    <row r="23" spans="1:7" x14ac:dyDescent="0.2">
      <c r="A23" s="868" t="s">
        <v>481</v>
      </c>
      <c r="B23" s="869" t="s">
        <v>1073</v>
      </c>
      <c r="C23" s="874">
        <f>'Revenues 9-14'!B52</f>
        <v>1432</v>
      </c>
      <c r="D23" s="875" t="str">
        <f>'Revenues 9-14'!A52</f>
        <v>CTE - Transp Fees from Other Districts (In State)</v>
      </c>
      <c r="E23" s="867"/>
      <c r="F23" s="1934">
        <f>'Revenues 9-14'!F52</f>
        <v>0</v>
      </c>
      <c r="G23" s="864"/>
    </row>
    <row r="24" spans="1:7" x14ac:dyDescent="0.2">
      <c r="A24" s="868" t="s">
        <v>481</v>
      </c>
      <c r="B24" s="869" t="s">
        <v>1074</v>
      </c>
      <c r="C24" s="874">
        <f>'Revenues 9-14'!B56</f>
        <v>1442</v>
      </c>
      <c r="D24" s="875" t="str">
        <f>'Revenues 9-14'!A56</f>
        <v>Special Ed - Transp Fees from Other Districts (In State)</v>
      </c>
      <c r="E24" s="867"/>
      <c r="F24" s="1934">
        <f>'Revenues 9-14'!F56</f>
        <v>0</v>
      </c>
      <c r="G24" s="864"/>
    </row>
    <row r="25" spans="1:7" x14ac:dyDescent="0.2">
      <c r="A25" s="868" t="s">
        <v>481</v>
      </c>
      <c r="B25" s="869" t="s">
        <v>1075</v>
      </c>
      <c r="C25" s="874">
        <f>'Revenues 9-14'!B59</f>
        <v>1451</v>
      </c>
      <c r="D25" s="875" t="str">
        <f>'Revenues 9-14'!A59</f>
        <v>Adult - Transp Fees from Pupils or Parents (In State)</v>
      </c>
      <c r="E25" s="867"/>
      <c r="F25" s="1934">
        <f>'Revenues 9-14'!F59</f>
        <v>0</v>
      </c>
      <c r="G25" s="864"/>
    </row>
    <row r="26" spans="1:7" x14ac:dyDescent="0.2">
      <c r="A26" s="868" t="s">
        <v>481</v>
      </c>
      <c r="B26" s="869" t="s">
        <v>1076</v>
      </c>
      <c r="C26" s="874">
        <f>'Revenues 9-14'!B60</f>
        <v>1452</v>
      </c>
      <c r="D26" s="875" t="str">
        <f>'Revenues 9-14'!A60</f>
        <v>Adult - Transp Fees from Other Districts (In State)</v>
      </c>
      <c r="E26" s="867"/>
      <c r="F26" s="1934">
        <f>'Revenues 9-14'!F60</f>
        <v>0</v>
      </c>
      <c r="G26" s="864"/>
    </row>
    <row r="27" spans="1:7" x14ac:dyDescent="0.2">
      <c r="A27" s="868" t="s">
        <v>481</v>
      </c>
      <c r="B27" s="869" t="s">
        <v>1077</v>
      </c>
      <c r="C27" s="874">
        <f>'Revenues 9-14'!B61</f>
        <v>1453</v>
      </c>
      <c r="D27" s="875" t="str">
        <f>'Revenues 9-14'!A61</f>
        <v>Adult - Transp Fees from Other Sources (In State)</v>
      </c>
      <c r="E27" s="867"/>
      <c r="F27" s="1934">
        <f>'Revenues 9-14'!F61</f>
        <v>0</v>
      </c>
      <c r="G27" s="864"/>
    </row>
    <row r="28" spans="1:7" x14ac:dyDescent="0.2">
      <c r="A28" s="868" t="s">
        <v>481</v>
      </c>
      <c r="B28" s="869" t="s">
        <v>1078</v>
      </c>
      <c r="C28" s="874">
        <f>'Revenues 9-14'!B62</f>
        <v>1454</v>
      </c>
      <c r="D28" s="875" t="str">
        <f>'Revenues 9-14'!A62</f>
        <v>Adult - Transp Fees from Other Sources (Out of State)</v>
      </c>
      <c r="E28" s="867"/>
      <c r="F28" s="1934">
        <f>'Revenues 9-14'!F62</f>
        <v>0</v>
      </c>
      <c r="G28" s="864"/>
    </row>
    <row r="29" spans="1:7" x14ac:dyDescent="0.2">
      <c r="A29" s="868" t="s">
        <v>1159</v>
      </c>
      <c r="B29" s="869" t="s">
        <v>1683</v>
      </c>
      <c r="C29" s="879">
        <f>'Revenues 9-14'!B148</f>
        <v>3410</v>
      </c>
      <c r="D29" s="880" t="str">
        <f>'Revenues 9-14'!A148</f>
        <v>Adult Ed (from ICCB)</v>
      </c>
      <c r="E29" s="867"/>
      <c r="F29" s="1934">
        <f>SUM('Revenues 9-14'!D148,F149)</f>
        <v>0</v>
      </c>
      <c r="G29" s="864"/>
    </row>
    <row r="30" spans="1:7" x14ac:dyDescent="0.2">
      <c r="A30" s="868" t="s">
        <v>1159</v>
      </c>
      <c r="B30" s="869" t="s">
        <v>861</v>
      </c>
      <c r="C30" s="879">
        <f>'Revenues 9-14'!B149</f>
        <v>3499</v>
      </c>
      <c r="D30" s="880" t="str">
        <f>'Revenues 9-14'!A149</f>
        <v>Adult Ed - Other (Describe &amp; Itemize)</v>
      </c>
      <c r="E30" s="867"/>
      <c r="F30" s="1935">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4">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4">
        <f>SUM('Revenues 9-14'!D219,'Revenues 9-14'!F219)</f>
        <v>0</v>
      </c>
      <c r="G32" s="864"/>
    </row>
    <row r="33" spans="1:7" x14ac:dyDescent="0.2">
      <c r="A33" s="868" t="s">
        <v>480</v>
      </c>
      <c r="B33" s="869" t="s">
        <v>801</v>
      </c>
      <c r="C33" s="874">
        <f>'Revenues 9-14'!B229</f>
        <v>4810</v>
      </c>
      <c r="D33" s="882" t="str">
        <f>'Revenues 9-14'!A229</f>
        <v>Federal - Adult Education</v>
      </c>
      <c r="E33" s="867"/>
      <c r="F33" s="1934">
        <f>'Revenues 9-14'!D229</f>
        <v>0</v>
      </c>
      <c r="G33" s="864"/>
    </row>
    <row r="34" spans="1:7" x14ac:dyDescent="0.2">
      <c r="A34" s="868" t="s">
        <v>479</v>
      </c>
      <c r="B34" s="868" t="s">
        <v>1545</v>
      </c>
      <c r="C34" s="885" t="str">
        <f>'Expenditures 15-22'!B7</f>
        <v>1125</v>
      </c>
      <c r="D34" s="886" t="str">
        <f>'Expenditures 15-22'!A7</f>
        <v>Pre-K Programs</v>
      </c>
      <c r="E34" s="867"/>
      <c r="F34" s="1934">
        <f>'Expenditures 15-22'!K7-SUM('Expenditures 15-22'!G7,'Expenditures 15-22'!I7)</f>
        <v>193317</v>
      </c>
      <c r="G34" s="864"/>
    </row>
    <row r="35" spans="1:7" x14ac:dyDescent="0.2">
      <c r="A35" s="868" t="s">
        <v>479</v>
      </c>
      <c r="B35" s="868" t="s">
        <v>1546</v>
      </c>
      <c r="C35" s="885" t="str">
        <f>'Expenditures 15-22'!B9</f>
        <v>1225</v>
      </c>
      <c r="D35" s="886" t="str">
        <f>'Expenditures 15-22'!A9</f>
        <v>Special Education Programs Pre-K</v>
      </c>
      <c r="E35" s="867"/>
      <c r="F35" s="1934">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4">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4">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4">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4">
        <f>'Expenditures 15-22'!K20</f>
        <v>0</v>
      </c>
      <c r="G39" s="864"/>
    </row>
    <row r="40" spans="1:7" x14ac:dyDescent="0.2">
      <c r="A40" s="868" t="s">
        <v>479</v>
      </c>
      <c r="B40" s="868" t="s">
        <v>120</v>
      </c>
      <c r="C40" s="885" t="str">
        <f>'Expenditures 15-22'!B21</f>
        <v>1911</v>
      </c>
      <c r="D40" s="887" t="str">
        <f>'Expenditures 15-22'!A21</f>
        <v>Regular K-12 Programs - Private Tuition</v>
      </c>
      <c r="E40" s="867"/>
      <c r="F40" s="1934">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4">
        <f>'Expenditures 15-22'!K22</f>
        <v>213371</v>
      </c>
      <c r="G41" s="864"/>
    </row>
    <row r="42" spans="1:7" x14ac:dyDescent="0.2">
      <c r="A42" s="868" t="s">
        <v>479</v>
      </c>
      <c r="B42" s="868" t="s">
        <v>122</v>
      </c>
      <c r="C42" s="888" t="str">
        <f>'Expenditures 15-22'!B23</f>
        <v>1913</v>
      </c>
      <c r="D42" s="887" t="str">
        <f>'Expenditures 15-22'!A23</f>
        <v>Special Education Programs Pre-K - Tuition</v>
      </c>
      <c r="E42" s="867"/>
      <c r="F42" s="1934">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4">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4">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4">
        <f>'Expenditures 15-22'!K26</f>
        <v>0</v>
      </c>
      <c r="G45" s="864"/>
    </row>
    <row r="46" spans="1:7" x14ac:dyDescent="0.2">
      <c r="A46" s="868" t="s">
        <v>479</v>
      </c>
      <c r="B46" s="868" t="s">
        <v>126</v>
      </c>
      <c r="C46" s="885" t="str">
        <f>'Expenditures 15-22'!B27</f>
        <v>1917</v>
      </c>
      <c r="D46" s="887" t="str">
        <f>'Expenditures 15-22'!A27</f>
        <v>CTE Programs - Private Tuition</v>
      </c>
      <c r="E46" s="867"/>
      <c r="F46" s="1934">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4">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4">
        <f>'Expenditures 15-22'!K29</f>
        <v>0</v>
      </c>
      <c r="G48" s="864"/>
    </row>
    <row r="49" spans="1:7" x14ac:dyDescent="0.2">
      <c r="A49" s="868" t="s">
        <v>479</v>
      </c>
      <c r="B49" s="868" t="s">
        <v>129</v>
      </c>
      <c r="C49" s="885" t="str">
        <f>'Expenditures 15-22'!B30</f>
        <v>1920</v>
      </c>
      <c r="D49" s="887" t="str">
        <f>'Expenditures 15-22'!A30</f>
        <v>Gifted Programs - Private Tuition</v>
      </c>
      <c r="E49" s="867"/>
      <c r="F49" s="1934">
        <f>'Expenditures 15-22'!K30</f>
        <v>0</v>
      </c>
      <c r="G49" s="864"/>
    </row>
    <row r="50" spans="1:7" x14ac:dyDescent="0.2">
      <c r="A50" s="868" t="s">
        <v>479</v>
      </c>
      <c r="B50" s="868" t="s">
        <v>130</v>
      </c>
      <c r="C50" s="885" t="str">
        <f>'Expenditures 15-22'!B31</f>
        <v>1921</v>
      </c>
      <c r="D50" s="887" t="str">
        <f>'Expenditures 15-22'!A31</f>
        <v>Bilingual Programs - Private Tuition</v>
      </c>
      <c r="E50" s="867"/>
      <c r="F50" s="1934">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4">
        <f>'Expenditures 15-22'!K32</f>
        <v>0</v>
      </c>
      <c r="G51" s="864"/>
    </row>
    <row r="52" spans="1:7" x14ac:dyDescent="0.2">
      <c r="A52" s="868" t="s">
        <v>479</v>
      </c>
      <c r="B52" s="868" t="s">
        <v>1550</v>
      </c>
      <c r="C52" s="888" t="str">
        <f>'Expenditures 15-22'!B75</f>
        <v>3000</v>
      </c>
      <c r="D52" s="887" t="s">
        <v>469</v>
      </c>
      <c r="E52" s="867"/>
      <c r="F52" s="1934">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4">
        <f>'Expenditures 15-22'!K102</f>
        <v>538867</v>
      </c>
      <c r="G53" s="864"/>
    </row>
    <row r="54" spans="1:7" x14ac:dyDescent="0.2">
      <c r="A54" s="868" t="s">
        <v>479</v>
      </c>
      <c r="B54" s="868" t="s">
        <v>1552</v>
      </c>
      <c r="C54" s="888" t="s">
        <v>1039</v>
      </c>
      <c r="D54" s="884" t="s">
        <v>1157</v>
      </c>
      <c r="E54" s="867"/>
      <c r="F54" s="1934">
        <f>'Expenditures 15-22'!G114</f>
        <v>87983</v>
      </c>
      <c r="G54" s="864"/>
    </row>
    <row r="55" spans="1:7" x14ac:dyDescent="0.2">
      <c r="A55" s="868" t="s">
        <v>479</v>
      </c>
      <c r="B55" s="868" t="s">
        <v>1553</v>
      </c>
      <c r="C55" s="888" t="s">
        <v>1039</v>
      </c>
      <c r="D55" s="884" t="s">
        <v>309</v>
      </c>
      <c r="E55" s="867"/>
      <c r="F55" s="1934">
        <f>'Expenditures 15-22'!I114</f>
        <v>0</v>
      </c>
      <c r="G55" s="864"/>
    </row>
    <row r="56" spans="1:7" x14ac:dyDescent="0.2">
      <c r="A56" s="868" t="s">
        <v>480</v>
      </c>
      <c r="B56" s="868" t="s">
        <v>1554</v>
      </c>
      <c r="C56" s="885" t="str">
        <f>'Expenditures 15-22'!B130</f>
        <v>3000</v>
      </c>
      <c r="D56" s="891" t="s">
        <v>469</v>
      </c>
      <c r="E56" s="867"/>
      <c r="F56" s="1934">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4">
        <f>'Expenditures 15-22'!K139</f>
        <v>7376</v>
      </c>
      <c r="G57" s="864"/>
    </row>
    <row r="58" spans="1:7" x14ac:dyDescent="0.2">
      <c r="A58" s="868" t="s">
        <v>480</v>
      </c>
      <c r="B58" s="868" t="s">
        <v>1995</v>
      </c>
      <c r="C58" s="885" t="s">
        <v>1039</v>
      </c>
      <c r="D58" s="884" t="s">
        <v>1157</v>
      </c>
      <c r="E58" s="867"/>
      <c r="F58" s="1936">
        <f>'Expenditures 15-22'!G151</f>
        <v>18178</v>
      </c>
      <c r="G58" s="864"/>
    </row>
    <row r="59" spans="1:7" x14ac:dyDescent="0.2">
      <c r="A59" s="892" t="s">
        <v>480</v>
      </c>
      <c r="B59" s="855" t="s">
        <v>1996</v>
      </c>
      <c r="C59" s="893" t="s">
        <v>1039</v>
      </c>
      <c r="D59" s="855" t="s">
        <v>309</v>
      </c>
      <c r="F59" s="1937">
        <f>'Expenditures 15-22'!I151</f>
        <v>0</v>
      </c>
      <c r="G59" s="864"/>
    </row>
    <row r="60" spans="1:7" x14ac:dyDescent="0.2">
      <c r="A60" s="892" t="s">
        <v>520</v>
      </c>
      <c r="B60" s="855" t="s">
        <v>1997</v>
      </c>
      <c r="C60" s="893">
        <v>4000</v>
      </c>
      <c r="D60" s="855" t="s">
        <v>330</v>
      </c>
      <c r="F60" s="1935">
        <f>'Expenditures 15-22'!K160</f>
        <v>0</v>
      </c>
      <c r="G60" s="864"/>
    </row>
    <row r="61" spans="1:7" x14ac:dyDescent="0.2">
      <c r="A61" s="894" t="s">
        <v>520</v>
      </c>
      <c r="B61" s="894" t="s">
        <v>1998</v>
      </c>
      <c r="C61" s="895" t="str">
        <f>'Expenditures 15-22'!B170</f>
        <v>5300</v>
      </c>
      <c r="D61" s="896" t="s">
        <v>329</v>
      </c>
      <c r="E61" s="878"/>
      <c r="F61" s="1934">
        <f>'Expenditures 15-22'!K170</f>
        <v>320700</v>
      </c>
      <c r="G61" s="864"/>
    </row>
    <row r="62" spans="1:7" x14ac:dyDescent="0.2">
      <c r="A62" s="868" t="s">
        <v>481</v>
      </c>
      <c r="B62" s="868" t="s">
        <v>1999</v>
      </c>
      <c r="C62" s="885">
        <f>'Expenditures 15-22'!B185</f>
        <v>3000</v>
      </c>
      <c r="D62" s="875" t="s">
        <v>469</v>
      </c>
      <c r="E62" s="867"/>
      <c r="F62" s="1934">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4">
        <f>'Expenditures 15-22'!K196</f>
        <v>0</v>
      </c>
      <c r="G63" s="864"/>
    </row>
    <row r="64" spans="1:7" x14ac:dyDescent="0.2">
      <c r="A64" s="894" t="s">
        <v>481</v>
      </c>
      <c r="B64" s="894" t="s">
        <v>2001</v>
      </c>
      <c r="C64" s="895" t="str">
        <f>'Expenditures 15-22'!B206</f>
        <v>5300</v>
      </c>
      <c r="D64" s="891" t="s">
        <v>329</v>
      </c>
      <c r="E64" s="867"/>
      <c r="F64" s="1934">
        <f>'Expenditures 15-22'!K206</f>
        <v>0</v>
      </c>
      <c r="G64" s="864"/>
    </row>
    <row r="65" spans="1:8" x14ac:dyDescent="0.2">
      <c r="A65" s="868" t="s">
        <v>481</v>
      </c>
      <c r="B65" s="868" t="s">
        <v>2002</v>
      </c>
      <c r="C65" s="885" t="s">
        <v>1039</v>
      </c>
      <c r="D65" s="884" t="s">
        <v>1157</v>
      </c>
      <c r="E65" s="867"/>
      <c r="F65" s="1934">
        <f>'Expenditures 15-22'!G210</f>
        <v>0</v>
      </c>
      <c r="G65" s="864"/>
    </row>
    <row r="66" spans="1:8" x14ac:dyDescent="0.2">
      <c r="A66" s="868" t="s">
        <v>481</v>
      </c>
      <c r="B66" s="868" t="s">
        <v>2003</v>
      </c>
      <c r="C66" s="885" t="s">
        <v>1039</v>
      </c>
      <c r="D66" s="884" t="s">
        <v>309</v>
      </c>
      <c r="E66" s="867"/>
      <c r="F66" s="1934">
        <f>'Expenditures 15-22'!I210</f>
        <v>0</v>
      </c>
      <c r="G66" s="864"/>
    </row>
    <row r="67" spans="1:8" x14ac:dyDescent="0.2">
      <c r="A67" s="868" t="s">
        <v>482</v>
      </c>
      <c r="B67" s="868" t="s">
        <v>2004</v>
      </c>
      <c r="C67" s="885" t="str">
        <f>'Expenditures 15-22'!B216</f>
        <v>1125</v>
      </c>
      <c r="D67" s="891" t="str">
        <f>'Expenditures 15-22'!A216</f>
        <v>Pre-K Programs</v>
      </c>
      <c r="E67" s="867"/>
      <c r="F67" s="1934">
        <f>'Expenditures 15-22'!K216</f>
        <v>6447</v>
      </c>
      <c r="G67" s="864"/>
    </row>
    <row r="68" spans="1:8" x14ac:dyDescent="0.2">
      <c r="A68" s="868" t="s">
        <v>482</v>
      </c>
      <c r="B68" s="868" t="s">
        <v>1555</v>
      </c>
      <c r="C68" s="885" t="str">
        <f>'Expenditures 15-22'!B218</f>
        <v>1225</v>
      </c>
      <c r="D68" s="891" t="str">
        <f>'Expenditures 15-22'!A218</f>
        <v>Special Education Programs - Pre-K</v>
      </c>
      <c r="E68" s="867"/>
      <c r="F68" s="1934">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4">
        <f>'Expenditures 15-22'!K220</f>
        <v>0</v>
      </c>
      <c r="G69" s="864"/>
    </row>
    <row r="70" spans="1:8" x14ac:dyDescent="0.2">
      <c r="A70" s="868" t="s">
        <v>482</v>
      </c>
      <c r="B70" s="868" t="s">
        <v>2006</v>
      </c>
      <c r="C70" s="885">
        <f>'Expenditures 15-22'!B221</f>
        <v>1300</v>
      </c>
      <c r="D70" s="886" t="str">
        <f>'Expenditures 15-22'!A221</f>
        <v>Adult/Continuing Education Programs</v>
      </c>
      <c r="E70" s="867"/>
      <c r="F70" s="1934">
        <f>'Expenditures 15-22'!K221</f>
        <v>0</v>
      </c>
      <c r="G70" s="864"/>
    </row>
    <row r="71" spans="1:8" x14ac:dyDescent="0.2">
      <c r="A71" s="868" t="s">
        <v>482</v>
      </c>
      <c r="B71" s="868" t="s">
        <v>2007</v>
      </c>
      <c r="C71" s="885">
        <f>'Expenditures 15-22'!B224</f>
        <v>1600</v>
      </c>
      <c r="D71" s="886" t="str">
        <f>'Expenditures 15-22'!A224</f>
        <v>Summer School Programs</v>
      </c>
      <c r="E71" s="867"/>
      <c r="F71" s="1934">
        <f>'Expenditures 15-22'!K224</f>
        <v>0</v>
      </c>
      <c r="G71" s="864"/>
    </row>
    <row r="72" spans="1:8" x14ac:dyDescent="0.2">
      <c r="A72" s="868" t="s">
        <v>482</v>
      </c>
      <c r="B72" s="868" t="s">
        <v>2008</v>
      </c>
      <c r="C72" s="885">
        <f>'Expenditures 15-22'!B280</f>
        <v>3000</v>
      </c>
      <c r="D72" s="875" t="s">
        <v>469</v>
      </c>
      <c r="E72" s="867"/>
      <c r="F72" s="1934">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4">
        <f>'Expenditures 15-22'!K285</f>
        <v>0</v>
      </c>
      <c r="G73" s="864"/>
    </row>
    <row r="74" spans="1:8" x14ac:dyDescent="0.2">
      <c r="A74" s="868" t="s">
        <v>456</v>
      </c>
      <c r="B74" s="868" t="s">
        <v>2010</v>
      </c>
      <c r="C74" s="885" t="s">
        <v>915</v>
      </c>
      <c r="D74" s="886" t="s">
        <v>1567</v>
      </c>
      <c r="E74" s="867"/>
      <c r="F74" s="1938">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2011</v>
      </c>
      <c r="E76" s="1793" t="s">
        <v>1015</v>
      </c>
      <c r="F76" s="1797">
        <f>SUM(F18:F74)</f>
        <v>1386239</v>
      </c>
      <c r="G76" s="864"/>
    </row>
    <row r="77" spans="1:8" s="892" customFormat="1" ht="12" customHeight="1" thickTop="1" thickBot="1" x14ac:dyDescent="0.25">
      <c r="A77" s="1798"/>
      <c r="B77" s="1795"/>
      <c r="C77" s="1791"/>
      <c r="D77" s="1796" t="s">
        <v>2012</v>
      </c>
      <c r="E77" s="1793"/>
      <c r="F77" s="1799">
        <f>(F14-F76)</f>
        <v>7042340</v>
      </c>
      <c r="G77" s="868"/>
    </row>
    <row r="78" spans="1:8" s="892" customFormat="1" ht="12" customHeight="1" thickTop="1" x14ac:dyDescent="0.2">
      <c r="A78" s="1800"/>
      <c r="B78" s="1795"/>
      <c r="C78" s="1791"/>
      <c r="D78" s="1796" t="s">
        <v>2059</v>
      </c>
      <c r="E78" s="1793"/>
      <c r="F78" s="897">
        <v>715.84</v>
      </c>
      <c r="G78" s="898"/>
      <c r="H78" s="868"/>
    </row>
    <row r="79" spans="1:8" s="892" customFormat="1" ht="12" customHeight="1" thickBot="1" x14ac:dyDescent="0.25">
      <c r="A79" s="1801"/>
      <c r="B79" s="1795"/>
      <c r="C79" s="1791"/>
      <c r="D79" s="1796" t="s">
        <v>2013</v>
      </c>
      <c r="E79" s="1793" t="s">
        <v>1015</v>
      </c>
      <c r="F79" s="1802">
        <f>IF(F78&gt;0,F77/F78," Complete Line 78")</f>
        <v>9837.8687974966469</v>
      </c>
      <c r="G79" s="868"/>
    </row>
    <row r="80" spans="1:8" s="892" customFormat="1" ht="8.25" customHeight="1" thickTop="1" x14ac:dyDescent="0.2">
      <c r="A80" s="899"/>
      <c r="B80" s="868"/>
      <c r="C80" s="870"/>
      <c r="D80" s="900"/>
      <c r="E80" s="867"/>
      <c r="F80" s="901"/>
      <c r="G80" s="868"/>
    </row>
    <row r="81" spans="1:7" s="892" customFormat="1" ht="12" thickBot="1" x14ac:dyDescent="0.25">
      <c r="A81" s="2271" t="s">
        <v>1167</v>
      </c>
      <c r="B81" s="2272"/>
      <c r="C81" s="2272"/>
      <c r="D81" s="2272"/>
      <c r="E81" s="2272"/>
      <c r="F81" s="2273"/>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8">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94643</v>
      </c>
      <c r="G94" s="911"/>
    </row>
    <row r="95" spans="1:7" x14ac:dyDescent="0.2">
      <c r="A95" s="907" t="s">
        <v>142</v>
      </c>
      <c r="B95" s="907" t="s">
        <v>177</v>
      </c>
      <c r="C95" s="909">
        <v>1700</v>
      </c>
      <c r="D95" s="917" t="str">
        <f>'Revenues 9-14'!A82</f>
        <v>Total District/School Activity Income</v>
      </c>
      <c r="E95" s="905"/>
      <c r="F95" s="1808">
        <f>SUM('Revenues 9-14'!C82,'Revenues 9-14'!D82)</f>
        <v>42964</v>
      </c>
      <c r="G95" s="911"/>
    </row>
    <row r="96" spans="1:7" x14ac:dyDescent="0.2">
      <c r="A96" s="907" t="s">
        <v>479</v>
      </c>
      <c r="B96" s="907" t="s">
        <v>178</v>
      </c>
      <c r="C96" s="909">
        <f>'Revenues 9-14'!B84</f>
        <v>1811</v>
      </c>
      <c r="D96" s="910" t="str">
        <f>'Revenues 9-14'!A84</f>
        <v>Rentals - Regular Textbooks</v>
      </c>
      <c r="E96" s="905"/>
      <c r="F96" s="1808">
        <f>'Revenues 9-14'!C84</f>
        <v>23156</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6500</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973</v>
      </c>
      <c r="G104" s="911"/>
    </row>
    <row r="105" spans="1:7" x14ac:dyDescent="0.2">
      <c r="A105" s="907" t="s">
        <v>524</v>
      </c>
      <c r="B105" s="907" t="s">
        <v>842</v>
      </c>
      <c r="C105" s="912">
        <v>3100</v>
      </c>
      <c r="D105" s="918" t="str">
        <f>'Revenues 9-14'!A131</f>
        <v>Total Special Education</v>
      </c>
      <c r="E105" s="905"/>
      <c r="F105" s="1808">
        <f>SUM('Revenues 9-14'!C131:D131,'Revenues 9-14'!F131)</f>
        <v>254700</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5909</v>
      </c>
      <c r="G106" s="911"/>
    </row>
    <row r="107" spans="1:7" x14ac:dyDescent="0.2">
      <c r="A107" s="920" t="s">
        <v>685</v>
      </c>
      <c r="B107" s="907" t="s">
        <v>843</v>
      </c>
      <c r="C107" s="919">
        <v>3300</v>
      </c>
      <c r="D107" s="910" t="str">
        <f>'Revenues 9-14'!A144</f>
        <v>Total Bilingual Ed</v>
      </c>
      <c r="E107" s="905"/>
      <c r="F107" s="1808">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8">
        <f>'Revenues 9-14'!C145</f>
        <v>3314</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12562</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332760</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7">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8">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8">
        <f>SUM('Revenues 9-14'!C166:G166)</f>
        <v>1500</v>
      </c>
      <c r="G122" s="911"/>
    </row>
    <row r="123" spans="1:7" x14ac:dyDescent="0.2">
      <c r="A123" s="922" t="s">
        <v>525</v>
      </c>
      <c r="B123" s="922" t="s">
        <v>853</v>
      </c>
      <c r="C123" s="923">
        <f>'Revenues 9-14'!B167</f>
        <v>3815</v>
      </c>
      <c r="D123" s="924" t="str">
        <f>'Revenues 9-14'!A167</f>
        <v>State Charter Schools</v>
      </c>
      <c r="E123" s="905"/>
      <c r="F123" s="1928">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230091</v>
      </c>
      <c r="G129" s="929"/>
    </row>
    <row r="130" spans="1:7" x14ac:dyDescent="0.2">
      <c r="A130" s="926" t="s">
        <v>689</v>
      </c>
      <c r="B130" s="926" t="s">
        <v>804</v>
      </c>
      <c r="C130" s="931">
        <v>4300</v>
      </c>
      <c r="D130" s="932" t="str">
        <f>'Revenues 9-14'!A211</f>
        <v>Total Title I</v>
      </c>
      <c r="E130" s="905"/>
      <c r="F130" s="1808">
        <f>SUM('Revenues 9-14'!C211,'Revenues 9-14'!D211,'Revenues 9-14'!F211,'Revenues 9-14'!G211)</f>
        <v>192934</v>
      </c>
      <c r="G130" s="929"/>
    </row>
    <row r="131" spans="1:7" x14ac:dyDescent="0.2">
      <c r="A131" s="926" t="s">
        <v>689</v>
      </c>
      <c r="B131" s="926" t="s">
        <v>805</v>
      </c>
      <c r="C131" s="931">
        <v>4400</v>
      </c>
      <c r="D131" s="932" t="str">
        <f>'Revenues 9-14'!A216</f>
        <v>Total Title IV</v>
      </c>
      <c r="E131" s="905"/>
      <c r="F131" s="1808">
        <f>SUM('Revenues 9-14'!C216,'Revenues 9-14'!D216,'Revenues 9-14'!F216,'Revenues 9-14'!G216)</f>
        <v>1000</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8">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8">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8">
        <f>SUM('Revenues 9-14'!C268,'Revenues 9-14'!D268,'Revenues 9-14'!F268,'Revenues 9-14'!G268)</f>
        <v>33636</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11662</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34643</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39" t="s">
        <v>5</v>
      </c>
      <c r="B175" s="1940" t="s">
        <v>2058</v>
      </c>
      <c r="C175" s="1941">
        <v>3100</v>
      </c>
      <c r="D175" s="1942" t="s">
        <v>2061</v>
      </c>
      <c r="E175" s="905"/>
      <c r="F175" s="1926">
        <v>251120.01</v>
      </c>
      <c r="G175" s="926"/>
    </row>
    <row r="176" spans="1:7" x14ac:dyDescent="0.2">
      <c r="A176" s="1939" t="s">
        <v>685</v>
      </c>
      <c r="B176" s="1940" t="s">
        <v>2058</v>
      </c>
      <c r="C176" s="1941">
        <v>3300</v>
      </c>
      <c r="D176" s="1942" t="s">
        <v>2062</v>
      </c>
      <c r="E176" s="905"/>
      <c r="F176" s="1926">
        <v>0</v>
      </c>
      <c r="G176" s="926"/>
    </row>
    <row r="177" spans="1:7" ht="6" customHeight="1" x14ac:dyDescent="0.2">
      <c r="A177" s="926"/>
      <c r="B177" s="926"/>
      <c r="C177" s="948"/>
      <c r="D177" s="926"/>
      <c r="E177" s="905"/>
      <c r="F177" s="949"/>
      <c r="G177" s="946"/>
    </row>
    <row r="178" spans="1:7" x14ac:dyDescent="0.2">
      <c r="A178" s="1789"/>
      <c r="B178" s="1803"/>
      <c r="C178" s="1804"/>
      <c r="D178" s="1805" t="s">
        <v>2014</v>
      </c>
      <c r="E178" s="1806" t="s">
        <v>1015</v>
      </c>
      <c r="F178" s="1807">
        <f>SUM(F84:F136,F161:F176)</f>
        <v>1534067.01</v>
      </c>
    </row>
    <row r="179" spans="1:7" ht="12" customHeight="1" x14ac:dyDescent="0.2">
      <c r="A179" s="1789"/>
      <c r="B179" s="1803"/>
      <c r="C179" s="1804"/>
      <c r="D179" s="1805" t="s">
        <v>2015</v>
      </c>
      <c r="E179" s="1806"/>
      <c r="F179" s="1808">
        <f>'PCTC-OEPP 27-28'!F77-F178</f>
        <v>5508272.9900000002</v>
      </c>
    </row>
    <row r="180" spans="1:7" ht="12" customHeight="1" x14ac:dyDescent="0.2">
      <c r="A180" s="1789"/>
      <c r="B180" s="1803"/>
      <c r="C180" s="1804"/>
      <c r="D180" s="1805" t="s">
        <v>1924</v>
      </c>
      <c r="E180" s="1806"/>
      <c r="F180" s="1808">
        <f>'Cap Outlay Deprec 26'!I18</f>
        <v>854030</v>
      </c>
    </row>
    <row r="181" spans="1:7" ht="12" customHeight="1" x14ac:dyDescent="0.2">
      <c r="A181" s="1789"/>
      <c r="B181" s="1803"/>
      <c r="C181" s="1804"/>
      <c r="D181" s="1805" t="s">
        <v>2016</v>
      </c>
      <c r="E181" s="1806"/>
      <c r="F181" s="1808">
        <f>F179+F180</f>
        <v>6362302.9900000002</v>
      </c>
    </row>
    <row r="182" spans="1:7" ht="12" customHeight="1" x14ac:dyDescent="0.2">
      <c r="A182" s="1789"/>
      <c r="B182" s="1809"/>
      <c r="C182" s="1804"/>
      <c r="D182" s="1805" t="str">
        <f>D78</f>
        <v>9 Month ADA from District Average Daily Attendance/Prior General State Aid Inquiry 2017-2018</v>
      </c>
      <c r="E182" s="1806"/>
      <c r="F182" s="1810">
        <f>'PCTC-OEPP 27-28'!F78</f>
        <v>715.84</v>
      </c>
      <c r="G182" s="929"/>
    </row>
    <row r="183" spans="1:7" ht="12" customHeight="1" thickBot="1" x14ac:dyDescent="0.25">
      <c r="A183" s="1789"/>
      <c r="B183" s="1809"/>
      <c r="C183" s="1804"/>
      <c r="D183" s="1805" t="s">
        <v>2017</v>
      </c>
      <c r="E183" s="1806" t="s">
        <v>1626</v>
      </c>
      <c r="F183" s="1811">
        <f>F181/F182</f>
        <v>8887.884150089405</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3" customFormat="1" ht="12.2" customHeight="1" x14ac:dyDescent="0.2">
      <c r="A186" s="1943" t="s">
        <v>2065</v>
      </c>
      <c r="B186" s="1944"/>
      <c r="C186" s="1945"/>
      <c r="D186" s="1944"/>
      <c r="E186" s="1945"/>
      <c r="F186" s="1944"/>
      <c r="G186" s="1944"/>
    </row>
    <row r="187" spans="1:7" s="1943" customFormat="1" ht="12.2" customHeight="1" x14ac:dyDescent="0.2">
      <c r="A187" s="1946" t="s">
        <v>2066</v>
      </c>
      <c r="C187" s="1945"/>
      <c r="D187" s="1944"/>
      <c r="E187" s="1945"/>
      <c r="F187" s="1944"/>
      <c r="G187" s="1944"/>
    </row>
    <row r="188" spans="1:7" ht="12" customHeight="1" x14ac:dyDescent="0.2">
      <c r="C188" s="948"/>
      <c r="D188" s="929"/>
      <c r="E188" s="948"/>
      <c r="F188" s="929"/>
      <c r="G188" s="929"/>
    </row>
    <row r="189" spans="1:7" x14ac:dyDescent="0.2">
      <c r="A189" s="1947" t="s">
        <v>2064</v>
      </c>
      <c r="B189" s="1948"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0"/>
  <sheetViews>
    <sheetView showGridLines="0" zoomScaleNormal="100" workbookViewId="0">
      <pane ySplit="16" topLeftCell="A17" activePane="bottomLeft" state="frozen"/>
      <selection activeCell="J31" sqref="J31"/>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5"/>
      <c r="B3" s="1565"/>
      <c r="C3" s="1565"/>
      <c r="D3" s="1565"/>
      <c r="E3" s="1565"/>
      <c r="F3" s="1565"/>
      <c r="G3" s="1565"/>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4" t="s">
        <v>1926</v>
      </c>
      <c r="B6" s="1555"/>
      <c r="C6" s="1555"/>
      <c r="D6" s="1555"/>
      <c r="E6" s="1555"/>
      <c r="F6" s="1555"/>
      <c r="G6" s="1556"/>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7" t="s">
        <v>1927</v>
      </c>
      <c r="B10" s="1558"/>
      <c r="C10" s="1558"/>
      <c r="D10" s="1558"/>
      <c r="E10" s="1558"/>
      <c r="F10" s="1558"/>
      <c r="G10" s="1559"/>
    </row>
    <row r="11" spans="1:7" ht="17.25" customHeight="1" x14ac:dyDescent="0.25">
      <c r="A11" s="2291" t="s">
        <v>1941</v>
      </c>
      <c r="B11" s="2292"/>
      <c r="C11" s="2292"/>
      <c r="D11" s="2292"/>
      <c r="E11" s="2292"/>
      <c r="F11" s="2292"/>
      <c r="G11" s="2293"/>
    </row>
    <row r="12" spans="1:7" ht="15" customHeight="1" x14ac:dyDescent="0.25">
      <c r="A12" s="1557" t="s">
        <v>1932</v>
      </c>
      <c r="B12" s="1558"/>
      <c r="C12" s="1558"/>
      <c r="D12" s="1558"/>
      <c r="E12" s="1558"/>
      <c r="F12" s="1558"/>
      <c r="G12" s="1559"/>
    </row>
    <row r="13" spans="1:7" ht="32.25" customHeight="1" x14ac:dyDescent="0.25">
      <c r="A13" s="2282" t="s">
        <v>1933</v>
      </c>
      <c r="B13" s="2283"/>
      <c r="C13" s="2283"/>
      <c r="D13" s="2283"/>
      <c r="E13" s="2283"/>
      <c r="F13" s="2283"/>
      <c r="G13" s="2284"/>
    </row>
    <row r="14" spans="1:7" x14ac:dyDescent="0.25">
      <c r="A14" s="1680" t="s">
        <v>1942</v>
      </c>
      <c r="B14" s="1681"/>
      <c r="C14" s="1681"/>
      <c r="D14" s="1681"/>
      <c r="E14" s="1681"/>
      <c r="F14" s="1681"/>
      <c r="G14" s="1682"/>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7" t="s">
        <v>1943</v>
      </c>
      <c r="B16" s="1668" t="s">
        <v>1931</v>
      </c>
      <c r="C16" s="1669" t="s">
        <v>1929</v>
      </c>
      <c r="D16" s="1670">
        <v>500000</v>
      </c>
      <c r="E16" s="1670">
        <f>IF(D16&lt;=25000,D16,IF(D16&gt;25000,25000,0))</f>
        <v>25000</v>
      </c>
      <c r="F16" s="1670">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7" x14ac:dyDescent="0.25">
      <c r="A17" s="1953" t="s">
        <v>2111</v>
      </c>
      <c r="B17" s="1955" t="s">
        <v>2139</v>
      </c>
      <c r="C17" s="1954" t="s">
        <v>2112</v>
      </c>
      <c r="D17" s="1864">
        <v>34502</v>
      </c>
      <c r="E17" s="1560">
        <f t="shared" ref="E17:E129" si="1">IF(D17&lt;=25000,D17,IF(D17&gt;25000,25000,0))</f>
        <v>25000</v>
      </c>
      <c r="F17" s="1812">
        <f t="shared" ref="F17:F12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3">
        <f t="shared" ref="G17:G129" si="3">IF(F17=0,0,D17-F17)</f>
        <v>9502</v>
      </c>
    </row>
    <row r="18" spans="1:7" x14ac:dyDescent="0.25">
      <c r="A18" s="1953" t="s">
        <v>2113</v>
      </c>
      <c r="B18" s="1955" t="s">
        <v>1931</v>
      </c>
      <c r="C18" s="1954" t="s">
        <v>2114</v>
      </c>
      <c r="D18" s="1864">
        <v>58992</v>
      </c>
      <c r="E18" s="1560">
        <f t="shared" si="1"/>
        <v>25000</v>
      </c>
      <c r="F18" s="1812">
        <f t="shared" si="2"/>
        <v>25000</v>
      </c>
      <c r="G18" s="1813">
        <f t="shared" si="3"/>
        <v>33992</v>
      </c>
    </row>
    <row r="19" spans="1:7" x14ac:dyDescent="0.25">
      <c r="A19" s="1953" t="s">
        <v>2115</v>
      </c>
      <c r="B19" s="1955" t="s">
        <v>2140</v>
      </c>
      <c r="C19" s="1954" t="s">
        <v>2116</v>
      </c>
      <c r="D19" s="1864">
        <v>78586</v>
      </c>
      <c r="E19" s="1560">
        <f t="shared" si="1"/>
        <v>25000</v>
      </c>
      <c r="F19" s="1812">
        <f t="shared" si="2"/>
        <v>25000</v>
      </c>
      <c r="G19" s="1813">
        <f t="shared" si="3"/>
        <v>53586</v>
      </c>
    </row>
    <row r="20" spans="1:7" x14ac:dyDescent="0.25">
      <c r="A20" s="1953" t="s">
        <v>2117</v>
      </c>
      <c r="B20" s="1955" t="s">
        <v>1931</v>
      </c>
      <c r="C20" s="1954" t="s">
        <v>2118</v>
      </c>
      <c r="D20" s="1864">
        <v>154379</v>
      </c>
      <c r="E20" s="1560">
        <f t="shared" si="1"/>
        <v>25000</v>
      </c>
      <c r="F20" s="1812">
        <f t="shared" si="2"/>
        <v>25000</v>
      </c>
      <c r="G20" s="1813">
        <f t="shared" si="3"/>
        <v>129379</v>
      </c>
    </row>
    <row r="21" spans="1:7" x14ac:dyDescent="0.25">
      <c r="A21" s="1953" t="s">
        <v>2119</v>
      </c>
      <c r="B21" s="1955" t="s">
        <v>2141</v>
      </c>
      <c r="C21" s="1954" t="s">
        <v>2120</v>
      </c>
      <c r="D21" s="1864">
        <v>29214</v>
      </c>
      <c r="E21" s="1560">
        <f t="shared" si="1"/>
        <v>25000</v>
      </c>
      <c r="F21" s="1812">
        <f t="shared" si="2"/>
        <v>25000</v>
      </c>
      <c r="G21" s="1813">
        <f t="shared" si="3"/>
        <v>4214</v>
      </c>
    </row>
    <row r="22" spans="1:7" x14ac:dyDescent="0.25">
      <c r="A22" s="1953" t="s">
        <v>2121</v>
      </c>
      <c r="B22" s="1955" t="s">
        <v>2142</v>
      </c>
      <c r="C22" s="1954" t="s">
        <v>2122</v>
      </c>
      <c r="D22" s="1864">
        <v>71780</v>
      </c>
      <c r="E22" s="1560">
        <f t="shared" si="1"/>
        <v>25000</v>
      </c>
      <c r="F22" s="1812">
        <f t="shared" si="2"/>
        <v>25000</v>
      </c>
      <c r="G22" s="1813">
        <f t="shared" si="3"/>
        <v>46780</v>
      </c>
    </row>
    <row r="23" spans="1:7" x14ac:dyDescent="0.25">
      <c r="A23" s="1953" t="s">
        <v>2119</v>
      </c>
      <c r="B23" s="1955" t="s">
        <v>2141</v>
      </c>
      <c r="C23" s="1954" t="s">
        <v>2123</v>
      </c>
      <c r="D23" s="1864">
        <v>126380</v>
      </c>
      <c r="E23" s="1560">
        <f t="shared" si="1"/>
        <v>25000</v>
      </c>
      <c r="F23" s="1812">
        <f t="shared" si="2"/>
        <v>25000</v>
      </c>
      <c r="G23" s="1813">
        <f t="shared" si="3"/>
        <v>101380</v>
      </c>
    </row>
    <row r="24" spans="1:7" x14ac:dyDescent="0.25">
      <c r="A24" s="1953" t="s">
        <v>2124</v>
      </c>
      <c r="B24" s="1955" t="s">
        <v>2139</v>
      </c>
      <c r="C24" s="1954" t="s">
        <v>2125</v>
      </c>
      <c r="D24" s="1864">
        <v>74389</v>
      </c>
      <c r="E24" s="1560">
        <f t="shared" si="1"/>
        <v>25000</v>
      </c>
      <c r="F24" s="1812">
        <f t="shared" si="2"/>
        <v>25000</v>
      </c>
      <c r="G24" s="1813">
        <f t="shared" si="3"/>
        <v>49389</v>
      </c>
    </row>
    <row r="25" spans="1:7" x14ac:dyDescent="0.25">
      <c r="A25" s="1953" t="s">
        <v>2127</v>
      </c>
      <c r="B25" s="1955" t="s">
        <v>2139</v>
      </c>
      <c r="C25" s="1954" t="s">
        <v>2126</v>
      </c>
      <c r="D25" s="1864">
        <v>20522</v>
      </c>
      <c r="E25" s="1560">
        <f t="shared" si="1"/>
        <v>20522</v>
      </c>
      <c r="F25" s="1812">
        <f t="shared" si="2"/>
        <v>20522</v>
      </c>
      <c r="G25" s="1813">
        <f t="shared" si="3"/>
        <v>0</v>
      </c>
    </row>
    <row r="26" spans="1:7" x14ac:dyDescent="0.25">
      <c r="A26" s="1953" t="s">
        <v>2128</v>
      </c>
      <c r="B26" s="1955" t="s">
        <v>2143</v>
      </c>
      <c r="C26" s="1954" t="s">
        <v>2129</v>
      </c>
      <c r="D26" s="1864">
        <v>29526</v>
      </c>
      <c r="E26" s="1560">
        <f t="shared" si="1"/>
        <v>25000</v>
      </c>
      <c r="F26" s="1812">
        <f t="shared" si="2"/>
        <v>25000</v>
      </c>
      <c r="G26" s="1813">
        <f t="shared" si="3"/>
        <v>4526</v>
      </c>
    </row>
    <row r="27" spans="1:7" hidden="1" x14ac:dyDescent="0.25">
      <c r="A27" s="1672"/>
      <c r="B27" s="1686"/>
      <c r="C27" s="1673"/>
      <c r="D27" s="1864"/>
      <c r="E27" s="1560">
        <f t="shared" si="1"/>
        <v>0</v>
      </c>
      <c r="F27" s="1812">
        <f t="shared" si="2"/>
        <v>0</v>
      </c>
      <c r="G27" s="1813">
        <f t="shared" si="3"/>
        <v>0</v>
      </c>
    </row>
    <row r="28" spans="1:7" hidden="1" x14ac:dyDescent="0.25">
      <c r="A28" s="1672"/>
      <c r="B28" s="1686"/>
      <c r="C28" s="1673"/>
      <c r="D28" s="1864"/>
      <c r="E28" s="1560">
        <f t="shared" si="1"/>
        <v>0</v>
      </c>
      <c r="F28" s="1812">
        <f t="shared" si="2"/>
        <v>0</v>
      </c>
      <c r="G28" s="1813">
        <f t="shared" si="3"/>
        <v>0</v>
      </c>
    </row>
    <row r="29" spans="1:7" hidden="1" x14ac:dyDescent="0.25">
      <c r="A29" s="1672"/>
      <c r="B29" s="1686"/>
      <c r="C29" s="1673"/>
      <c r="D29" s="1864"/>
      <c r="E29" s="1560">
        <f t="shared" si="1"/>
        <v>0</v>
      </c>
      <c r="F29" s="1812">
        <f t="shared" si="2"/>
        <v>0</v>
      </c>
      <c r="G29" s="1813">
        <f t="shared" si="3"/>
        <v>0</v>
      </c>
    </row>
    <row r="30" spans="1:7" hidden="1" x14ac:dyDescent="0.25">
      <c r="A30" s="1672"/>
      <c r="B30" s="1686"/>
      <c r="C30" s="1673"/>
      <c r="D30" s="1864"/>
      <c r="E30" s="1560">
        <f t="shared" si="1"/>
        <v>0</v>
      </c>
      <c r="F30" s="1812">
        <f t="shared" si="2"/>
        <v>0</v>
      </c>
      <c r="G30" s="1813">
        <f t="shared" si="3"/>
        <v>0</v>
      </c>
    </row>
    <row r="31" spans="1:7" hidden="1" x14ac:dyDescent="0.25">
      <c r="A31" s="1672"/>
      <c r="B31" s="1686"/>
      <c r="C31" s="1673"/>
      <c r="D31" s="1864"/>
      <c r="E31" s="1560">
        <f t="shared" si="1"/>
        <v>0</v>
      </c>
      <c r="F31" s="1812">
        <f t="shared" si="2"/>
        <v>0</v>
      </c>
      <c r="G31" s="1813">
        <f t="shared" si="3"/>
        <v>0</v>
      </c>
    </row>
    <row r="32" spans="1:7" hidden="1" x14ac:dyDescent="0.25">
      <c r="A32" s="1672"/>
      <c r="B32" s="1686"/>
      <c r="C32" s="1673"/>
      <c r="D32" s="1864"/>
      <c r="E32" s="1560">
        <f t="shared" si="1"/>
        <v>0</v>
      </c>
      <c r="F32" s="1812">
        <f t="shared" si="2"/>
        <v>0</v>
      </c>
      <c r="G32" s="1813">
        <f t="shared" si="3"/>
        <v>0</v>
      </c>
    </row>
    <row r="33" spans="1:7" hidden="1" x14ac:dyDescent="0.25">
      <c r="A33" s="1672"/>
      <c r="B33" s="1686"/>
      <c r="C33" s="1673"/>
      <c r="D33" s="1864"/>
      <c r="E33" s="1560">
        <f t="shared" si="1"/>
        <v>0</v>
      </c>
      <c r="F33" s="1812">
        <f t="shared" si="2"/>
        <v>0</v>
      </c>
      <c r="G33" s="1813">
        <f t="shared" si="3"/>
        <v>0</v>
      </c>
    </row>
    <row r="34" spans="1:7" hidden="1" x14ac:dyDescent="0.25">
      <c r="A34" s="1672"/>
      <c r="B34" s="1686"/>
      <c r="C34" s="1673"/>
      <c r="D34" s="1864"/>
      <c r="E34" s="1560">
        <f t="shared" si="1"/>
        <v>0</v>
      </c>
      <c r="F34" s="1812">
        <f t="shared" si="2"/>
        <v>0</v>
      </c>
      <c r="G34" s="1813">
        <f t="shared" si="3"/>
        <v>0</v>
      </c>
    </row>
    <row r="35" spans="1:7" hidden="1" x14ac:dyDescent="0.25">
      <c r="A35" s="1672"/>
      <c r="B35" s="1686"/>
      <c r="C35" s="1673"/>
      <c r="D35" s="1864"/>
      <c r="E35" s="1560">
        <f t="shared" si="1"/>
        <v>0</v>
      </c>
      <c r="F35" s="1812">
        <f t="shared" si="2"/>
        <v>0</v>
      </c>
      <c r="G35" s="1813">
        <f t="shared" si="3"/>
        <v>0</v>
      </c>
    </row>
    <row r="36" spans="1:7" hidden="1" x14ac:dyDescent="0.25">
      <c r="A36" s="1672"/>
      <c r="B36" s="1686"/>
      <c r="C36" s="1673"/>
      <c r="D36" s="1864"/>
      <c r="E36" s="1560">
        <f t="shared" si="1"/>
        <v>0</v>
      </c>
      <c r="F36" s="1812">
        <f t="shared" si="2"/>
        <v>0</v>
      </c>
      <c r="G36" s="1813">
        <f t="shared" si="3"/>
        <v>0</v>
      </c>
    </row>
    <row r="37" spans="1:7" hidden="1" x14ac:dyDescent="0.25">
      <c r="A37" s="1672"/>
      <c r="B37" s="1686"/>
      <c r="C37" s="1673"/>
      <c r="D37" s="1864"/>
      <c r="E37" s="1560">
        <f t="shared" si="1"/>
        <v>0</v>
      </c>
      <c r="F37" s="1812">
        <f t="shared" si="2"/>
        <v>0</v>
      </c>
      <c r="G37" s="1813">
        <f t="shared" si="3"/>
        <v>0</v>
      </c>
    </row>
    <row r="38" spans="1:7" hidden="1" x14ac:dyDescent="0.25">
      <c r="A38" s="1672"/>
      <c r="B38" s="1686"/>
      <c r="C38" s="1673"/>
      <c r="D38" s="1864"/>
      <c r="E38" s="1560">
        <f t="shared" si="1"/>
        <v>0</v>
      </c>
      <c r="F38" s="1812">
        <f t="shared" si="2"/>
        <v>0</v>
      </c>
      <c r="G38" s="1813">
        <f t="shared" si="3"/>
        <v>0</v>
      </c>
    </row>
    <row r="39" spans="1:7" hidden="1" x14ac:dyDescent="0.25">
      <c r="A39" s="1672"/>
      <c r="B39" s="1686"/>
      <c r="C39" s="1673"/>
      <c r="D39" s="1864"/>
      <c r="E39" s="1560">
        <f t="shared" si="1"/>
        <v>0</v>
      </c>
      <c r="F39" s="1812">
        <f t="shared" si="2"/>
        <v>0</v>
      </c>
      <c r="G39" s="1813">
        <f t="shared" si="3"/>
        <v>0</v>
      </c>
    </row>
    <row r="40" spans="1:7" hidden="1" x14ac:dyDescent="0.25">
      <c r="A40" s="1672"/>
      <c r="B40" s="1686"/>
      <c r="C40" s="1673"/>
      <c r="D40" s="1864"/>
      <c r="E40" s="1560">
        <f t="shared" si="1"/>
        <v>0</v>
      </c>
      <c r="F40" s="1812">
        <f t="shared" si="2"/>
        <v>0</v>
      </c>
      <c r="G40" s="1813">
        <f t="shared" si="3"/>
        <v>0</v>
      </c>
    </row>
    <row r="41" spans="1:7" hidden="1" x14ac:dyDescent="0.25">
      <c r="A41" s="1672"/>
      <c r="B41" s="1686"/>
      <c r="C41" s="1673"/>
      <c r="D41" s="1864"/>
      <c r="E41" s="1560">
        <f t="shared" si="1"/>
        <v>0</v>
      </c>
      <c r="F41" s="1812">
        <f t="shared" si="2"/>
        <v>0</v>
      </c>
      <c r="G41" s="1813">
        <f t="shared" si="3"/>
        <v>0</v>
      </c>
    </row>
    <row r="42" spans="1:7" hidden="1" x14ac:dyDescent="0.25">
      <c r="A42" s="1672"/>
      <c r="B42" s="1686"/>
      <c r="C42" s="1673"/>
      <c r="D42" s="1864"/>
      <c r="E42" s="1560">
        <f t="shared" si="1"/>
        <v>0</v>
      </c>
      <c r="F42" s="1812">
        <f t="shared" si="2"/>
        <v>0</v>
      </c>
      <c r="G42" s="1813">
        <f t="shared" si="3"/>
        <v>0</v>
      </c>
    </row>
    <row r="43" spans="1:7" hidden="1" x14ac:dyDescent="0.25">
      <c r="A43" s="1672"/>
      <c r="B43" s="1686"/>
      <c r="C43" s="1673"/>
      <c r="D43" s="1864"/>
      <c r="E43" s="1560">
        <f t="shared" si="1"/>
        <v>0</v>
      </c>
      <c r="F43" s="1812">
        <f t="shared" si="2"/>
        <v>0</v>
      </c>
      <c r="G43" s="1813">
        <f t="shared" si="3"/>
        <v>0</v>
      </c>
    </row>
    <row r="44" spans="1:7" hidden="1" x14ac:dyDescent="0.25">
      <c r="A44" s="1672"/>
      <c r="B44" s="1686"/>
      <c r="C44" s="1673"/>
      <c r="D44" s="1864"/>
      <c r="E44" s="1560">
        <f t="shared" si="1"/>
        <v>0</v>
      </c>
      <c r="F44" s="1812">
        <f t="shared" si="2"/>
        <v>0</v>
      </c>
      <c r="G44" s="1813">
        <f t="shared" si="3"/>
        <v>0</v>
      </c>
    </row>
    <row r="45" spans="1:7" hidden="1" x14ac:dyDescent="0.25">
      <c r="A45" s="1672"/>
      <c r="B45" s="1686"/>
      <c r="C45" s="1673"/>
      <c r="D45" s="1864"/>
      <c r="E45" s="1560">
        <f t="shared" si="1"/>
        <v>0</v>
      </c>
      <c r="F45" s="1812">
        <f t="shared" si="2"/>
        <v>0</v>
      </c>
      <c r="G45" s="1813">
        <f t="shared" si="3"/>
        <v>0</v>
      </c>
    </row>
    <row r="46" spans="1:7" hidden="1" x14ac:dyDescent="0.25">
      <c r="A46" s="1672"/>
      <c r="B46" s="1686"/>
      <c r="C46" s="1673"/>
      <c r="D46" s="1864"/>
      <c r="E46" s="1560">
        <f t="shared" si="1"/>
        <v>0</v>
      </c>
      <c r="F46" s="1812">
        <f t="shared" si="2"/>
        <v>0</v>
      </c>
      <c r="G46" s="1813">
        <f t="shared" si="3"/>
        <v>0</v>
      </c>
    </row>
    <row r="47" spans="1:7" hidden="1" x14ac:dyDescent="0.25">
      <c r="A47" s="1672"/>
      <c r="B47" s="1686"/>
      <c r="C47" s="1673"/>
      <c r="D47" s="1864"/>
      <c r="E47" s="1560">
        <f t="shared" si="1"/>
        <v>0</v>
      </c>
      <c r="F47" s="1812">
        <f t="shared" si="2"/>
        <v>0</v>
      </c>
      <c r="G47" s="1813">
        <f t="shared" si="3"/>
        <v>0</v>
      </c>
    </row>
    <row r="48" spans="1:7" hidden="1" x14ac:dyDescent="0.25">
      <c r="A48" s="1672"/>
      <c r="B48" s="1686"/>
      <c r="C48" s="1673"/>
      <c r="D48" s="1864"/>
      <c r="E48" s="1560">
        <f t="shared" si="1"/>
        <v>0</v>
      </c>
      <c r="F48" s="1812">
        <f t="shared" si="2"/>
        <v>0</v>
      </c>
      <c r="G48" s="1813">
        <f t="shared" si="3"/>
        <v>0</v>
      </c>
    </row>
    <row r="49" spans="1:7" hidden="1" x14ac:dyDescent="0.25">
      <c r="A49" s="1672"/>
      <c r="B49" s="1686"/>
      <c r="C49" s="1673"/>
      <c r="D49" s="1864"/>
      <c r="E49" s="1560">
        <f t="shared" si="1"/>
        <v>0</v>
      </c>
      <c r="F49" s="1812">
        <f t="shared" si="2"/>
        <v>0</v>
      </c>
      <c r="G49" s="1813">
        <f t="shared" si="3"/>
        <v>0</v>
      </c>
    </row>
    <row r="50" spans="1:7" hidden="1" x14ac:dyDescent="0.25">
      <c r="A50" s="1672"/>
      <c r="B50" s="1686"/>
      <c r="C50" s="1673"/>
      <c r="D50" s="1864"/>
      <c r="E50" s="1560">
        <f t="shared" si="1"/>
        <v>0</v>
      </c>
      <c r="F50" s="1812">
        <f t="shared" si="2"/>
        <v>0</v>
      </c>
      <c r="G50" s="1813">
        <f t="shared" si="3"/>
        <v>0</v>
      </c>
    </row>
    <row r="51" spans="1:7" hidden="1" x14ac:dyDescent="0.25">
      <c r="A51" s="1672"/>
      <c r="B51" s="1686"/>
      <c r="C51" s="1673"/>
      <c r="D51" s="1864"/>
      <c r="E51" s="1560">
        <f t="shared" si="1"/>
        <v>0</v>
      </c>
      <c r="F51" s="1812">
        <f t="shared" si="2"/>
        <v>0</v>
      </c>
      <c r="G51" s="1813">
        <f t="shared" si="3"/>
        <v>0</v>
      </c>
    </row>
    <row r="52" spans="1:7" hidden="1" x14ac:dyDescent="0.25">
      <c r="A52" s="1672"/>
      <c r="B52" s="1686"/>
      <c r="C52" s="1673"/>
      <c r="D52" s="1864"/>
      <c r="E52" s="1560">
        <f t="shared" si="1"/>
        <v>0</v>
      </c>
      <c r="F52" s="1812">
        <f t="shared" si="2"/>
        <v>0</v>
      </c>
      <c r="G52" s="1813">
        <f t="shared" si="3"/>
        <v>0</v>
      </c>
    </row>
    <row r="53" spans="1:7" hidden="1" x14ac:dyDescent="0.25">
      <c r="A53" s="1674"/>
      <c r="B53" s="1686"/>
      <c r="C53" s="1675"/>
      <c r="D53" s="1864"/>
      <c r="E53" s="1560">
        <f t="shared" si="1"/>
        <v>0</v>
      </c>
      <c r="F53" s="1812">
        <f t="shared" si="2"/>
        <v>0</v>
      </c>
      <c r="G53" s="1813">
        <f t="shared" si="3"/>
        <v>0</v>
      </c>
    </row>
    <row r="54" spans="1:7" hidden="1" x14ac:dyDescent="0.25">
      <c r="A54" s="1672"/>
      <c r="B54" s="1686"/>
      <c r="C54" s="1673"/>
      <c r="D54" s="1864"/>
      <c r="E54" s="1560">
        <f t="shared" si="1"/>
        <v>0</v>
      </c>
      <c r="F54" s="1812">
        <f t="shared" si="2"/>
        <v>0</v>
      </c>
      <c r="G54" s="1813">
        <f t="shared" si="3"/>
        <v>0</v>
      </c>
    </row>
    <row r="55" spans="1:7" hidden="1" x14ac:dyDescent="0.25">
      <c r="A55" s="1672"/>
      <c r="B55" s="1686"/>
      <c r="C55" s="1673"/>
      <c r="D55" s="1864"/>
      <c r="E55" s="1560">
        <f t="shared" si="1"/>
        <v>0</v>
      </c>
      <c r="F55" s="1812">
        <f t="shared" si="2"/>
        <v>0</v>
      </c>
      <c r="G55" s="1813">
        <f t="shared" si="3"/>
        <v>0</v>
      </c>
    </row>
    <row r="56" spans="1:7" hidden="1" x14ac:dyDescent="0.25">
      <c r="A56" s="1672"/>
      <c r="B56" s="1686"/>
      <c r="C56" s="1673"/>
      <c r="D56" s="1864"/>
      <c r="E56" s="1560">
        <f t="shared" si="1"/>
        <v>0</v>
      </c>
      <c r="F56" s="1812">
        <f t="shared" si="2"/>
        <v>0</v>
      </c>
      <c r="G56" s="1813">
        <f t="shared" si="3"/>
        <v>0</v>
      </c>
    </row>
    <row r="57" spans="1:7" hidden="1" x14ac:dyDescent="0.25">
      <c r="A57" s="1672"/>
      <c r="B57" s="1686"/>
      <c r="C57" s="1673"/>
      <c r="D57" s="1864"/>
      <c r="E57" s="1560">
        <f t="shared" si="1"/>
        <v>0</v>
      </c>
      <c r="F57" s="1812">
        <f t="shared" si="2"/>
        <v>0</v>
      </c>
      <c r="G57" s="1813">
        <f t="shared" si="3"/>
        <v>0</v>
      </c>
    </row>
    <row r="58" spans="1:7" hidden="1" x14ac:dyDescent="0.25">
      <c r="A58" s="1672"/>
      <c r="B58" s="1686"/>
      <c r="C58" s="1673"/>
      <c r="D58" s="1864"/>
      <c r="E58" s="1560">
        <f t="shared" si="1"/>
        <v>0</v>
      </c>
      <c r="F58" s="1812">
        <f t="shared" si="2"/>
        <v>0</v>
      </c>
      <c r="G58" s="1813">
        <f t="shared" si="3"/>
        <v>0</v>
      </c>
    </row>
    <row r="59" spans="1:7" hidden="1" x14ac:dyDescent="0.25">
      <c r="A59" s="1672"/>
      <c r="B59" s="1686"/>
      <c r="C59" s="1673"/>
      <c r="D59" s="1864"/>
      <c r="E59" s="1560">
        <f t="shared" si="1"/>
        <v>0</v>
      </c>
      <c r="F59" s="1812">
        <f t="shared" si="2"/>
        <v>0</v>
      </c>
      <c r="G59" s="1813">
        <f t="shared" si="3"/>
        <v>0</v>
      </c>
    </row>
    <row r="60" spans="1:7" hidden="1" x14ac:dyDescent="0.25">
      <c r="A60" s="1672"/>
      <c r="B60" s="1686"/>
      <c r="C60" s="1673"/>
      <c r="D60" s="1864"/>
      <c r="E60" s="1560">
        <f t="shared" si="1"/>
        <v>0</v>
      </c>
      <c r="F60" s="1812">
        <f t="shared" si="2"/>
        <v>0</v>
      </c>
      <c r="G60" s="1813">
        <f t="shared" si="3"/>
        <v>0</v>
      </c>
    </row>
    <row r="61" spans="1:7" hidden="1" x14ac:dyDescent="0.25">
      <c r="A61" s="1672"/>
      <c r="B61" s="1686"/>
      <c r="C61" s="1673"/>
      <c r="D61" s="1864"/>
      <c r="E61" s="1560">
        <f t="shared" si="1"/>
        <v>0</v>
      </c>
      <c r="F61" s="1812">
        <f t="shared" si="2"/>
        <v>0</v>
      </c>
      <c r="G61" s="1813">
        <f t="shared" si="3"/>
        <v>0</v>
      </c>
    </row>
    <row r="62" spans="1:7" hidden="1" x14ac:dyDescent="0.25">
      <c r="A62" s="1672"/>
      <c r="B62" s="1686"/>
      <c r="C62" s="1673"/>
      <c r="D62" s="1864"/>
      <c r="E62" s="1560">
        <f t="shared" ref="E62:E73" si="4">IF(D62&lt;=25000,D62,IF(D62&gt;25000,25000,0))</f>
        <v>0</v>
      </c>
      <c r="F62" s="1812">
        <f t="shared" ref="F62:F73" si="5">IF(OR(B62="10-1000-100",B62="10-1000-200",B62="10-1000-300",B62="10-1000-400",B62="10-1000-600",B62="10-1000-800",B62="50-1000-200",B62="10-2100-100",B62="10-2100-200",B62="10-2100-300",B62="10-2100-400",B62="10-2100-600",B62="10-2100-800",B62="20-2100-200",B62="20-2190-100",B62="20-2190-200",B62="20-2190-300",B62="20-2190-400",B62="20-2190-600",B62="20-2190-800",B62="40-2190-100",B62="40-2190-200",B62="40-2190-300",B62="40-2190-400",B62="40-2190-600",B62="40-2190-800",B62="50-2190-200",B62="10-2200-100",B62="10-2200-200",B62="10-2200-300",B62="10-2200-400",B62="10-2200-600",B62="10-2200-800",B62="50-2200-200",B62="10-2300-100",B62="10-2300-200",B62="10-2300-300",B62="10-2300-400",B62="10-2300-600",B62="10-2300-800",B62="50-2300-200",B62="80-2300-100",B62="80-2300-200",B62="80-2300-300",B62="80-2300-400",B62="80-2300-600",B62="80-2300-800",B62="10-2400-100",B62="10-2400-200",B62="10-2400-300",B62="10-2400-400",B62="10-2400-600",B62="10-2400-800",B62="50-2400-200",B62="10-2510-100",B62="10-2510-200",B62="10-2510-300",B62="10-2510-400",B62="10-2510-600",B62="10-2510-800",B62="20-2510-100",B62="20-2510-200",B62="20-2510-300",B62="20-2510-400",B62="20-2510-600",B62="20-2510-800",B62="50-2510-200",B62="10-2520-100",B62="10-2520-200",B62="10-2520-300",B62="10-2520-400",B62="10-2520-600",B62="10-2520-800",B62="50-2520-200",B62="10-2540-100",B62="10-2540-200",B62="10-2540-300",B62="10-2540-400",B62="10-2540-600",B62="20-2540-800",B62="20-2540-100",B62="20-2540-200",B62="20-2540-300",B62="20-2540-400",B62="20-2540-600",B62="50-2540-200",B62="90-2540-100",B62="90-2540-200",B62="90-2540-300",B62="90-2540-400",B62="90-2540-600",B62="90-2540-800",B62="90-2540-800",B62="10-2550-100",B62="10-2550-200",B62="10-2550-300",B62="10-2550-400",B62="10-2550-600",B62="10-2550-800",B62="20-2550-100",B62="20-2550-200",B62="20-2550-300",B62="20-2550-400",B62="20-2550-600",B62="20-2550-800",B62="40-2550-100",B62="40-2550-200",B62="40-2550-300",B62="40-2550-400",B62="40-2550-600",B62="40-2550-800",B62="50-2550-200",B62="10-2560-100",B62="10-2560-200",B62="10-2560-300",B62="10-2560-400",B62="10-2560-600",B62="10-2560-800",B62="20-2560-100",B62="20-2560-200",B62="20-2560-300",B62="20-2560-400",B62="20-2560-600",B62="20-2560-800",B62="50-2560-200",B62="10-2570-100",B62="10-2570-200",B62="10-2570-300",B62="10-2570-400",B62="10-2570-600",B62="10-2570-800",B62="50-2570-200",B62="10-2610-100",B62="10-2610-200",B62="10-2610-300",B62="10-2610-400",B62="10-2610-600",B62="10-2610-800",B62="50-2610-200",B62="10-2620-100",B62="10-2620-200",B62="10-2620-300",B62="10-2620-400",B62="10-2620-600",B62="10-2620-800",B62="50-2620-200",B62="10-2630-100",B62="10-2630-200",B62="10-2630-300",B62="10-2630-400",B62="10-2630-600",B62="10-2630-800",B62="50-2630-200",B62="10-2640-100",B62="10-2640-200",B62="10-2640-300",B62="10-2640-400",B62="10-2640-600",B62="10-2640-800",B62="50-2640-200",B62="10-2660-100",B62="10-2660-200",B62="10-2660-300",B62="10-2660-400",B62="10-2660-600",B62="10-2660-800",B62="50-2660-200",B62="10-2900-100",B62="10-2900-200",B62="10-2900-300",B62="10-2900-400",B62="10-2900-600",B62="10-2900-800",B62="20-2900-100",B62="20-2900-200",B62="20-2900-300",B62="20-2900-400",B62="20-2900-600",B62="20-2900-800",B62="40-2900-100",B62="40-2900-200",B62="40-2900-300",B62="40-2900-400",B62="40-2900-600",B62="40-2900-800",B62="50-2900-200",B62="60-2900-100",B62="60-2900-200",B62="60-2900-300",B62="60-2900-400",B62="60-2900-600",B62="60-2900-800",B62="90-2900-100",B62="90-2900-200",B62="90-2900-300",B62="90-2900-400",B62="90-2900-600",B62="90-2900-800",B62="10-3000-100",B62="10-3000-200",B62="10-3000-300",B62="10-3000-400",B62="10-3000-600",B62="10-3000-800",B62="20-3000-100",B62="20-3000-200",B62="20-3000-300",B62="20-3000-400",B62="20-3000-600",B62="20-3000-800",B62="40-3000-100",B62="40-3000-200",B62="40-3000-300",B62="40-3000-400",B62="40-3000-600",B62="40-3000-800",B62="50-3000-200"),E62,0)</f>
        <v>0</v>
      </c>
      <c r="G62" s="1813">
        <f t="shared" ref="G62:G73" si="6">IF(F62=0,0,D62-F62)</f>
        <v>0</v>
      </c>
    </row>
    <row r="63" spans="1:7" hidden="1" x14ac:dyDescent="0.25">
      <c r="A63" s="1672"/>
      <c r="B63" s="1686"/>
      <c r="C63" s="1673"/>
      <c r="D63" s="1864"/>
      <c r="E63" s="1560">
        <f t="shared" si="4"/>
        <v>0</v>
      </c>
      <c r="F63" s="1812">
        <f t="shared" si="5"/>
        <v>0</v>
      </c>
      <c r="G63" s="1813">
        <f t="shared" si="6"/>
        <v>0</v>
      </c>
    </row>
    <row r="64" spans="1:7" hidden="1" x14ac:dyDescent="0.25">
      <c r="A64" s="1672"/>
      <c r="B64" s="1686"/>
      <c r="C64" s="1673"/>
      <c r="D64" s="1864"/>
      <c r="E64" s="1560">
        <f t="shared" si="4"/>
        <v>0</v>
      </c>
      <c r="F64" s="1812">
        <f t="shared" si="5"/>
        <v>0</v>
      </c>
      <c r="G64" s="1813">
        <f t="shared" si="6"/>
        <v>0</v>
      </c>
    </row>
    <row r="65" spans="1:7" hidden="1" x14ac:dyDescent="0.25">
      <c r="A65" s="1672"/>
      <c r="B65" s="1686"/>
      <c r="C65" s="1673"/>
      <c r="D65" s="1864"/>
      <c r="E65" s="1560">
        <f t="shared" si="4"/>
        <v>0</v>
      </c>
      <c r="F65" s="1812">
        <f t="shared" si="5"/>
        <v>0</v>
      </c>
      <c r="G65" s="1813">
        <f t="shared" si="6"/>
        <v>0</v>
      </c>
    </row>
    <row r="66" spans="1:7" hidden="1" x14ac:dyDescent="0.25">
      <c r="A66" s="1672"/>
      <c r="B66" s="1686"/>
      <c r="C66" s="1673"/>
      <c r="D66" s="1864"/>
      <c r="E66" s="1560">
        <f t="shared" si="4"/>
        <v>0</v>
      </c>
      <c r="F66" s="1812">
        <f t="shared" si="5"/>
        <v>0</v>
      </c>
      <c r="G66" s="1813">
        <f t="shared" si="6"/>
        <v>0</v>
      </c>
    </row>
    <row r="67" spans="1:7" hidden="1" x14ac:dyDescent="0.25">
      <c r="A67" s="1672"/>
      <c r="B67" s="1686"/>
      <c r="C67" s="1673"/>
      <c r="D67" s="1864"/>
      <c r="E67" s="1560">
        <f t="shared" si="4"/>
        <v>0</v>
      </c>
      <c r="F67" s="1812">
        <f t="shared" si="5"/>
        <v>0</v>
      </c>
      <c r="G67" s="1813">
        <f t="shared" si="6"/>
        <v>0</v>
      </c>
    </row>
    <row r="68" spans="1:7" hidden="1" x14ac:dyDescent="0.25">
      <c r="A68" s="1672"/>
      <c r="B68" s="1686"/>
      <c r="C68" s="1673"/>
      <c r="D68" s="1864"/>
      <c r="E68" s="1560">
        <f t="shared" si="4"/>
        <v>0</v>
      </c>
      <c r="F68" s="1812">
        <f t="shared" si="5"/>
        <v>0</v>
      </c>
      <c r="G68" s="1813">
        <f t="shared" si="6"/>
        <v>0</v>
      </c>
    </row>
    <row r="69" spans="1:7" hidden="1" x14ac:dyDescent="0.25">
      <c r="A69" s="1672"/>
      <c r="B69" s="1686"/>
      <c r="C69" s="1673"/>
      <c r="D69" s="1864"/>
      <c r="E69" s="1560">
        <f t="shared" si="4"/>
        <v>0</v>
      </c>
      <c r="F69" s="1812">
        <f t="shared" si="5"/>
        <v>0</v>
      </c>
      <c r="G69" s="1813">
        <f t="shared" si="6"/>
        <v>0</v>
      </c>
    </row>
    <row r="70" spans="1:7" hidden="1" x14ac:dyDescent="0.25">
      <c r="A70" s="1672"/>
      <c r="B70" s="1686"/>
      <c r="C70" s="1673"/>
      <c r="D70" s="1864"/>
      <c r="E70" s="1560">
        <f t="shared" si="4"/>
        <v>0</v>
      </c>
      <c r="F70" s="1812">
        <f t="shared" si="5"/>
        <v>0</v>
      </c>
      <c r="G70" s="1813">
        <f t="shared" si="6"/>
        <v>0</v>
      </c>
    </row>
    <row r="71" spans="1:7" hidden="1" x14ac:dyDescent="0.25">
      <c r="A71" s="1672"/>
      <c r="B71" s="1686"/>
      <c r="C71" s="1673"/>
      <c r="D71" s="1864"/>
      <c r="E71" s="1560">
        <f t="shared" si="4"/>
        <v>0</v>
      </c>
      <c r="F71" s="1812">
        <f t="shared" si="5"/>
        <v>0</v>
      </c>
      <c r="G71" s="1813">
        <f t="shared" si="6"/>
        <v>0</v>
      </c>
    </row>
    <row r="72" spans="1:7" hidden="1" x14ac:dyDescent="0.25">
      <c r="A72" s="1672"/>
      <c r="B72" s="1686"/>
      <c r="C72" s="1673"/>
      <c r="D72" s="1864"/>
      <c r="E72" s="1560">
        <f t="shared" si="4"/>
        <v>0</v>
      </c>
      <c r="F72" s="1812">
        <f t="shared" si="5"/>
        <v>0</v>
      </c>
      <c r="G72" s="1813">
        <f t="shared" si="6"/>
        <v>0</v>
      </c>
    </row>
    <row r="73" spans="1:7" hidden="1" x14ac:dyDescent="0.25">
      <c r="A73" s="1672"/>
      <c r="B73" s="1686"/>
      <c r="C73" s="1673"/>
      <c r="D73" s="1864"/>
      <c r="E73" s="1560">
        <f t="shared" si="4"/>
        <v>0</v>
      </c>
      <c r="F73" s="1812">
        <f t="shared" si="5"/>
        <v>0</v>
      </c>
      <c r="G73" s="1813">
        <f t="shared" si="6"/>
        <v>0</v>
      </c>
    </row>
    <row r="74" spans="1:7" hidden="1" x14ac:dyDescent="0.25">
      <c r="A74" s="1672"/>
      <c r="B74" s="1686"/>
      <c r="C74" s="1673"/>
      <c r="D74" s="1864"/>
      <c r="E74" s="1560">
        <f t="shared" si="1"/>
        <v>0</v>
      </c>
      <c r="F74" s="1812">
        <f t="shared" si="2"/>
        <v>0</v>
      </c>
      <c r="G74" s="1813">
        <f t="shared" si="3"/>
        <v>0</v>
      </c>
    </row>
    <row r="75" spans="1:7" hidden="1" x14ac:dyDescent="0.25">
      <c r="A75" s="1672"/>
      <c r="B75" s="1686"/>
      <c r="C75" s="1673"/>
      <c r="D75" s="1864"/>
      <c r="E75" s="1560">
        <f t="shared" si="1"/>
        <v>0</v>
      </c>
      <c r="F75" s="1812">
        <f t="shared" si="2"/>
        <v>0</v>
      </c>
      <c r="G75" s="1813">
        <f t="shared" si="3"/>
        <v>0</v>
      </c>
    </row>
    <row r="76" spans="1:7" hidden="1" x14ac:dyDescent="0.25">
      <c r="A76" s="1672"/>
      <c r="B76" s="1686"/>
      <c r="C76" s="1673"/>
      <c r="D76" s="1864"/>
      <c r="E76" s="1560">
        <f t="shared" si="1"/>
        <v>0</v>
      </c>
      <c r="F76" s="1812">
        <f t="shared" si="2"/>
        <v>0</v>
      </c>
      <c r="G76" s="1813">
        <f t="shared" si="3"/>
        <v>0</v>
      </c>
    </row>
    <row r="77" spans="1:7" hidden="1" x14ac:dyDescent="0.25">
      <c r="A77" s="1672"/>
      <c r="B77" s="1686"/>
      <c r="C77" s="1673"/>
      <c r="D77" s="1864"/>
      <c r="E77" s="1560">
        <f t="shared" si="1"/>
        <v>0</v>
      </c>
      <c r="F77" s="1812">
        <f t="shared" si="2"/>
        <v>0</v>
      </c>
      <c r="G77" s="1813">
        <f t="shared" si="3"/>
        <v>0</v>
      </c>
    </row>
    <row r="78" spans="1:7" hidden="1" x14ac:dyDescent="0.25">
      <c r="A78" s="1672"/>
      <c r="B78" s="1686"/>
      <c r="C78" s="1673"/>
      <c r="D78" s="1864"/>
      <c r="E78" s="1560">
        <f t="shared" si="1"/>
        <v>0</v>
      </c>
      <c r="F78" s="1812">
        <f t="shared" si="2"/>
        <v>0</v>
      </c>
      <c r="G78" s="1813">
        <f t="shared" si="3"/>
        <v>0</v>
      </c>
    </row>
    <row r="79" spans="1:7" hidden="1" x14ac:dyDescent="0.25">
      <c r="A79" s="1672"/>
      <c r="B79" s="1686"/>
      <c r="C79" s="1673"/>
      <c r="D79" s="1864"/>
      <c r="E79" s="1560">
        <f t="shared" si="1"/>
        <v>0</v>
      </c>
      <c r="F79" s="1812">
        <f t="shared" si="2"/>
        <v>0</v>
      </c>
      <c r="G79" s="1813">
        <f t="shared" si="3"/>
        <v>0</v>
      </c>
    </row>
    <row r="80" spans="1:7" hidden="1" x14ac:dyDescent="0.25">
      <c r="A80" s="1672"/>
      <c r="B80" s="1686"/>
      <c r="C80" s="1673"/>
      <c r="D80" s="1864"/>
      <c r="E80" s="1560">
        <f t="shared" si="1"/>
        <v>0</v>
      </c>
      <c r="F80" s="1812">
        <f t="shared" si="2"/>
        <v>0</v>
      </c>
      <c r="G80" s="1813">
        <f t="shared" si="3"/>
        <v>0</v>
      </c>
    </row>
    <row r="81" spans="1:7" hidden="1" x14ac:dyDescent="0.25">
      <c r="A81" s="1672"/>
      <c r="B81" s="1686"/>
      <c r="C81" s="1673"/>
      <c r="D81" s="1864"/>
      <c r="E81" s="1560">
        <f t="shared" si="1"/>
        <v>0</v>
      </c>
      <c r="F81" s="1812">
        <f t="shared" si="2"/>
        <v>0</v>
      </c>
      <c r="G81" s="1813">
        <f t="shared" si="3"/>
        <v>0</v>
      </c>
    </row>
    <row r="82" spans="1:7" hidden="1" x14ac:dyDescent="0.25">
      <c r="A82" s="1672"/>
      <c r="B82" s="1686"/>
      <c r="C82" s="1673"/>
      <c r="D82" s="1864"/>
      <c r="E82" s="1560">
        <f t="shared" ref="E82" si="7">IF(D82&lt;=25000,D82,IF(D82&gt;25000,25000,0))</f>
        <v>0</v>
      </c>
      <c r="F82" s="1812">
        <f t="shared" ref="F82" si="8">IF(OR(B82="10-1000-100",B82="10-1000-200",B82="10-1000-300",B82="10-1000-400",B82="10-1000-600",B82="10-1000-800",B82="50-1000-200",B82="10-2100-100",B82="10-2100-200",B82="10-2100-300",B82="10-2100-400",B82="10-2100-600",B82="10-2100-800",B82="20-2100-200",B82="20-2190-100",B82="20-2190-200",B82="20-2190-300",B82="20-2190-400",B82="20-2190-600",B82="20-2190-800",B82="40-2190-100",B82="40-2190-200",B82="40-2190-300",B82="40-2190-400",B82="40-2190-600",B82="40-2190-800",B82="50-2190-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20-2540-800",B82="20-2540-100",B82="20-2540-200",B82="20-2540-300",B82="20-2540-400",B82="20-2540-600",B82="50-2540-200",B82="90-2540-100",B82="90-2540-200",B82="90-2540-300",B82="90-2540-400",B82="90-2540-600",B82="90-2540-800",B82="90-2540-800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20-2560-100",B82="20-2560-200",B82="20-2560-300",B82="20-2560-400",B82="20-2560-600",B82="20-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60-2900-100",B82="60-2900-200",B82="60-2900-300",B82="60-2900-400",B82="60-2900-600",B82="60-2900-800",B82="90-2900-100",B82="90-2900-200",B82="90-2900-300",B82="90-2900-400",B82="90-2900-600",B82="90-2900-800",B82="10-3000-100",B82="10-3000-200",B82="10-3000-300",B82="10-3000-400",B82="10-3000-600",B82="10-3000-800",B82="20-3000-100",B82="20-3000-200",B82="20-3000-300",B82="20-3000-400",B82="20-3000-600",B82="20-3000-800",B82="40-3000-100",B82="40-3000-200",B82="40-3000-300",B82="40-3000-400",B82="40-3000-600",B82="40-3000-800",B82="50-3000-200"),E82,0)</f>
        <v>0</v>
      </c>
      <c r="G82" s="1813">
        <f t="shared" ref="G82" si="9">IF(F82=0,0,D82-F82)</f>
        <v>0</v>
      </c>
    </row>
    <row r="83" spans="1:7" hidden="1" x14ac:dyDescent="0.25">
      <c r="A83" s="1672"/>
      <c r="B83" s="1686"/>
      <c r="C83" s="1673"/>
      <c r="D83" s="1864"/>
      <c r="E83" s="1560">
        <f t="shared" si="1"/>
        <v>0</v>
      </c>
      <c r="F83" s="1812">
        <f t="shared" si="2"/>
        <v>0</v>
      </c>
      <c r="G83" s="1813">
        <f t="shared" si="3"/>
        <v>0</v>
      </c>
    </row>
    <row r="84" spans="1:7" hidden="1" x14ac:dyDescent="0.25">
      <c r="A84" s="1672"/>
      <c r="B84" s="1686"/>
      <c r="C84" s="1673"/>
      <c r="D84" s="1864"/>
      <c r="E84" s="1560">
        <f t="shared" ref="E84:E87" si="10">IF(D84&lt;=25000,D84,IF(D84&gt;25000,25000,0))</f>
        <v>0</v>
      </c>
      <c r="F84" s="1812">
        <f t="shared" ref="F84:F87" si="11">IF(OR(B84="10-1000-100",B84="10-1000-200",B84="10-1000-300",B84="10-1000-400",B84="10-1000-600",B84="10-1000-800",B84="50-1000-200",B84="10-2100-100",B84="10-2100-200",B84="10-2100-300",B84="10-2100-400",B84="10-2100-600",B84="10-2100-800",B84="20-2100-200",B84="20-2190-100",B84="20-2190-200",B84="20-2190-300",B84="20-2190-400",B84="20-2190-600",B84="20-2190-800",B84="40-2190-100",B84="40-2190-200",B84="40-2190-300",B84="40-2190-400",B84="40-2190-600",B84="40-2190-800",B84="50-2190-200",B84="10-2200-100",B84="10-2200-200",B84="10-2200-300",B84="10-2200-400",B84="10-2200-600",B84="10-2200-800",B84="50-2200-200",B84="10-2300-100",B84="10-2300-200",B84="10-2300-300",B84="10-2300-400",B84="10-2300-600",B84="10-2300-800",B84="50-2300-200",B84="80-2300-100",B84="80-2300-200",B84="80-2300-300",B84="80-2300-400",B84="80-2300-600",B84="80-2300-800",B84="10-2400-100",B84="10-2400-200",B84="10-2400-300",B84="10-2400-400",B84="10-2400-600",B84="10-2400-800",B84="50-2400-200",B84="10-2510-100",B84="10-2510-200",B84="10-2510-300",B84="10-2510-400",B84="10-2510-600",B84="10-2510-800",B84="20-2510-100",B84="20-2510-200",B84="20-2510-300",B84="20-2510-400",B84="20-2510-600",B84="20-2510-800",B84="50-2510-200",B84="10-2520-100",B84="10-2520-200",B84="10-2520-300",B84="10-2520-400",B84="10-2520-600",B84="10-2520-800",B84="50-2520-200",B84="10-2540-100",B84="10-2540-200",B84="10-2540-300",B84="10-2540-400",B84="10-2540-600",B84="20-2540-800",B84="20-2540-100",B84="20-2540-200",B84="20-2540-300",B84="20-2540-400",B84="20-2540-600",B84="50-2540-200",B84="90-2540-100",B84="90-2540-200",B84="90-2540-300",B84="90-2540-400",B84="90-2540-600",B84="90-2540-800",B84="90-2540-800",B84="10-2550-100",B84="10-2550-200",B84="10-2550-300",B84="10-2550-400",B84="10-2550-600",B84="10-2550-800",B84="20-2550-100",B84="20-2550-200",B84="20-2550-300",B84="20-2550-400",B84="20-2550-600",B84="20-2550-800",B84="40-2550-100",B84="40-2550-200",B84="40-2550-300",B84="40-2550-400",B84="40-2550-600",B84="40-2550-800",B84="50-2550-200",B84="10-2560-100",B84="10-2560-200",B84="10-2560-300",B84="10-2560-400",B84="10-2560-600",B84="10-2560-800",B84="20-2560-100",B84="20-2560-200",B84="20-2560-300",B84="20-2560-400",B84="20-2560-600",B84="20-2560-800",B84="50-2560-200",B84="10-2570-100",B84="10-2570-200",B84="10-2570-300",B84="10-2570-400",B84="10-2570-600",B84="10-2570-800",B84="50-2570-200",B84="10-2610-100",B84="10-2610-200",B84="10-2610-300",B84="10-2610-400",B84="10-2610-600",B84="10-2610-800",B84="50-2610-200",B84="10-2620-100",B84="10-2620-200",B84="10-2620-300",B84="10-2620-400",B84="10-2620-600",B84="10-2620-800",B84="50-2620-200",B84="10-2630-100",B84="10-2630-200",B84="10-2630-300",B84="10-2630-400",B84="10-2630-600",B84="10-2630-800",B84="50-2630-200",B84="10-2640-100",B84="10-2640-200",B84="10-2640-300",B84="10-2640-400",B84="10-2640-600",B84="10-2640-800",B84="50-2640-200",B84="10-2660-100",B84="10-2660-200",B84="10-2660-300",B84="10-2660-400",B84="10-2660-600",B84="10-2660-800",B84="50-2660-200",B84="10-2900-100",B84="10-2900-200",B84="10-2900-300",B84="10-2900-400",B84="10-2900-600",B84="10-2900-800",B84="20-2900-100",B84="20-2900-200",B84="20-2900-300",B84="20-2900-400",B84="20-2900-600",B84="20-2900-800",B84="40-2900-100",B84="40-2900-200",B84="40-2900-300",B84="40-2900-400",B84="40-2900-600",B84="40-2900-800",B84="50-2900-200",B84="60-2900-100",B84="60-2900-200",B84="60-2900-300",B84="60-2900-400",B84="60-2900-600",B84="60-2900-800",B84="90-2900-100",B84="90-2900-200",B84="90-2900-300",B84="90-2900-400",B84="90-2900-600",B84="90-2900-800",B84="10-3000-100",B84="10-3000-200",B84="10-3000-300",B84="10-3000-400",B84="10-3000-600",B84="10-3000-800",B84="20-3000-100",B84="20-3000-200",B84="20-3000-300",B84="20-3000-400",B84="20-3000-600",B84="20-3000-800",B84="40-3000-100",B84="40-3000-200",B84="40-3000-300",B84="40-3000-400",B84="40-3000-600",B84="40-3000-800",B84="50-3000-200"),E84,0)</f>
        <v>0</v>
      </c>
      <c r="G84" s="1813">
        <f t="shared" ref="G84:G87" si="12">IF(F84=0,0,D84-F84)</f>
        <v>0</v>
      </c>
    </row>
    <row r="85" spans="1:7" hidden="1" x14ac:dyDescent="0.25">
      <c r="A85" s="1672"/>
      <c r="B85" s="1686"/>
      <c r="C85" s="1673"/>
      <c r="D85" s="1864"/>
      <c r="E85" s="1560">
        <f t="shared" si="10"/>
        <v>0</v>
      </c>
      <c r="F85" s="1812">
        <f t="shared" si="11"/>
        <v>0</v>
      </c>
      <c r="G85" s="1813">
        <f t="shared" si="12"/>
        <v>0</v>
      </c>
    </row>
    <row r="86" spans="1:7" hidden="1" x14ac:dyDescent="0.25">
      <c r="A86" s="1672"/>
      <c r="B86" s="1686"/>
      <c r="C86" s="1673"/>
      <c r="D86" s="1864"/>
      <c r="E86" s="1560">
        <f t="shared" si="10"/>
        <v>0</v>
      </c>
      <c r="F86" s="1812">
        <f t="shared" si="11"/>
        <v>0</v>
      </c>
      <c r="G86" s="1813">
        <f t="shared" si="12"/>
        <v>0</v>
      </c>
    </row>
    <row r="87" spans="1:7" hidden="1" x14ac:dyDescent="0.25">
      <c r="A87" s="1672"/>
      <c r="B87" s="1686"/>
      <c r="C87" s="1673"/>
      <c r="D87" s="1864"/>
      <c r="E87" s="1560">
        <f t="shared" si="10"/>
        <v>0</v>
      </c>
      <c r="F87" s="1812">
        <f t="shared" si="11"/>
        <v>0</v>
      </c>
      <c r="G87" s="1813">
        <f t="shared" si="12"/>
        <v>0</v>
      </c>
    </row>
    <row r="88" spans="1:7" hidden="1" x14ac:dyDescent="0.25">
      <c r="A88" s="1672"/>
      <c r="B88" s="1686"/>
      <c r="C88" s="1673"/>
      <c r="D88" s="1864"/>
      <c r="E88" s="1560">
        <f t="shared" ref="E88" si="13">IF(D88&lt;=25000,D88,IF(D88&gt;25000,25000,0))</f>
        <v>0</v>
      </c>
      <c r="F88" s="1812">
        <f t="shared" ref="F88" si="14">IF(OR(B88="10-1000-100",B88="10-1000-200",B88="10-1000-300",B88="10-1000-400",B88="10-1000-600",B88="10-1000-800",B88="50-1000-200",B88="10-2100-100",B88="10-2100-200",B88="10-2100-300",B88="10-2100-400",B88="10-2100-600",B88="10-2100-800",B88="20-2100-200",B88="20-2190-100",B88="20-2190-200",B88="20-2190-300",B88="20-2190-400",B88="20-2190-600",B88="20-2190-800",B88="40-2190-100",B88="40-2190-200",B88="40-2190-300",B88="40-2190-400",B88="40-2190-600",B88="40-2190-800",B88="50-2190-200",B88="10-2200-100",B88="10-2200-200",B88="10-2200-300",B88="10-2200-400",B88="10-2200-600",B88="10-2200-800",B88="50-2200-200",B88="10-2300-100",B88="10-2300-200",B88="10-2300-300",B88="10-2300-400",B88="10-2300-600",B88="10-2300-800",B88="50-2300-200",B88="80-2300-100",B88="80-2300-200",B88="80-2300-300",B88="80-2300-400",B88="80-2300-600",B88="80-2300-800",B88="10-2400-100",B88="10-2400-200",B88="10-2400-300",B88="10-2400-400",B88="10-2400-600",B88="10-2400-800",B88="50-2400-200",B88="10-2510-100",B88="10-2510-200",B88="10-2510-300",B88="10-2510-400",B88="10-2510-600",B88="10-2510-800",B88="20-2510-100",B88="20-2510-200",B88="20-2510-300",B88="20-2510-400",B88="20-2510-600",B88="20-2510-800",B88="50-2510-200",B88="10-2520-100",B88="10-2520-200",B88="10-2520-300",B88="10-2520-400",B88="10-2520-600",B88="10-2520-800",B88="50-2520-200",B88="10-2540-100",B88="10-2540-200",B88="10-2540-300",B88="10-2540-400",B88="10-2540-600",B88="20-2540-800",B88="20-2540-100",B88="20-2540-200",B88="20-2540-300",B88="20-2540-400",B88="20-2540-600",B88="50-2540-200",B88="90-2540-100",B88="90-2540-200",B88="90-2540-300",B88="90-2540-400",B88="90-2540-600",B88="90-2540-800",B88="90-2540-800",B88="10-2550-100",B88="10-2550-200",B88="10-2550-300",B88="10-2550-400",B88="10-2550-600",B88="10-2550-800",B88="20-2550-100",B88="20-2550-200",B88="20-2550-300",B88="20-2550-400",B88="20-2550-600",B88="20-2550-800",B88="40-2550-100",B88="40-2550-200",B88="40-2550-300",B88="40-2550-400",B88="40-2550-600",B88="40-2550-800",B88="50-2550-200",B88="10-2560-100",B88="10-2560-200",B88="10-2560-300",B88="10-2560-400",B88="10-2560-600",B88="10-2560-800",B88="20-2560-100",B88="20-2560-200",B88="20-2560-300",B88="20-2560-400",B88="20-2560-600",B88="20-2560-800",B88="50-2560-200",B88="10-2570-100",B88="10-2570-200",B88="10-2570-300",B88="10-2570-400",B88="10-2570-600",B88="10-2570-800",B88="50-2570-200",B88="10-2610-100",B88="10-2610-200",B88="10-2610-300",B88="10-2610-400",B88="10-2610-600",B88="10-2610-800",B88="50-2610-200",B88="10-2620-100",B88="10-2620-200",B88="10-2620-300",B88="10-2620-400",B88="10-2620-600",B88="10-2620-800",B88="50-2620-200",B88="10-2630-100",B88="10-2630-200",B88="10-2630-300",B88="10-2630-400",B88="10-2630-600",B88="10-2630-800",B88="50-2630-200",B88="10-2640-100",B88="10-2640-200",B88="10-2640-300",B88="10-2640-400",B88="10-2640-600",B88="10-2640-800",B88="50-2640-200",B88="10-2660-100",B88="10-2660-200",B88="10-2660-300",B88="10-2660-400",B88="10-2660-600",B88="10-2660-800",B88="50-2660-200",B88="10-2900-100",B88="10-2900-200",B88="10-2900-300",B88="10-2900-400",B88="10-2900-600",B88="10-2900-800",B88="20-2900-100",B88="20-2900-200",B88="20-2900-300",B88="20-2900-400",B88="20-2900-600",B88="20-2900-800",B88="40-2900-100",B88="40-2900-200",B88="40-2900-300",B88="40-2900-400",B88="40-2900-600",B88="40-2900-800",B88="50-2900-200",B88="60-2900-100",B88="60-2900-200",B88="60-2900-300",B88="60-2900-400",B88="60-2900-600",B88="60-2900-800",B88="90-2900-100",B88="90-2900-200",B88="90-2900-300",B88="90-2900-400",B88="90-2900-600",B88="90-2900-800",B88="10-3000-100",B88="10-3000-200",B88="10-3000-300",B88="10-3000-400",B88="10-3000-600",B88="10-3000-800",B88="20-3000-100",B88="20-3000-200",B88="20-3000-300",B88="20-3000-400",B88="20-3000-600",B88="20-3000-800",B88="40-3000-100",B88="40-3000-200",B88="40-3000-300",B88="40-3000-400",B88="40-3000-600",B88="40-3000-800",B88="50-3000-200"),E88,0)</f>
        <v>0</v>
      </c>
      <c r="G88" s="1813">
        <f t="shared" ref="G88" si="15">IF(F88=0,0,D88-F88)</f>
        <v>0</v>
      </c>
    </row>
    <row r="89" spans="1:7" hidden="1" x14ac:dyDescent="0.25">
      <c r="A89" s="1672"/>
      <c r="B89" s="1686"/>
      <c r="C89" s="1673"/>
      <c r="D89" s="1864"/>
      <c r="E89" s="1560">
        <f t="shared" ref="E89:E101" si="16">IF(D89&lt;=25000,D89,IF(D89&gt;25000,25000,0))</f>
        <v>0</v>
      </c>
      <c r="F89" s="1812">
        <f t="shared" ref="F89:F101" si="17">IF(OR(B89="10-1000-100",B89="10-1000-200",B89="10-1000-300",B89="10-1000-400",B89="10-1000-600",B89="10-1000-800",B89="50-1000-200",B89="10-2100-100",B89="10-2100-200",B89="10-2100-300",B89="10-2100-400",B89="10-2100-600",B89="10-2100-800",B89="20-2100-200",B89="20-2190-100",B89="20-2190-200",B89="20-2190-300",B89="20-2190-400",B89="20-2190-600",B89="20-2190-800",B89="40-2190-100",B89="40-2190-200",B89="40-2190-300",B89="40-2190-400",B89="40-2190-600",B89="40-2190-800",B89="50-2190-200",B89="10-2200-100",B89="10-2200-200",B89="10-2200-300",B89="10-2200-400",B89="10-2200-600",B89="10-2200-800",B89="50-2200-200",B89="10-2300-100",B89="10-2300-200",B89="10-2300-300",B89="10-2300-400",B89="10-2300-600",B89="10-2300-800",B89="50-2300-200",B89="80-2300-100",B89="80-2300-200",B89="80-2300-300",B89="80-2300-400",B89="80-2300-600",B89="80-2300-800",B89="10-2400-100",B89="10-2400-200",B89="10-2400-300",B89="10-2400-400",B89="10-2400-600",B89="10-2400-800",B89="50-2400-200",B89="10-2510-100",B89="10-2510-200",B89="10-2510-300",B89="10-2510-400",B89="10-2510-600",B89="10-2510-800",B89="20-2510-100",B89="20-2510-200",B89="20-2510-300",B89="20-2510-400",B89="20-2510-600",B89="20-2510-800",B89="50-2510-200",B89="10-2520-100",B89="10-2520-200",B89="10-2520-300",B89="10-2520-400",B89="10-2520-600",B89="10-2520-800",B89="50-2520-200",B89="10-2540-100",B89="10-2540-200",B89="10-2540-300",B89="10-2540-400",B89="10-2540-600",B89="20-2540-800",B89="20-2540-100",B89="20-2540-200",B89="20-2540-300",B89="20-2540-400",B89="20-2540-600",B89="50-2540-200",B89="90-2540-100",B89="90-2540-200",B89="90-2540-300",B89="90-2540-400",B89="90-2540-600",B89="90-2540-800",B89="90-2540-800",B89="10-2550-100",B89="10-2550-200",B89="10-2550-300",B89="10-2550-400",B89="10-2550-600",B89="10-2550-800",B89="20-2550-100",B89="20-2550-200",B89="20-2550-300",B89="20-2550-400",B89="20-2550-600",B89="20-2550-800",B89="40-2550-100",B89="40-2550-200",B89="40-2550-300",B89="40-2550-400",B89="40-2550-600",B89="40-2550-800",B89="50-2550-200",B89="10-2560-100",B89="10-2560-200",B89="10-2560-300",B89="10-2560-400",B89="10-2560-600",B89="10-2560-800",B89="20-2560-100",B89="20-2560-200",B89="20-2560-300",B89="20-2560-400",B89="20-2560-600",B89="20-2560-800",B89="50-2560-200",B89="10-2570-100",B89="10-2570-200",B89="10-2570-300",B89="10-2570-400",B89="10-2570-600",B89="10-2570-800",B89="50-2570-200",B89="10-2610-100",B89="10-2610-200",B89="10-2610-300",B89="10-2610-400",B89="10-2610-600",B89="10-2610-800",B89="50-2610-200",B89="10-2620-100",B89="10-2620-200",B89="10-2620-300",B89="10-2620-400",B89="10-2620-600",B89="10-2620-800",B89="50-2620-200",B89="10-2630-100",B89="10-2630-200",B89="10-2630-300",B89="10-2630-400",B89="10-2630-600",B89="10-2630-800",B89="50-2630-200",B89="10-2640-100",B89="10-2640-200",B89="10-2640-300",B89="10-2640-400",B89="10-2640-600",B89="10-2640-800",B89="50-2640-200",B89="10-2660-100",B89="10-2660-200",B89="10-2660-300",B89="10-2660-400",B89="10-2660-600",B89="10-2660-800",B89="50-2660-200",B89="10-2900-100",B89="10-2900-200",B89="10-2900-300",B89="10-2900-400",B89="10-2900-600",B89="10-2900-800",B89="20-2900-100",B89="20-2900-200",B89="20-2900-300",B89="20-2900-400",B89="20-2900-600",B89="20-2900-800",B89="40-2900-100",B89="40-2900-200",B89="40-2900-300",B89="40-2900-400",B89="40-2900-600",B89="40-2900-800",B89="50-2900-200",B89="60-2900-100",B89="60-2900-200",B89="60-2900-300",B89="60-2900-400",B89="60-2900-600",B89="60-2900-800",B89="90-2900-100",B89="90-2900-200",B89="90-2900-300",B89="90-2900-400",B89="90-2900-600",B89="90-2900-800",B89="10-3000-100",B89="10-3000-200",B89="10-3000-300",B89="10-3000-400",B89="10-3000-600",B89="10-3000-800",B89="20-3000-100",B89="20-3000-200",B89="20-3000-300",B89="20-3000-400",B89="20-3000-600",B89="20-3000-800",B89="40-3000-100",B89="40-3000-200",B89="40-3000-300",B89="40-3000-400",B89="40-3000-600",B89="40-3000-800",B89="50-3000-200"),E89,0)</f>
        <v>0</v>
      </c>
      <c r="G89" s="1813">
        <f t="shared" ref="G89:G101" si="18">IF(F89=0,0,D89-F89)</f>
        <v>0</v>
      </c>
    </row>
    <row r="90" spans="1:7" hidden="1" x14ac:dyDescent="0.25">
      <c r="A90" s="1672"/>
      <c r="B90" s="1686"/>
      <c r="C90" s="1673"/>
      <c r="D90" s="1864"/>
      <c r="E90" s="1560">
        <f t="shared" si="16"/>
        <v>0</v>
      </c>
      <c r="F90" s="1812">
        <f t="shared" si="17"/>
        <v>0</v>
      </c>
      <c r="G90" s="1813">
        <f t="shared" si="18"/>
        <v>0</v>
      </c>
    </row>
    <row r="91" spans="1:7" hidden="1" x14ac:dyDescent="0.25">
      <c r="A91" s="1672"/>
      <c r="B91" s="1686"/>
      <c r="C91" s="1673"/>
      <c r="D91" s="1864"/>
      <c r="E91" s="1560">
        <f t="shared" si="16"/>
        <v>0</v>
      </c>
      <c r="F91" s="1812">
        <f t="shared" si="17"/>
        <v>0</v>
      </c>
      <c r="G91" s="1813">
        <f t="shared" si="18"/>
        <v>0</v>
      </c>
    </row>
    <row r="92" spans="1:7" hidden="1" x14ac:dyDescent="0.25">
      <c r="A92" s="1672"/>
      <c r="B92" s="1686"/>
      <c r="C92" s="1673"/>
      <c r="D92" s="1864"/>
      <c r="E92" s="1560">
        <f t="shared" si="16"/>
        <v>0</v>
      </c>
      <c r="F92" s="1812">
        <f t="shared" si="17"/>
        <v>0</v>
      </c>
      <c r="G92" s="1813">
        <f t="shared" si="18"/>
        <v>0</v>
      </c>
    </row>
    <row r="93" spans="1:7" hidden="1" x14ac:dyDescent="0.25">
      <c r="A93" s="1672"/>
      <c r="B93" s="1686"/>
      <c r="C93" s="1673"/>
      <c r="D93" s="1864"/>
      <c r="E93" s="1560">
        <f t="shared" si="16"/>
        <v>0</v>
      </c>
      <c r="F93" s="1812">
        <f t="shared" si="17"/>
        <v>0</v>
      </c>
      <c r="G93" s="1813">
        <f t="shared" si="18"/>
        <v>0</v>
      </c>
    </row>
    <row r="94" spans="1:7" hidden="1" x14ac:dyDescent="0.25">
      <c r="A94" s="1672"/>
      <c r="B94" s="1686"/>
      <c r="C94" s="1673"/>
      <c r="D94" s="1864"/>
      <c r="E94" s="1560">
        <f t="shared" si="16"/>
        <v>0</v>
      </c>
      <c r="F94" s="1812">
        <f t="shared" si="17"/>
        <v>0</v>
      </c>
      <c r="G94" s="1813">
        <f t="shared" si="18"/>
        <v>0</v>
      </c>
    </row>
    <row r="95" spans="1:7" hidden="1" x14ac:dyDescent="0.25">
      <c r="A95" s="1672"/>
      <c r="B95" s="1686"/>
      <c r="C95" s="1673"/>
      <c r="D95" s="1864"/>
      <c r="E95" s="1560">
        <f t="shared" si="16"/>
        <v>0</v>
      </c>
      <c r="F95" s="1812">
        <f t="shared" si="17"/>
        <v>0</v>
      </c>
      <c r="G95" s="1813">
        <f t="shared" si="18"/>
        <v>0</v>
      </c>
    </row>
    <row r="96" spans="1:7" hidden="1" x14ac:dyDescent="0.25">
      <c r="A96" s="1672"/>
      <c r="B96" s="1686"/>
      <c r="C96" s="1673"/>
      <c r="D96" s="1864"/>
      <c r="E96" s="1560">
        <f t="shared" si="16"/>
        <v>0</v>
      </c>
      <c r="F96" s="1812">
        <f t="shared" si="17"/>
        <v>0</v>
      </c>
      <c r="G96" s="1813">
        <f t="shared" si="18"/>
        <v>0</v>
      </c>
    </row>
    <row r="97" spans="1:7" hidden="1" x14ac:dyDescent="0.25">
      <c r="A97" s="1672"/>
      <c r="B97" s="1686"/>
      <c r="C97" s="1673"/>
      <c r="D97" s="1864"/>
      <c r="E97" s="1560">
        <f t="shared" si="16"/>
        <v>0</v>
      </c>
      <c r="F97" s="1812">
        <f t="shared" si="17"/>
        <v>0</v>
      </c>
      <c r="G97" s="1813">
        <f t="shared" si="18"/>
        <v>0</v>
      </c>
    </row>
    <row r="98" spans="1:7" hidden="1" x14ac:dyDescent="0.25">
      <c r="A98" s="1672"/>
      <c r="B98" s="1686"/>
      <c r="C98" s="1673"/>
      <c r="D98" s="1864"/>
      <c r="E98" s="1560">
        <f t="shared" si="16"/>
        <v>0</v>
      </c>
      <c r="F98" s="1812">
        <f t="shared" si="17"/>
        <v>0</v>
      </c>
      <c r="G98" s="1813">
        <f t="shared" si="18"/>
        <v>0</v>
      </c>
    </row>
    <row r="99" spans="1:7" hidden="1" x14ac:dyDescent="0.25">
      <c r="A99" s="1672"/>
      <c r="B99" s="1686"/>
      <c r="C99" s="1673"/>
      <c r="D99" s="1864"/>
      <c r="E99" s="1560">
        <f t="shared" si="16"/>
        <v>0</v>
      </c>
      <c r="F99" s="1812">
        <f t="shared" si="17"/>
        <v>0</v>
      </c>
      <c r="G99" s="1813">
        <f t="shared" si="18"/>
        <v>0</v>
      </c>
    </row>
    <row r="100" spans="1:7" hidden="1" x14ac:dyDescent="0.25">
      <c r="A100" s="1672"/>
      <c r="B100" s="1686"/>
      <c r="C100" s="1673"/>
      <c r="D100" s="1864"/>
      <c r="E100" s="1560">
        <f t="shared" si="16"/>
        <v>0</v>
      </c>
      <c r="F100" s="1812">
        <f t="shared" si="17"/>
        <v>0</v>
      </c>
      <c r="G100" s="1813">
        <f t="shared" si="18"/>
        <v>0</v>
      </c>
    </row>
    <row r="101" spans="1:7" hidden="1" x14ac:dyDescent="0.25">
      <c r="A101" s="1672"/>
      <c r="B101" s="1686"/>
      <c r="C101" s="1673"/>
      <c r="D101" s="1864"/>
      <c r="E101" s="1560">
        <f t="shared" si="16"/>
        <v>0</v>
      </c>
      <c r="F101" s="1812">
        <f t="shared" si="17"/>
        <v>0</v>
      </c>
      <c r="G101" s="1813">
        <f t="shared" si="18"/>
        <v>0</v>
      </c>
    </row>
    <row r="102" spans="1:7" hidden="1" x14ac:dyDescent="0.25">
      <c r="A102" s="1672"/>
      <c r="B102" s="1686"/>
      <c r="C102" s="1673"/>
      <c r="D102" s="1864"/>
      <c r="E102" s="1560">
        <f t="shared" ref="E102:E114" si="19">IF(D102&lt;=25000,D102,IF(D102&gt;25000,25000,0))</f>
        <v>0</v>
      </c>
      <c r="F102" s="1812">
        <f t="shared" ref="F102:F114" si="20">IF(OR(B102="10-1000-100",B102="10-1000-200",B102="10-1000-300",B102="10-1000-400",B102="10-1000-600",B102="10-1000-800",B102="50-1000-200",B102="10-2100-100",B102="10-2100-200",B102="10-2100-300",B102="10-2100-400",B102="10-2100-600",B102="10-2100-800",B102="20-2100-200",B102="20-2190-100",B102="20-2190-200",B102="20-2190-300",B102="20-2190-400",B102="20-2190-600",B102="20-2190-800",B102="40-2190-100",B102="40-2190-200",B102="40-2190-300",B102="40-2190-400",B102="40-2190-600",B102="40-2190-800",B102="50-2190-200",B102="10-2200-100",B102="10-2200-200",B102="10-2200-300",B102="10-2200-400",B102="10-2200-600",B102="10-2200-800",B102="50-2200-200",B102="10-2300-100",B102="10-2300-200",B102="10-2300-300",B102="10-2300-400",B102="10-2300-600",B102="10-2300-800",B102="50-2300-200",B102="80-2300-100",B102="80-2300-200",B102="80-2300-300",B102="80-2300-400",B102="80-2300-600",B102="80-2300-800",B102="10-2400-100",B102="10-2400-200",B102="10-2400-300",B102="10-2400-400",B102="10-2400-600",B102="10-2400-800",B102="50-2400-200",B102="10-2510-100",B102="10-2510-200",B102="10-2510-300",B102="10-2510-400",B102="10-2510-600",B102="10-2510-800",B102="20-2510-100",B102="20-2510-200",B102="20-2510-300",B102="20-2510-400",B102="20-2510-600",B102="20-2510-800",B102="50-2510-200",B102="10-2520-100",B102="10-2520-200",B102="10-2520-300",B102="10-2520-400",B102="10-2520-600",B102="10-2520-800",B102="50-2520-200",B102="10-2540-100",B102="10-2540-200",B102="10-2540-300",B102="10-2540-400",B102="10-2540-600",B102="20-2540-800",B102="20-2540-100",B102="20-2540-200",B102="20-2540-300",B102="20-2540-400",B102="20-2540-600",B102="50-2540-200",B102="90-2540-100",B102="90-2540-200",B102="90-2540-300",B102="90-2540-400",B102="90-2540-600",B102="90-2540-800",B102="90-2540-800",B102="10-2550-100",B102="10-2550-200",B102="10-2550-300",B102="10-2550-400",B102="10-2550-600",B102="10-2550-800",B102="20-2550-100",B102="20-2550-200",B102="20-2550-300",B102="20-2550-400",B102="20-2550-600",B102="20-2550-800",B102="40-2550-100",B102="40-2550-200",B102="40-2550-300",B102="40-2550-400",B102="40-2550-600",B102="40-2550-800",B102="50-2550-200",B102="10-2560-100",B102="10-2560-200",B102="10-2560-300",B102="10-2560-400",B102="10-2560-600",B102="10-2560-800",B102="20-2560-100",B102="20-2560-200",B102="20-2560-300",B102="20-2560-400",B102="20-2560-600",B102="20-2560-800",B102="50-2560-200",B102="10-2570-100",B102="10-2570-200",B102="10-2570-300",B102="10-2570-400",B102="10-2570-600",B102="10-2570-800",B102="50-2570-200",B102="10-2610-100",B102="10-2610-200",B102="10-2610-300",B102="10-2610-400",B102="10-2610-600",B102="10-2610-800",B102="50-2610-200",B102="10-2620-100",B102="10-2620-200",B102="10-2620-300",B102="10-2620-400",B102="10-2620-600",B102="10-2620-800",B102="50-2620-200",B102="10-2630-100",B102="10-2630-200",B102="10-2630-300",B102="10-2630-400",B102="10-2630-600",B102="10-2630-800",B102="50-2630-200",B102="10-2640-100",B102="10-2640-200",B102="10-2640-300",B102="10-2640-400",B102="10-2640-600",B102="10-2640-800",B102="50-2640-200",B102="10-2660-100",B102="10-2660-200",B102="10-2660-300",B102="10-2660-400",B102="10-2660-600",B102="10-2660-800",B102="50-2660-200",B102="10-2900-100",B102="10-2900-200",B102="10-2900-300",B102="10-2900-400",B102="10-2900-600",B102="10-2900-800",B102="20-2900-100",B102="20-2900-200",B102="20-2900-300",B102="20-2900-400",B102="20-2900-600",B102="20-2900-800",B102="40-2900-100",B102="40-2900-200",B102="40-2900-300",B102="40-2900-400",B102="40-2900-600",B102="40-2900-800",B102="50-2900-200",B102="60-2900-100",B102="60-2900-200",B102="60-2900-300",B102="60-2900-400",B102="60-2900-600",B102="60-2900-800",B102="90-2900-100",B102="90-2900-200",B102="90-2900-300",B102="90-2900-400",B102="90-2900-600",B102="90-2900-800",B102="10-3000-100",B102="10-3000-200",B102="10-3000-300",B102="10-3000-400",B102="10-3000-600",B102="10-3000-800",B102="20-3000-100",B102="20-3000-200",B102="20-3000-300",B102="20-3000-400",B102="20-3000-600",B102="20-3000-800",B102="40-3000-100",B102="40-3000-200",B102="40-3000-300",B102="40-3000-400",B102="40-3000-600",B102="40-3000-800",B102="50-3000-200"),E102,0)</f>
        <v>0</v>
      </c>
      <c r="G102" s="1813">
        <f t="shared" ref="G102:G114" si="21">IF(F102=0,0,D102-F102)</f>
        <v>0</v>
      </c>
    </row>
    <row r="103" spans="1:7" hidden="1" x14ac:dyDescent="0.25">
      <c r="A103" s="1672"/>
      <c r="B103" s="1686"/>
      <c r="C103" s="1673"/>
      <c r="D103" s="1864"/>
      <c r="E103" s="1560">
        <f t="shared" si="19"/>
        <v>0</v>
      </c>
      <c r="F103" s="1812">
        <f t="shared" si="20"/>
        <v>0</v>
      </c>
      <c r="G103" s="1813">
        <f t="shared" si="21"/>
        <v>0</v>
      </c>
    </row>
    <row r="104" spans="1:7" hidden="1" x14ac:dyDescent="0.25">
      <c r="A104" s="1672"/>
      <c r="B104" s="1686"/>
      <c r="C104" s="1673"/>
      <c r="D104" s="1864"/>
      <c r="E104" s="1560">
        <f t="shared" si="19"/>
        <v>0</v>
      </c>
      <c r="F104" s="1812">
        <f t="shared" si="20"/>
        <v>0</v>
      </c>
      <c r="G104" s="1813">
        <f t="shared" si="21"/>
        <v>0</v>
      </c>
    </row>
    <row r="105" spans="1:7" hidden="1" x14ac:dyDescent="0.25">
      <c r="A105" s="1672"/>
      <c r="B105" s="1686"/>
      <c r="C105" s="1673"/>
      <c r="D105" s="1864"/>
      <c r="E105" s="1560">
        <f t="shared" si="19"/>
        <v>0</v>
      </c>
      <c r="F105" s="1812">
        <f t="shared" si="20"/>
        <v>0</v>
      </c>
      <c r="G105" s="1813">
        <f t="shared" si="21"/>
        <v>0</v>
      </c>
    </row>
    <row r="106" spans="1:7" hidden="1" x14ac:dyDescent="0.25">
      <c r="A106" s="1672"/>
      <c r="B106" s="1686"/>
      <c r="C106" s="1673"/>
      <c r="D106" s="1864"/>
      <c r="E106" s="1560">
        <f t="shared" si="19"/>
        <v>0</v>
      </c>
      <c r="F106" s="1812">
        <f t="shared" si="20"/>
        <v>0</v>
      </c>
      <c r="G106" s="1813">
        <f t="shared" si="21"/>
        <v>0</v>
      </c>
    </row>
    <row r="107" spans="1:7" hidden="1" x14ac:dyDescent="0.25">
      <c r="A107" s="1672"/>
      <c r="B107" s="1686"/>
      <c r="C107" s="1673"/>
      <c r="D107" s="1864"/>
      <c r="E107" s="1560">
        <f t="shared" si="19"/>
        <v>0</v>
      </c>
      <c r="F107" s="1812">
        <f t="shared" si="20"/>
        <v>0</v>
      </c>
      <c r="G107" s="1813">
        <f t="shared" si="21"/>
        <v>0</v>
      </c>
    </row>
    <row r="108" spans="1:7" hidden="1" x14ac:dyDescent="0.25">
      <c r="A108" s="1672"/>
      <c r="B108" s="1686"/>
      <c r="C108" s="1673"/>
      <c r="D108" s="1864"/>
      <c r="E108" s="1560">
        <f t="shared" si="19"/>
        <v>0</v>
      </c>
      <c r="F108" s="1812">
        <f t="shared" si="20"/>
        <v>0</v>
      </c>
      <c r="G108" s="1813">
        <f t="shared" si="21"/>
        <v>0</v>
      </c>
    </row>
    <row r="109" spans="1:7" hidden="1" x14ac:dyDescent="0.25">
      <c r="A109" s="1672"/>
      <c r="B109" s="1686"/>
      <c r="C109" s="1673"/>
      <c r="D109" s="1864"/>
      <c r="E109" s="1560">
        <f t="shared" si="19"/>
        <v>0</v>
      </c>
      <c r="F109" s="1812">
        <f t="shared" si="20"/>
        <v>0</v>
      </c>
      <c r="G109" s="1813">
        <f t="shared" si="21"/>
        <v>0</v>
      </c>
    </row>
    <row r="110" spans="1:7" hidden="1" x14ac:dyDescent="0.25">
      <c r="A110" s="1672"/>
      <c r="B110" s="1686"/>
      <c r="C110" s="1673"/>
      <c r="D110" s="1864"/>
      <c r="E110" s="1560">
        <f t="shared" si="19"/>
        <v>0</v>
      </c>
      <c r="F110" s="1812">
        <f t="shared" si="20"/>
        <v>0</v>
      </c>
      <c r="G110" s="1813">
        <f t="shared" si="21"/>
        <v>0</v>
      </c>
    </row>
    <row r="111" spans="1:7" hidden="1" x14ac:dyDescent="0.25">
      <c r="A111" s="1672"/>
      <c r="B111" s="1686"/>
      <c r="C111" s="1673"/>
      <c r="D111" s="1864"/>
      <c r="E111" s="1560">
        <f t="shared" si="19"/>
        <v>0</v>
      </c>
      <c r="F111" s="1812">
        <f t="shared" si="20"/>
        <v>0</v>
      </c>
      <c r="G111" s="1813">
        <f t="shared" si="21"/>
        <v>0</v>
      </c>
    </row>
    <row r="112" spans="1:7" hidden="1" x14ac:dyDescent="0.25">
      <c r="A112" s="1672"/>
      <c r="B112" s="1686"/>
      <c r="C112" s="1673"/>
      <c r="D112" s="1864"/>
      <c r="E112" s="1560">
        <f t="shared" si="19"/>
        <v>0</v>
      </c>
      <c r="F112" s="1812">
        <f t="shared" si="20"/>
        <v>0</v>
      </c>
      <c r="G112" s="1813">
        <f t="shared" si="21"/>
        <v>0</v>
      </c>
    </row>
    <row r="113" spans="1:7" hidden="1" x14ac:dyDescent="0.25">
      <c r="A113" s="1672"/>
      <c r="B113" s="1686"/>
      <c r="C113" s="1673"/>
      <c r="D113" s="1864"/>
      <c r="E113" s="1560">
        <f t="shared" si="19"/>
        <v>0</v>
      </c>
      <c r="F113" s="1812">
        <f t="shared" si="20"/>
        <v>0</v>
      </c>
      <c r="G113" s="1813">
        <f t="shared" si="21"/>
        <v>0</v>
      </c>
    </row>
    <row r="114" spans="1:7" hidden="1" x14ac:dyDescent="0.25">
      <c r="A114" s="1672"/>
      <c r="B114" s="1686"/>
      <c r="C114" s="1673"/>
      <c r="D114" s="1864"/>
      <c r="E114" s="1560">
        <f t="shared" si="19"/>
        <v>0</v>
      </c>
      <c r="F114" s="1812">
        <f t="shared" si="20"/>
        <v>0</v>
      </c>
      <c r="G114" s="1813">
        <f t="shared" si="21"/>
        <v>0</v>
      </c>
    </row>
    <row r="115" spans="1:7" hidden="1" x14ac:dyDescent="0.25">
      <c r="A115" s="1672"/>
      <c r="B115" s="1686"/>
      <c r="C115" s="1673"/>
      <c r="D115" s="1864"/>
      <c r="E115" s="1560">
        <f t="shared" ref="E115:E123" si="22">IF(D115&lt;=25000,D115,IF(D115&gt;25000,25000,0))</f>
        <v>0</v>
      </c>
      <c r="F115" s="1812">
        <f t="shared" ref="F115:F123" si="23">IF(OR(B115="10-1000-100",B115="10-1000-200",B115="10-1000-300",B115="10-1000-400",B115="10-1000-600",B115="10-1000-800",B115="50-1000-200",B115="10-2100-100",B115="10-2100-200",B115="10-2100-300",B115="10-2100-400",B115="10-2100-600",B115="10-2100-800",B115="20-2100-200",B115="20-2190-100",B115="20-2190-200",B115="20-2190-300",B115="20-2190-400",B115="20-2190-600",B115="20-2190-800",B115="40-2190-100",B115="40-2190-200",B115="40-2190-300",B115="40-2190-400",B115="40-2190-600",B115="40-2190-800",B115="50-2190-200",B115="10-2200-100",B115="10-2200-200",B115="10-2200-300",B115="10-2200-400",B115="10-2200-600",B115="10-2200-800",B115="50-2200-200",B115="10-2300-100",B115="10-2300-200",B115="10-2300-300",B115="10-2300-400",B115="10-2300-600",B115="10-2300-800",B115="50-2300-200",B115="80-2300-100",B115="80-2300-200",B115="80-2300-300",B115="80-2300-400",B115="80-2300-600",B115="80-2300-800",B115="10-2400-100",B115="10-2400-200",B115="10-2400-300",B115="10-2400-400",B115="10-2400-600",B115="10-2400-800",B115="50-2400-200",B115="10-2510-100",B115="10-2510-200",B115="10-2510-300",B115="10-2510-400",B115="10-2510-600",B115="10-2510-800",B115="20-2510-100",B115="20-2510-200",B115="20-2510-300",B115="20-2510-400",B115="20-2510-600",B115="20-2510-800",B115="50-2510-200",B115="10-2520-100",B115="10-2520-200",B115="10-2520-300",B115="10-2520-400",B115="10-2520-600",B115="10-2520-800",B115="50-2520-200",B115="10-2540-100",B115="10-2540-200",B115="10-2540-300",B115="10-2540-400",B115="10-2540-600",B115="20-2540-800",B115="20-2540-100",B115="20-2540-200",B115="20-2540-300",B115="20-2540-400",B115="20-2540-600",B115="50-2540-200",B115="90-2540-100",B115="90-2540-200",B115="90-2540-300",B115="90-2540-400",B115="90-2540-600",B115="90-2540-800",B115="90-2540-800",B115="10-2550-100",B115="10-2550-200",B115="10-2550-300",B115="10-2550-400",B115="10-2550-600",B115="10-2550-800",B115="20-2550-100",B115="20-2550-200",B115="20-2550-300",B115="20-2550-400",B115="20-2550-600",B115="20-2550-800",B115="40-2550-100",B115="40-2550-200",B115="40-2550-300",B115="40-2550-400",B115="40-2550-600",B115="40-2550-800",B115="50-2550-200",B115="10-2560-100",B115="10-2560-200",B115="10-2560-300",B115="10-2560-400",B115="10-2560-600",B115="10-2560-800",B115="20-2560-100",B115="20-2560-200",B115="20-2560-300",B115="20-2560-400",B115="20-2560-600",B115="20-2560-800",B115="50-2560-200",B115="10-2570-100",B115="10-2570-200",B115="10-2570-300",B115="10-2570-400",B115="10-2570-600",B115="10-2570-800",B115="50-2570-200",B115="10-2610-100",B115="10-2610-200",B115="10-2610-300",B115="10-2610-400",B115="10-2610-600",B115="10-2610-800",B115="50-2610-200",B115="10-2620-100",B115="10-2620-200",B115="10-2620-300",B115="10-2620-400",B115="10-2620-600",B115="10-2620-800",B115="50-2620-200",B115="10-2630-100",B115="10-2630-200",B115="10-2630-300",B115="10-2630-400",B115="10-2630-600",B115="10-2630-800",B115="50-2630-200",B115="10-2640-100",B115="10-2640-200",B115="10-2640-300",B115="10-2640-400",B115="10-2640-600",B115="10-2640-800",B115="50-2640-200",B115="10-2660-100",B115="10-2660-200",B115="10-2660-300",B115="10-2660-400",B115="10-2660-600",B115="10-2660-800",B115="50-2660-200",B115="10-2900-100",B115="10-2900-200",B115="10-2900-300",B115="10-2900-400",B115="10-2900-600",B115="10-2900-800",B115="20-2900-100",B115="20-2900-200",B115="20-2900-300",B115="20-2900-400",B115="20-2900-600",B115="20-2900-800",B115="40-2900-100",B115="40-2900-200",B115="40-2900-300",B115="40-2900-400",B115="40-2900-600",B115="40-2900-800",B115="50-2900-200",B115="60-2900-100",B115="60-2900-200",B115="60-2900-300",B115="60-2900-400",B115="60-2900-600",B115="60-2900-800",B115="90-2900-100",B115="90-2900-200",B115="90-2900-300",B115="90-2900-400",B115="90-2900-600",B115="90-2900-800",B115="10-3000-100",B115="10-3000-200",B115="10-3000-300",B115="10-3000-400",B115="10-3000-600",B115="10-3000-800",B115="20-3000-100",B115="20-3000-200",B115="20-3000-300",B115="20-3000-400",B115="20-3000-600",B115="20-3000-800",B115="40-3000-100",B115="40-3000-200",B115="40-3000-300",B115="40-3000-400",B115="40-3000-600",B115="40-3000-800",B115="50-3000-200"),E115,0)</f>
        <v>0</v>
      </c>
      <c r="G115" s="1813">
        <f t="shared" ref="G115:G123" si="24">IF(F115=0,0,D115-F115)</f>
        <v>0</v>
      </c>
    </row>
    <row r="116" spans="1:7" hidden="1" x14ac:dyDescent="0.25">
      <c r="A116" s="1672"/>
      <c r="B116" s="1686"/>
      <c r="C116" s="1673"/>
      <c r="D116" s="1864"/>
      <c r="E116" s="1560">
        <f t="shared" si="22"/>
        <v>0</v>
      </c>
      <c r="F116" s="1812">
        <f t="shared" si="23"/>
        <v>0</v>
      </c>
      <c r="G116" s="1813">
        <f t="shared" si="24"/>
        <v>0</v>
      </c>
    </row>
    <row r="117" spans="1:7" hidden="1" x14ac:dyDescent="0.25">
      <c r="A117" s="1672"/>
      <c r="B117" s="1686"/>
      <c r="C117" s="1673"/>
      <c r="D117" s="1864"/>
      <c r="E117" s="1560">
        <f t="shared" si="22"/>
        <v>0</v>
      </c>
      <c r="F117" s="1812">
        <f t="shared" si="23"/>
        <v>0</v>
      </c>
      <c r="G117" s="1813">
        <f t="shared" si="24"/>
        <v>0</v>
      </c>
    </row>
    <row r="118" spans="1:7" hidden="1" x14ac:dyDescent="0.25">
      <c r="A118" s="1672"/>
      <c r="B118" s="1686"/>
      <c r="C118" s="1673"/>
      <c r="D118" s="1864"/>
      <c r="E118" s="1560">
        <f t="shared" si="22"/>
        <v>0</v>
      </c>
      <c r="F118" s="1812">
        <f t="shared" si="23"/>
        <v>0</v>
      </c>
      <c r="G118" s="1813">
        <f t="shared" si="24"/>
        <v>0</v>
      </c>
    </row>
    <row r="119" spans="1:7" hidden="1" x14ac:dyDescent="0.25">
      <c r="A119" s="1672"/>
      <c r="B119" s="1686"/>
      <c r="C119" s="1673"/>
      <c r="D119" s="1864"/>
      <c r="E119" s="1560">
        <f t="shared" si="22"/>
        <v>0</v>
      </c>
      <c r="F119" s="1812">
        <f t="shared" si="23"/>
        <v>0</v>
      </c>
      <c r="G119" s="1813">
        <f t="shared" si="24"/>
        <v>0</v>
      </c>
    </row>
    <row r="120" spans="1:7" hidden="1" x14ac:dyDescent="0.25">
      <c r="A120" s="1672"/>
      <c r="B120" s="1857"/>
      <c r="C120" s="1673"/>
      <c r="D120" s="1864"/>
      <c r="E120" s="1560">
        <f t="shared" si="22"/>
        <v>0</v>
      </c>
      <c r="F120" s="1812">
        <f t="shared" si="23"/>
        <v>0</v>
      </c>
      <c r="G120" s="1813">
        <f t="shared" si="24"/>
        <v>0</v>
      </c>
    </row>
    <row r="121" spans="1:7" hidden="1" x14ac:dyDescent="0.25">
      <c r="A121" s="1672"/>
      <c r="B121" s="1857"/>
      <c r="C121" s="1673"/>
      <c r="D121" s="1864"/>
      <c r="E121" s="1560">
        <f t="shared" si="22"/>
        <v>0</v>
      </c>
      <c r="F121" s="1812">
        <f t="shared" si="23"/>
        <v>0</v>
      </c>
      <c r="G121" s="1813">
        <f t="shared" si="24"/>
        <v>0</v>
      </c>
    </row>
    <row r="122" spans="1:7" hidden="1" x14ac:dyDescent="0.25">
      <c r="A122" s="1672"/>
      <c r="B122" s="1686"/>
      <c r="C122" s="1673"/>
      <c r="D122" s="1864"/>
      <c r="E122" s="1560">
        <f t="shared" si="22"/>
        <v>0</v>
      </c>
      <c r="F122" s="1812">
        <f t="shared" si="23"/>
        <v>0</v>
      </c>
      <c r="G122" s="1813">
        <f t="shared" si="24"/>
        <v>0</v>
      </c>
    </row>
    <row r="123" spans="1:7" hidden="1" x14ac:dyDescent="0.25">
      <c r="A123" s="1672"/>
      <c r="B123" s="1686"/>
      <c r="C123" s="1673"/>
      <c r="D123" s="1864"/>
      <c r="E123" s="1560">
        <f t="shared" si="22"/>
        <v>0</v>
      </c>
      <c r="F123" s="1812">
        <f t="shared" si="23"/>
        <v>0</v>
      </c>
      <c r="G123" s="1813">
        <f t="shared" si="24"/>
        <v>0</v>
      </c>
    </row>
    <row r="124" spans="1:7" hidden="1" x14ac:dyDescent="0.25">
      <c r="A124" s="1672"/>
      <c r="B124" s="1686"/>
      <c r="C124" s="1673"/>
      <c r="D124" s="1864"/>
      <c r="E124" s="1560">
        <f t="shared" ref="E124:E128" si="25">IF(D124&lt;=25000,D124,IF(D124&gt;25000,25000,0))</f>
        <v>0</v>
      </c>
      <c r="F124" s="1812">
        <f t="shared" ref="F124:F128" si="26">IF(OR(B124="10-1000-100",B124="10-1000-200",B124="10-1000-300",B124="10-1000-400",B124="10-1000-600",B124="10-1000-800",B124="50-1000-200",B124="10-2100-100",B124="10-2100-200",B124="10-2100-300",B124="10-2100-400",B124="10-2100-600",B124="10-2100-800",B124="20-2100-200",B124="20-2190-100",B124="20-2190-200",B124="20-2190-300",B124="20-2190-400",B124="20-2190-600",B124="20-2190-800",B124="40-2190-100",B124="40-2190-200",B124="40-2190-300",B124="40-2190-400",B124="40-2190-600",B124="40-2190-800",B124="50-2190-200",B124="10-2200-100",B124="10-2200-200",B124="10-2200-300",B124="10-2200-400",B124="10-2200-600",B124="10-2200-800",B124="50-2200-200",B124="10-2300-100",B124="10-2300-200",B124="10-2300-300",B124="10-2300-400",B124="10-2300-600",B124="10-2300-800",B124="50-2300-200",B124="80-2300-100",B124="80-2300-200",B124="80-2300-300",B124="80-2300-400",B124="80-2300-600",B124="80-2300-800",B124="10-2400-100",B124="10-2400-200",B124="10-2400-300",B124="10-2400-400",B124="10-2400-600",B124="10-2400-800",B124="50-2400-200",B124="10-2510-100",B124="10-2510-200",B124="10-2510-300",B124="10-2510-400",B124="10-2510-600",B124="10-2510-800",B124="20-2510-100",B124="20-2510-200",B124="20-2510-300",B124="20-2510-400",B124="20-2510-600",B124="20-2510-800",B124="50-2510-200",B124="10-2520-100",B124="10-2520-200",B124="10-2520-300",B124="10-2520-400",B124="10-2520-600",B124="10-2520-800",B124="50-2520-200",B124="10-2540-100",B124="10-2540-200",B124="10-2540-300",B124="10-2540-400",B124="10-2540-600",B124="20-2540-800",B124="20-2540-100",B124="20-2540-200",B124="20-2540-300",B124="20-2540-400",B124="20-2540-600",B124="50-2540-200",B124="90-2540-100",B124="90-2540-200",B124="90-2540-300",B124="90-2540-400",B124="90-2540-600",B124="90-2540-800",B124="90-2540-800",B124="10-2550-100",B124="10-2550-200",B124="10-2550-300",B124="10-2550-400",B124="10-2550-600",B124="10-2550-800",B124="20-2550-100",B124="20-2550-200",B124="20-2550-300",B124="20-2550-400",B124="20-2550-600",B124="20-2550-800",B124="40-2550-100",B124="40-2550-200",B124="40-2550-300",B124="40-2550-400",B124="40-2550-600",B124="40-2550-800",B124="50-2550-200",B124="10-2560-100",B124="10-2560-200",B124="10-2560-300",B124="10-2560-400",B124="10-2560-600",B124="10-2560-800",B124="20-2560-100",B124="20-2560-200",B124="20-2560-300",B124="20-2560-400",B124="20-2560-600",B124="20-2560-800",B124="50-2560-200",B124="10-2570-100",B124="10-2570-200",B124="10-2570-300",B124="10-2570-400",B124="10-2570-600",B124="10-2570-800",B124="50-2570-200",B124="10-2610-100",B124="10-2610-200",B124="10-2610-300",B124="10-2610-400",B124="10-2610-600",B124="10-2610-800",B124="50-2610-200",B124="10-2620-100",B124="10-2620-200",B124="10-2620-300",B124="10-2620-400",B124="10-2620-600",B124="10-2620-800",B124="50-2620-200",B124="10-2630-100",B124="10-2630-200",B124="10-2630-300",B124="10-2630-400",B124="10-2630-600",B124="10-2630-800",B124="50-2630-200",B124="10-2640-100",B124="10-2640-200",B124="10-2640-300",B124="10-2640-400",B124="10-2640-600",B124="10-2640-800",B124="50-2640-200",B124="10-2660-100",B124="10-2660-200",B124="10-2660-300",B124="10-2660-400",B124="10-2660-600",B124="10-2660-800",B124="50-2660-200",B124="10-2900-100",B124="10-2900-200",B124="10-2900-300",B124="10-2900-400",B124="10-2900-600",B124="10-2900-800",B124="20-2900-100",B124="20-2900-200",B124="20-2900-300",B124="20-2900-400",B124="20-2900-600",B124="20-2900-800",B124="40-2900-100",B124="40-2900-200",B124="40-2900-300",B124="40-2900-400",B124="40-2900-600",B124="40-2900-800",B124="50-2900-200",B124="60-2900-100",B124="60-2900-200",B124="60-2900-300",B124="60-2900-400",B124="60-2900-600",B124="60-2900-800",B124="90-2900-100",B124="90-2900-200",B124="90-2900-300",B124="90-2900-400",B124="90-2900-600",B124="90-2900-800",B124="10-3000-100",B124="10-3000-200",B124="10-3000-300",B124="10-3000-400",B124="10-3000-600",B124="10-3000-800",B124="20-3000-100",B124="20-3000-200",B124="20-3000-300",B124="20-3000-400",B124="20-3000-600",B124="20-3000-800",B124="40-3000-100",B124="40-3000-200",B124="40-3000-300",B124="40-3000-400",B124="40-3000-600",B124="40-3000-800",B124="50-3000-200"),E124,0)</f>
        <v>0</v>
      </c>
      <c r="G124" s="1813">
        <f t="shared" ref="G124:G128" si="27">IF(F124=0,0,D124-F124)</f>
        <v>0</v>
      </c>
    </row>
    <row r="125" spans="1:7" hidden="1" x14ac:dyDescent="0.25">
      <c r="A125" s="1672"/>
      <c r="B125" s="1686"/>
      <c r="C125" s="1673"/>
      <c r="D125" s="1864"/>
      <c r="E125" s="1560">
        <f t="shared" si="25"/>
        <v>0</v>
      </c>
      <c r="F125" s="1812">
        <f t="shared" si="26"/>
        <v>0</v>
      </c>
      <c r="G125" s="1813">
        <f t="shared" si="27"/>
        <v>0</v>
      </c>
    </row>
    <row r="126" spans="1:7" hidden="1" x14ac:dyDescent="0.25">
      <c r="A126" s="1672"/>
      <c r="B126" s="1686"/>
      <c r="C126" s="1673"/>
      <c r="D126" s="1864"/>
      <c r="E126" s="1560">
        <f t="shared" si="25"/>
        <v>0</v>
      </c>
      <c r="F126" s="1812">
        <f t="shared" si="26"/>
        <v>0</v>
      </c>
      <c r="G126" s="1813">
        <f t="shared" si="27"/>
        <v>0</v>
      </c>
    </row>
    <row r="127" spans="1:7" hidden="1" x14ac:dyDescent="0.25">
      <c r="A127" s="1672"/>
      <c r="B127" s="1686"/>
      <c r="C127" s="1673"/>
      <c r="D127" s="1864"/>
      <c r="E127" s="1560">
        <f t="shared" si="25"/>
        <v>0</v>
      </c>
      <c r="F127" s="1812">
        <f t="shared" si="26"/>
        <v>0</v>
      </c>
      <c r="G127" s="1813">
        <f t="shared" si="27"/>
        <v>0</v>
      </c>
    </row>
    <row r="128" spans="1:7" hidden="1" x14ac:dyDescent="0.25">
      <c r="A128" s="1672"/>
      <c r="B128" s="1686"/>
      <c r="C128" s="1673"/>
      <c r="D128" s="1864"/>
      <c r="E128" s="1560">
        <f t="shared" si="25"/>
        <v>0</v>
      </c>
      <c r="F128" s="1812">
        <f t="shared" si="26"/>
        <v>0</v>
      </c>
      <c r="G128" s="1813">
        <f t="shared" si="27"/>
        <v>0</v>
      </c>
    </row>
    <row r="129" spans="1:7" hidden="1" x14ac:dyDescent="0.25">
      <c r="A129" s="1672"/>
      <c r="B129" s="1685"/>
      <c r="C129" s="1673"/>
      <c r="D129" s="1864"/>
      <c r="E129" s="1560">
        <f t="shared" si="1"/>
        <v>0</v>
      </c>
      <c r="F129" s="1812">
        <f t="shared" si="2"/>
        <v>0</v>
      </c>
      <c r="G129" s="1813">
        <f t="shared" si="3"/>
        <v>0</v>
      </c>
    </row>
    <row r="130" spans="1:7" x14ac:dyDescent="0.25">
      <c r="A130" s="1816" t="s">
        <v>158</v>
      </c>
      <c r="B130" s="1817"/>
      <c r="C130" s="1818"/>
      <c r="D130" s="1814">
        <f>SUM(D17:D129)</f>
        <v>678270</v>
      </c>
      <c r="E130" s="1561">
        <f t="shared" ref="E130" si="28">IF(D130&lt;=25000,D130,IF(D130&gt;25000,25000,0))</f>
        <v>25000</v>
      </c>
      <c r="F130" s="1814">
        <f>SUM(F17:F129)</f>
        <v>245522</v>
      </c>
      <c r="G130" s="1815">
        <f>SUM(G17:G129)</f>
        <v>432748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7" t="s">
        <v>1778</v>
      </c>
      <c r="B5" s="2298"/>
      <c r="C5" s="2298"/>
      <c r="D5" s="2298"/>
      <c r="E5" s="2298"/>
      <c r="F5" s="2298"/>
      <c r="G5" s="2299"/>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155781</v>
      </c>
      <c r="F10" s="973"/>
      <c r="G10" s="974"/>
      <c r="H10" s="162"/>
      <c r="I10" s="162"/>
    </row>
    <row r="11" spans="1:9" s="667" customFormat="1" ht="22.5" customHeight="1" x14ac:dyDescent="0.2">
      <c r="A11" s="2302" t="s">
        <v>1945</v>
      </c>
      <c r="B11" s="2303"/>
      <c r="C11" s="2303"/>
      <c r="D11" s="2304"/>
      <c r="E11" s="976">
        <v>34436</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4390968</v>
      </c>
      <c r="F19" s="1819"/>
      <c r="G19" s="1821">
        <f>'Expenditures 15-22'!K33-SUM('Expenditures 15-22'!G33,'Expenditures 15-22'!I33)+'Expenditures 15-22'!D229</f>
        <v>4390968</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358009</v>
      </c>
      <c r="F21" s="1822"/>
      <c r="G21" s="1825">
        <f>'Expenditures 15-22'!K42-SUM('Expenditures 15-22'!G42,'Expenditures 15-22'!I42)+'Expenditures 15-22'!K120-SUM('Expenditures 15-22'!G120,'Expenditures 15-22'!I120)+'Expenditures 15-22'!K180-SUM('Expenditures 15-22'!G180,'Expenditures 15-22'!I180)+'Expenditures 15-22'!D238</f>
        <v>358009</v>
      </c>
      <c r="H21" s="986"/>
      <c r="I21" s="162"/>
    </row>
    <row r="22" spans="1:9" s="667" customFormat="1" ht="12" customHeight="1" x14ac:dyDescent="0.2">
      <c r="A22" s="993" t="s">
        <v>585</v>
      </c>
      <c r="B22" s="994"/>
      <c r="C22" s="992">
        <v>2200</v>
      </c>
      <c r="D22" s="1822"/>
      <c r="E22" s="1824">
        <f>'Expenditures 15-22'!K47-SUM('Expenditures 15-22'!G47,'Expenditures 15-22'!I47)+'Expenditures 15-22'!D243</f>
        <v>197573</v>
      </c>
      <c r="F22" s="1822"/>
      <c r="G22" s="1825">
        <f>'Expenditures 15-22'!K47-SUM('Expenditures 15-22'!G47,'Expenditures 15-22'!I47)+'Expenditures 15-22'!D243</f>
        <v>197573</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292969</v>
      </c>
      <c r="F23" s="1822"/>
      <c r="G23" s="1824">
        <f>'Expenditures 15-22'!K53-SUM('Expenditures 15-22'!G53,'Expenditures 15-22'!I53)+'Expenditures 15-22'!D257+'Expenditures 15-22'!K330-SUM('Expenditures 15-22'!G330,'Expenditures 15-22'!I330)</f>
        <v>292969</v>
      </c>
      <c r="H23" s="986"/>
      <c r="I23" s="162"/>
    </row>
    <row r="24" spans="1:9" s="667" customFormat="1" ht="12" customHeight="1" x14ac:dyDescent="0.2">
      <c r="A24" s="993" t="s">
        <v>587</v>
      </c>
      <c r="B24" s="994"/>
      <c r="C24" s="992">
        <v>2400</v>
      </c>
      <c r="D24" s="1822"/>
      <c r="E24" s="1824">
        <f>'Expenditures 15-22'!K57-SUM('Expenditures 15-22'!G57,'Expenditures 15-22'!I57)+'Expenditures 15-22'!D261</f>
        <v>541117</v>
      </c>
      <c r="F24" s="1822"/>
      <c r="G24" s="1825">
        <f>'Expenditures 15-22'!K57-SUM('Expenditures 15-22'!G57,'Expenditures 15-22'!I57)+'Expenditures 15-22'!D261</f>
        <v>541117</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111649</v>
      </c>
      <c r="E27" s="1824">
        <f>E8</f>
        <v>0</v>
      </c>
      <c r="F27" s="1824">
        <f>'Expenditures 15-22'!K60-SUM('Expenditures 15-22'!G60,'Expenditures 15-22'!I60)+'Expenditures 15-22'!D264-E8</f>
        <v>111649</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690521</v>
      </c>
      <c r="F28" s="1826">
        <f>'Expenditures 15-22'!K61-SUM('Expenditures 15-22'!G61,'Expenditures 15-22'!I61)+'Expenditures 15-22'!K124-SUM('Expenditures 15-22'!G124,'Expenditures 15-22'!I124)+'Expenditures 15-22'!D266-E9</f>
        <v>690521</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543511</v>
      </c>
      <c r="F29" s="1822"/>
      <c r="G29" s="1825">
        <f>'Expenditures 15-22'!K62-SUM('Expenditures 15-22'!G62,'Expenditures 15-22'!I62)+'Expenditures 15-22'!K125-SUM('Expenditures 15-22'!G125,'Expenditures 15-22'!I125)+'Expenditures 15-22'!K182-SUM('Expenditures 15-22'!G182,'Expenditures 15-22'!I182)+'Expenditures 15-22'!D267</f>
        <v>543511</v>
      </c>
      <c r="H29" s="984"/>
    </row>
    <row r="30" spans="1:9" ht="12" customHeight="1" x14ac:dyDescent="0.2">
      <c r="A30" s="993" t="s">
        <v>102</v>
      </c>
      <c r="B30" s="996"/>
      <c r="C30" s="992">
        <v>2560</v>
      </c>
      <c r="D30" s="1822"/>
      <c r="E30" s="1824">
        <f>'Expenditures 15-22'!K63-SUM('Expenditures 15-22'!G63,'Expenditures 15-22'!I63)+'Expenditures 15-22'!D268-E10</f>
        <v>156998</v>
      </c>
      <c r="F30" s="1822"/>
      <c r="G30" s="1824">
        <f>'Expenditures 15-22'!K63-SUM('Expenditures 15-22'!G63,'Expenditures 15-22'!I63)+'Expenditures 15-22'!D268-E10</f>
        <v>156998</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2"/>
      <c r="E40" s="1826">
        <f>-'Contracts Paid in CY 29'!G130</f>
        <v>-432748</v>
      </c>
      <c r="F40" s="1822"/>
      <c r="G40" s="1826">
        <f>-'Contracts Paid in CY 29'!G130</f>
        <v>-432748</v>
      </c>
    </row>
    <row r="41" spans="1:7" ht="12" customHeight="1" x14ac:dyDescent="0.2">
      <c r="A41" s="997" t="s">
        <v>158</v>
      </c>
      <c r="B41" s="998"/>
      <c r="C41" s="999"/>
      <c r="D41" s="1826">
        <f>SUM(D19:D39)</f>
        <v>111649</v>
      </c>
      <c r="E41" s="1826">
        <f>SUM(E19:E40)</f>
        <v>6738918</v>
      </c>
      <c r="F41" s="1826">
        <f>SUM(F19:F39)</f>
        <v>802170</v>
      </c>
      <c r="G41" s="1826">
        <f>SUM(G19:G40)</f>
        <v>6048397</v>
      </c>
    </row>
    <row r="42" spans="1:7" x14ac:dyDescent="0.2">
      <c r="A42" s="986"/>
      <c r="B42" s="162"/>
      <c r="C42" s="1000"/>
      <c r="D42" s="2300" t="s">
        <v>543</v>
      </c>
      <c r="E42" s="2301"/>
      <c r="F42" s="1001" t="s">
        <v>544</v>
      </c>
      <c r="G42" s="1002"/>
    </row>
    <row r="43" spans="1:7" ht="12" customHeight="1" x14ac:dyDescent="0.2">
      <c r="A43" s="986"/>
      <c r="B43" s="162"/>
      <c r="C43" s="1000"/>
      <c r="D43" s="1827" t="s">
        <v>493</v>
      </c>
      <c r="E43" s="1828">
        <f>D41</f>
        <v>111649</v>
      </c>
      <c r="F43" s="1827" t="s">
        <v>495</v>
      </c>
      <c r="G43" s="1828">
        <f>F41</f>
        <v>802170</v>
      </c>
    </row>
    <row r="44" spans="1:7" ht="12" customHeight="1" x14ac:dyDescent="0.2">
      <c r="A44" s="986"/>
      <c r="B44" s="162"/>
      <c r="C44" s="1000"/>
      <c r="D44" s="1827" t="s">
        <v>494</v>
      </c>
      <c r="E44" s="1828">
        <f>E41</f>
        <v>6738918</v>
      </c>
      <c r="F44" s="1827" t="s">
        <v>494</v>
      </c>
      <c r="G44" s="1828">
        <f>G41</f>
        <v>6048397</v>
      </c>
    </row>
    <row r="45" spans="1:7" ht="12" customHeight="1" x14ac:dyDescent="0.2">
      <c r="A45" s="986"/>
      <c r="B45" s="162"/>
      <c r="C45" s="162"/>
      <c r="D45" s="1829" t="s">
        <v>1063</v>
      </c>
      <c r="E45" s="1830">
        <f>(E43/E44)</f>
        <v>1.6567793227340057E-2</v>
      </c>
      <c r="F45" s="1829" t="s">
        <v>1063</v>
      </c>
      <c r="G45" s="1830">
        <f>(G43/G44)</f>
        <v>0.13262522284830178</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7.5703125" style="1898" bestFit="1" customWidth="1"/>
    <col min="9" max="9" width="4" style="1898" bestFit="1" customWidth="1"/>
    <col min="10" max="10" width="2.7109375" style="1898" bestFit="1" customWidth="1"/>
    <col min="11" max="11" width="9" style="1898" customWidth="1"/>
    <col min="12" max="16384" width="9.140625" style="1867"/>
  </cols>
  <sheetData>
    <row r="1" spans="1:10" x14ac:dyDescent="0.2">
      <c r="A1" s="2308" t="s">
        <v>1446</v>
      </c>
      <c r="B1" s="2308"/>
      <c r="C1" s="2308"/>
      <c r="D1" s="2308"/>
      <c r="E1" s="2308"/>
      <c r="F1" s="2308"/>
    </row>
    <row r="2" spans="1:10" x14ac:dyDescent="0.2">
      <c r="A2" s="1907" t="s">
        <v>2048</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09" t="s">
        <v>1627</v>
      </c>
      <c r="B5" s="2310"/>
      <c r="C5" s="2311"/>
      <c r="D5" s="2311"/>
      <c r="E5" s="2311"/>
      <c r="F5" s="2311"/>
    </row>
    <row r="6" spans="1:10" ht="12" customHeight="1" x14ac:dyDescent="0.25">
      <c r="A6" s="1870"/>
      <c r="B6" s="1871"/>
      <c r="C6" s="2312" t="str">
        <f>COVER!A17</f>
        <v>Prophetstown-Lyndon-Tampico CUSD 3</v>
      </c>
      <c r="D6" s="2312"/>
      <c r="E6" s="2312"/>
      <c r="F6" s="1872"/>
    </row>
    <row r="7" spans="1:10" ht="11.25" customHeight="1" thickBot="1" x14ac:dyDescent="0.3">
      <c r="A7" s="1870"/>
      <c r="B7" s="1871"/>
      <c r="C7" s="2313">
        <f>COVER!A13</f>
        <v>47098003026</v>
      </c>
      <c r="D7" s="2313"/>
      <c r="E7" s="2313"/>
      <c r="F7" s="1872"/>
    </row>
    <row r="8" spans="1:10" ht="25.5" customHeight="1" thickBot="1" x14ac:dyDescent="0.25">
      <c r="A8" s="1913" t="s">
        <v>2025</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t="s">
        <v>2093</v>
      </c>
      <c r="D26" s="1885" t="s">
        <v>2093</v>
      </c>
      <c r="E26" s="1888"/>
      <c r="F26" s="1887" t="s">
        <v>2095</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t="s">
        <v>2093</v>
      </c>
      <c r="D31" s="1885" t="s">
        <v>2093</v>
      </c>
      <c r="E31" s="1888"/>
      <c r="F31" s="1887" t="s">
        <v>2096</v>
      </c>
      <c r="H31" s="1898">
        <f t="shared" si="0"/>
        <v>5</v>
      </c>
      <c r="I31" s="1898">
        <f t="shared" si="1"/>
        <v>5</v>
      </c>
      <c r="J31" s="1898">
        <f t="shared" si="2"/>
        <v>0</v>
      </c>
      <c r="L31" s="1889"/>
    </row>
    <row r="32" spans="1:12" ht="12" customHeight="1" x14ac:dyDescent="0.2">
      <c r="A32" s="1883" t="s">
        <v>1621</v>
      </c>
      <c r="B32" s="1884"/>
      <c r="C32" s="1885" t="s">
        <v>2093</v>
      </c>
      <c r="D32" s="1885" t="s">
        <v>2093</v>
      </c>
      <c r="E32" s="1888"/>
      <c r="F32" s="1887" t="s">
        <v>2097</v>
      </c>
      <c r="H32" s="1898">
        <f t="shared" si="0"/>
        <v>5</v>
      </c>
      <c r="I32" s="1898">
        <f t="shared" si="1"/>
        <v>5</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15</v>
      </c>
      <c r="I34" s="1898">
        <f>SUM(I11:I32)</f>
        <v>15</v>
      </c>
      <c r="J34" s="1898">
        <f>SUM(J11:J32)</f>
        <v>0</v>
      </c>
      <c r="K34" s="1898">
        <f>SUM(H34:J34)</f>
        <v>30</v>
      </c>
    </row>
    <row r="35" spans="1:11" ht="12" customHeight="1" x14ac:dyDescent="0.2">
      <c r="A35" s="1891" t="s">
        <v>1459</v>
      </c>
      <c r="B35" s="1892"/>
      <c r="C35" s="2314"/>
      <c r="D35" s="2314"/>
      <c r="E35" s="2314"/>
      <c r="F35" s="2315"/>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19"/>
      <c r="B38" s="2320"/>
      <c r="C38" s="2320"/>
      <c r="D38" s="2320"/>
      <c r="E38" s="2320"/>
      <c r="F38" s="2321"/>
    </row>
    <row r="39" spans="1:11" ht="4.5" hidden="1" customHeight="1" x14ac:dyDescent="0.2">
      <c r="A39" s="1893"/>
      <c r="B39" s="1893"/>
      <c r="C39" s="1893"/>
      <c r="D39" s="1893"/>
      <c r="E39" s="1893"/>
      <c r="F39" s="1893"/>
    </row>
    <row r="40" spans="1:11" s="1890" customFormat="1" ht="12" customHeight="1" x14ac:dyDescent="0.25">
      <c r="A40" s="1894" t="s">
        <v>1458</v>
      </c>
      <c r="B40" s="1895"/>
      <c r="C40" s="2322"/>
      <c r="D40" s="2322"/>
      <c r="E40" s="2322"/>
      <c r="F40" s="2323"/>
      <c r="H40" s="1899"/>
      <c r="I40" s="1899"/>
      <c r="J40" s="1899"/>
      <c r="K40" s="1899"/>
    </row>
    <row r="41" spans="1:11" s="1890" customFormat="1" ht="12" customHeight="1" x14ac:dyDescent="0.25">
      <c r="A41" s="2324"/>
      <c r="B41" s="2325"/>
      <c r="C41" s="2325"/>
      <c r="D41" s="2325"/>
      <c r="E41" s="2325"/>
      <c r="F41" s="2326"/>
      <c r="H41" s="1899"/>
      <c r="I41" s="1899"/>
      <c r="J41" s="1899"/>
      <c r="K41" s="1899"/>
    </row>
    <row r="42" spans="1:11" s="1890" customFormat="1" ht="12" customHeight="1" x14ac:dyDescent="0.25">
      <c r="A42" s="2324"/>
      <c r="B42" s="2325"/>
      <c r="C42" s="2325"/>
      <c r="D42" s="2325"/>
      <c r="E42" s="2325"/>
      <c r="F42" s="2326"/>
      <c r="H42" s="1899"/>
      <c r="I42" s="1899"/>
      <c r="J42" s="1899"/>
      <c r="K42" s="1899"/>
    </row>
    <row r="43" spans="1:11" s="1890" customFormat="1" ht="15" x14ac:dyDescent="0.25">
      <c r="A43" s="2316"/>
      <c r="B43" s="2317"/>
      <c r="C43" s="2317"/>
      <c r="D43" s="2317"/>
      <c r="E43" s="2317"/>
      <c r="F43" s="2318"/>
      <c r="H43" s="1899"/>
      <c r="I43" s="1899"/>
      <c r="J43" s="1899"/>
      <c r="K43" s="1899"/>
    </row>
    <row r="44" spans="1:11" s="1890" customFormat="1" ht="12" hidden="1" customHeight="1" x14ac:dyDescent="0.25">
      <c r="A44" s="2316"/>
      <c r="B44" s="2317"/>
      <c r="C44" s="2317"/>
      <c r="D44" s="2317"/>
      <c r="E44" s="2317"/>
      <c r="F44" s="2318"/>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4" t="s">
        <v>693</v>
      </c>
      <c r="B6" s="1662"/>
      <c r="C6" s="1662"/>
      <c r="D6" s="1662"/>
      <c r="E6" s="1663"/>
      <c r="F6" s="1014"/>
      <c r="G6" s="1008"/>
      <c r="H6" s="1015" t="s">
        <v>1086</v>
      </c>
      <c r="I6" s="2332" t="str">
        <f>COVER!A17</f>
        <v>Prophetstown-Lyndon-Tampico CUSD 3</v>
      </c>
      <c r="J6" s="2333"/>
      <c r="Q6" s="1683"/>
    </row>
    <row r="7" spans="1:17" x14ac:dyDescent="0.2">
      <c r="A7" s="2334" t="s">
        <v>924</v>
      </c>
      <c r="B7" s="2335"/>
      <c r="C7" s="2335"/>
      <c r="D7" s="2335"/>
      <c r="E7" s="2336"/>
      <c r="F7" s="1016"/>
      <c r="G7" s="1008"/>
      <c r="H7" s="1015" t="s">
        <v>390</v>
      </c>
      <c r="I7" s="2337">
        <f>COVER!A13</f>
        <v>47098003026</v>
      </c>
      <c r="J7" s="2337"/>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5" t="s">
        <v>1701</v>
      </c>
      <c r="F9" s="1022"/>
      <c r="G9" s="1022"/>
      <c r="H9" s="1916"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8" t="s">
        <v>502</v>
      </c>
      <c r="B11" s="2339"/>
      <c r="C11" s="234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156589</v>
      </c>
      <c r="F12" s="1038"/>
      <c r="G12" s="1831">
        <f t="shared" ref="G12:G18" si="0">SUM(E12:F12)</f>
        <v>156589</v>
      </c>
      <c r="H12" s="1039">
        <v>145116</v>
      </c>
      <c r="I12" s="1038"/>
      <c r="J12" s="1831">
        <f t="shared" ref="J12:J18" si="1">SUM(H12:I12)</f>
        <v>145116</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341" t="s">
        <v>7</v>
      </c>
      <c r="C18" s="2342"/>
      <c r="D18" s="2343"/>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156589</v>
      </c>
      <c r="F19" s="1833">
        <f t="shared" si="2"/>
        <v>0</v>
      </c>
      <c r="G19" s="1833">
        <f t="shared" si="2"/>
        <v>156589</v>
      </c>
      <c r="H19" s="1833">
        <f t="shared" si="2"/>
        <v>145116</v>
      </c>
      <c r="I19" s="1833">
        <f t="shared" si="2"/>
        <v>0</v>
      </c>
      <c r="J19" s="1833">
        <f t="shared" si="2"/>
        <v>145116</v>
      </c>
    </row>
    <row r="20" spans="1:10" ht="13.5" thickTop="1" x14ac:dyDescent="0.2">
      <c r="A20" s="1034">
        <v>9</v>
      </c>
      <c r="B20" s="2344" t="s">
        <v>1703</v>
      </c>
      <c r="C20" s="2344"/>
      <c r="D20" s="2345"/>
      <c r="E20" s="1045"/>
      <c r="F20" s="1045"/>
      <c r="G20" s="1045"/>
      <c r="H20" s="1045"/>
      <c r="I20" s="1045"/>
      <c r="J20" s="1834">
        <f>IF(AND(G19&gt;0,J19&gt;0),(((J19-G19)/G19)),"Enter Budget Data")</f>
        <v>-7.3268237232500366E-2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0"/>
      <c r="D26" s="2350"/>
      <c r="E26" s="1049"/>
      <c r="F26" s="2349"/>
      <c r="G26" s="2349"/>
    </row>
    <row r="27" spans="1:10" x14ac:dyDescent="0.2">
      <c r="B27" s="1046"/>
      <c r="C27" s="1050" t="s">
        <v>1093</v>
      </c>
      <c r="D27" s="1051"/>
      <c r="E27" s="1052"/>
      <c r="F27" s="2346" t="s">
        <v>1589</v>
      </c>
      <c r="G27" s="2346"/>
    </row>
    <row r="28" spans="1:10" ht="28.5" customHeight="1" x14ac:dyDescent="0.2">
      <c r="B28" s="1046"/>
      <c r="C28" s="2348"/>
      <c r="D28" s="2348"/>
      <c r="E28" s="1053"/>
      <c r="F28" s="2348"/>
      <c r="G28" s="2348"/>
    </row>
    <row r="29" spans="1:10" x14ac:dyDescent="0.2">
      <c r="B29" s="1046"/>
      <c r="C29" s="1054" t="s">
        <v>1642</v>
      </c>
      <c r="E29" s="1055"/>
      <c r="F29" s="2347" t="s">
        <v>1590</v>
      </c>
      <c r="G29" s="2347"/>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1"/>
    </row>
    <row r="36" spans="1:10" ht="13.5" customHeight="1" x14ac:dyDescent="0.2">
      <c r="B36" s="1060"/>
      <c r="C36" s="2331" t="s">
        <v>1944</v>
      </c>
      <c r="D36" s="2330"/>
      <c r="E36" s="2330"/>
      <c r="F36" s="2330"/>
      <c r="G36" s="2330"/>
      <c r="H36" s="2330"/>
      <c r="I36" s="2330"/>
      <c r="J36" s="1062"/>
    </row>
    <row r="37" spans="1:10" ht="22.5" customHeight="1" x14ac:dyDescent="0.2">
      <c r="C37" s="2330"/>
      <c r="D37" s="2330"/>
      <c r="E37" s="2330"/>
      <c r="F37" s="2330"/>
      <c r="G37" s="2330"/>
      <c r="H37" s="2330"/>
      <c r="I37" s="2330"/>
      <c r="J37" s="1062"/>
    </row>
    <row r="38" spans="1:10" ht="7.5" customHeight="1" x14ac:dyDescent="0.2">
      <c r="C38" s="1061"/>
      <c r="D38" s="1063"/>
      <c r="E38" s="1064"/>
      <c r="F38" s="1065"/>
      <c r="G38" s="1064"/>
    </row>
    <row r="39" spans="1:10" ht="13.5" customHeight="1" x14ac:dyDescent="0.2">
      <c r="B39" s="1060"/>
      <c r="C39" s="2327" t="s">
        <v>937</v>
      </c>
      <c r="D39" s="2328"/>
      <c r="E39" s="2328"/>
      <c r="F39" s="2328"/>
      <c r="G39" s="2328"/>
      <c r="H39" s="2328"/>
      <c r="I39" s="2328"/>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11.57031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2130</v>
      </c>
    </row>
    <row r="6" spans="1:2" x14ac:dyDescent="0.2">
      <c r="A6" s="1067">
        <v>2</v>
      </c>
      <c r="B6" s="329" t="s">
        <v>2131</v>
      </c>
    </row>
    <row r="7" spans="1:2" x14ac:dyDescent="0.2">
      <c r="A7" s="1067">
        <v>3</v>
      </c>
      <c r="B7" s="329" t="s">
        <v>2132</v>
      </c>
    </row>
    <row r="8" spans="1:2" x14ac:dyDescent="0.2">
      <c r="A8" s="1067">
        <v>4</v>
      </c>
      <c r="B8" s="329" t="s">
        <v>2133</v>
      </c>
    </row>
    <row r="9" spans="1:2" x14ac:dyDescent="0.2">
      <c r="A9" s="1067">
        <v>5</v>
      </c>
      <c r="B9" s="329" t="s">
        <v>2134</v>
      </c>
    </row>
    <row r="10" spans="1:2" x14ac:dyDescent="0.2">
      <c r="A10" s="1067"/>
      <c r="B10" s="329" t="s">
        <v>2135</v>
      </c>
    </row>
    <row r="11" spans="1:2" x14ac:dyDescent="0.2">
      <c r="A11" s="1067"/>
      <c r="B11" s="329" t="s">
        <v>2136</v>
      </c>
    </row>
    <row r="12" spans="1:2" x14ac:dyDescent="0.2">
      <c r="A12" s="1067"/>
      <c r="B12" s="329" t="s">
        <v>2137</v>
      </c>
    </row>
    <row r="13" spans="1:2" x14ac:dyDescent="0.2">
      <c r="A13" s="1067">
        <v>6</v>
      </c>
      <c r="B13" s="329" t="s">
        <v>2138</v>
      </c>
    </row>
    <row r="14" spans="1:2" x14ac:dyDescent="0.2">
      <c r="A14" s="1067"/>
    </row>
    <row r="15" spans="1:2" x14ac:dyDescent="0.2">
      <c r="A15" s="1067"/>
    </row>
    <row r="16" spans="1:2" x14ac:dyDescent="0.2">
      <c r="A16" s="1067"/>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Prophetstown-Lyndon-Tampico CUSD 3</v>
      </c>
    </row>
    <row r="65" spans="2:2" x14ac:dyDescent="0.2">
      <c r="B65" s="1069">
        <f>COVER!A13</f>
        <v>47098003026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1" t="s">
        <v>1784</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762000</xdr:colOff>
                <xdr:row>3</xdr:row>
                <xdr:rowOff>38100</xdr:rowOff>
              </from>
              <to>
                <xdr:col>1</xdr:col>
                <xdr:colOff>1676400</xdr:colOff>
                <xdr:row>7</xdr:row>
                <xdr:rowOff>76200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1771650</xdr:colOff>
                <xdr:row>3</xdr:row>
                <xdr:rowOff>28575</xdr:rowOff>
              </from>
              <to>
                <xdr:col>1</xdr:col>
                <xdr:colOff>2686050</xdr:colOff>
                <xdr:row>7</xdr:row>
                <xdr:rowOff>66675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3"/>
      <c r="H2" s="1073"/>
    </row>
    <row r="3" spans="1:8" ht="57" customHeight="1" x14ac:dyDescent="0.2">
      <c r="A3" s="2365" t="s">
        <v>1786</v>
      </c>
      <c r="B3" s="2366"/>
      <c r="C3" s="2366"/>
      <c r="D3" s="2366"/>
      <c r="E3" s="2366"/>
      <c r="F3" s="2367"/>
      <c r="G3" s="1073"/>
      <c r="H3" s="1073"/>
    </row>
    <row r="4" spans="1:8" ht="14.25" customHeight="1" x14ac:dyDescent="0.2">
      <c r="A4" s="2371" t="s">
        <v>2056</v>
      </c>
      <c r="B4" s="2372"/>
      <c r="C4" s="2372"/>
      <c r="D4" s="2372"/>
      <c r="E4" s="2372"/>
      <c r="F4" s="2373"/>
      <c r="G4" s="1073"/>
      <c r="H4" s="1073"/>
    </row>
    <row r="5" spans="1:8" ht="14.25" customHeight="1" x14ac:dyDescent="0.2">
      <c r="A5" s="2374" t="s">
        <v>2057</v>
      </c>
      <c r="B5" s="2375"/>
      <c r="C5" s="2375"/>
      <c r="D5" s="2375"/>
      <c r="E5" s="2375"/>
      <c r="F5" s="2376"/>
      <c r="G5" s="1073"/>
      <c r="H5" s="1073"/>
    </row>
    <row r="6" spans="1:8" s="1074" customFormat="1" ht="41.25" customHeight="1" x14ac:dyDescent="0.2">
      <c r="A6" s="2368" t="s">
        <v>1792</v>
      </c>
      <c r="B6" s="2369"/>
      <c r="C6" s="2369"/>
      <c r="D6" s="2369"/>
      <c r="E6" s="2369"/>
      <c r="F6" s="2370"/>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5">
        <f>'Acct Summary 7-8'!C8</f>
        <v>6927738</v>
      </c>
      <c r="C8" s="1835">
        <f>'Acct Summary 7-8'!D8</f>
        <v>737871</v>
      </c>
      <c r="D8" s="1835">
        <f>'Acct Summary 7-8'!F8</f>
        <v>586150</v>
      </c>
      <c r="E8" s="1835">
        <f>'Acct Summary 7-8'!I8</f>
        <v>54338</v>
      </c>
      <c r="F8" s="1835">
        <f>SUM(B8:E8)</f>
        <v>8306097</v>
      </c>
    </row>
    <row r="9" spans="1:8" s="1078" customFormat="1" ht="14.25" customHeight="1" thickBot="1" x14ac:dyDescent="0.25">
      <c r="A9" s="1077" t="s">
        <v>1436</v>
      </c>
      <c r="B9" s="1836">
        <f>'Acct Summary 7-8'!C17</f>
        <v>6573236</v>
      </c>
      <c r="C9" s="1836">
        <f>'Acct Summary 7-8'!D17</f>
        <v>676383</v>
      </c>
      <c r="D9" s="1836">
        <f>'Acct Summary 7-8'!F17</f>
        <v>506612</v>
      </c>
      <c r="E9" s="1835"/>
      <c r="F9" s="1835">
        <f>SUM(B9:E9)</f>
        <v>7756231</v>
      </c>
    </row>
    <row r="10" spans="1:8" s="1078" customFormat="1" ht="14.25" thickTop="1" thickBot="1" x14ac:dyDescent="0.25">
      <c r="A10" s="1079" t="s">
        <v>1437</v>
      </c>
      <c r="B10" s="1837">
        <f>(B8-B9)</f>
        <v>354502</v>
      </c>
      <c r="C10" s="1837">
        <f>(C8-C9)</f>
        <v>61488</v>
      </c>
      <c r="D10" s="1837">
        <f>(D8-D9)</f>
        <v>79538</v>
      </c>
      <c r="E10" s="1836">
        <f>(E8-E9)</f>
        <v>54338</v>
      </c>
      <c r="F10" s="1838">
        <f>SUM(F8-F9)</f>
        <v>549866</v>
      </c>
    </row>
    <row r="11" spans="1:8" s="1078" customFormat="1" ht="14.25" thickTop="1" thickBot="1" x14ac:dyDescent="0.25">
      <c r="A11" s="1080" t="s">
        <v>1785</v>
      </c>
      <c r="B11" s="1839">
        <f>'Acct Summary 7-8'!C81</f>
        <v>1225797</v>
      </c>
      <c r="C11" s="1839">
        <f>'Acct Summary 7-8'!D81</f>
        <v>895956</v>
      </c>
      <c r="D11" s="1839">
        <f>'Acct Summary 7-8'!F81</f>
        <v>347002</v>
      </c>
      <c r="E11" s="1839">
        <f>'Acct Summary 7-8'!I81</f>
        <v>559930</v>
      </c>
      <c r="F11" s="1840">
        <f>SUM(B11:E11)</f>
        <v>3028685</v>
      </c>
    </row>
    <row r="12" spans="1:8" ht="16.5" customHeight="1" thickTop="1" x14ac:dyDescent="0.2">
      <c r="A12" s="1081"/>
      <c r="B12" s="1082"/>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3"/>
      <c r="B13" s="1084"/>
      <c r="C13" s="2356"/>
      <c r="D13" s="2357"/>
      <c r="E13" s="2357"/>
      <c r="F13" s="2358"/>
      <c r="H13" s="1073"/>
    </row>
    <row r="14" spans="1:8" ht="19.5" customHeight="1" x14ac:dyDescent="0.2">
      <c r="A14" s="1083"/>
      <c r="B14" s="1084"/>
      <c r="C14" s="2356"/>
      <c r="D14" s="2357"/>
      <c r="E14" s="2357"/>
      <c r="F14" s="2358"/>
      <c r="H14" s="1073"/>
    </row>
    <row r="15" spans="1:8" ht="17.25" customHeight="1" x14ac:dyDescent="0.2">
      <c r="A15" s="1083"/>
      <c r="B15" s="1084"/>
      <c r="C15" s="2359"/>
      <c r="D15" s="2360"/>
      <c r="E15" s="2360"/>
      <c r="F15" s="2361"/>
      <c r="H15" s="1073"/>
    </row>
    <row r="16" spans="1:8" s="310" customFormat="1" ht="51.75" hidden="1" customHeight="1" x14ac:dyDescent="0.2">
      <c r="A16" s="2355" t="s">
        <v>1787</v>
      </c>
      <c r="B16" s="2355"/>
      <c r="C16" s="2355"/>
      <c r="D16" s="2355"/>
      <c r="E16" s="2355"/>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7"/>
      <c r="B2" s="1918"/>
      <c r="C2" s="1919"/>
      <c r="D2" s="1920"/>
    </row>
    <row r="3" spans="1:4" ht="36" customHeight="1" x14ac:dyDescent="0.2">
      <c r="A3" s="2377" t="s">
        <v>686</v>
      </c>
      <c r="B3" s="2378"/>
      <c r="C3" s="2378"/>
      <c r="D3" s="2379"/>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8" t="s">
        <v>1584</v>
      </c>
      <c r="D7" s="2389"/>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0" t="s">
        <v>1065</v>
      </c>
      <c r="B15" s="2381"/>
      <c r="C15" s="2381"/>
      <c r="D15" s="2382"/>
    </row>
    <row r="16" spans="1:4" s="667" customFormat="1" ht="24" customHeight="1" x14ac:dyDescent="0.2">
      <c r="A16" s="2383" t="s">
        <v>684</v>
      </c>
      <c r="B16" s="2384"/>
      <c r="C16" s="2384"/>
      <c r="D16" s="2385"/>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2" t="s">
        <v>332</v>
      </c>
      <c r="D21" s="2393"/>
    </row>
    <row r="22" spans="1:10" ht="12.75" x14ac:dyDescent="0.2">
      <c r="A22" s="1138"/>
      <c r="B22" s="1139">
        <v>2</v>
      </c>
      <c r="C22" s="2390" t="s">
        <v>1605</v>
      </c>
      <c r="D22" s="2391"/>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4" t="s">
        <v>557</v>
      </c>
      <c r="D43" s="2395"/>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6" t="s">
        <v>817</v>
      </c>
      <c r="D56" s="2387"/>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6" t="s">
        <v>1797</v>
      </c>
      <c r="D70" s="2387"/>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29'!D130&gt;0,"OK","PLEASE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47098003026</v>
      </c>
    </row>
    <row r="3" spans="1:2" x14ac:dyDescent="0.2">
      <c r="A3" t="s">
        <v>1013</v>
      </c>
      <c r="B3" s="138" t="str">
        <f>COVER!A15</f>
        <v>Whiteside, Henry, Bureau</v>
      </c>
    </row>
    <row r="4" spans="1:2" x14ac:dyDescent="0.2">
      <c r="A4" t="s">
        <v>1064</v>
      </c>
      <c r="B4" s="138" t="str">
        <f>COVER!A17</f>
        <v>Prophetstown-Lyndon-Tampico CUSD 3</v>
      </c>
    </row>
    <row r="5" spans="1:2" x14ac:dyDescent="0.2">
      <c r="A5" t="s">
        <v>728</v>
      </c>
      <c r="B5" s="138" t="str">
        <f>COVER!A38</f>
        <v>Chad Colmone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1041512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1225797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1225797</v>
      </c>
      <c r="D92" s="2" t="str">
        <f t="shared" si="0"/>
        <v>Error?</v>
      </c>
    </row>
    <row r="93" spans="1:4" x14ac:dyDescent="0.2">
      <c r="A93" s="5">
        <v>32</v>
      </c>
      <c r="B93" s="138">
        <f>'Assets-Liab 5-6'!C41</f>
        <v>1225797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872313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895956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895956</v>
      </c>
      <c r="D123" s="2" t="str">
        <f t="shared" si="0"/>
        <v>Error?</v>
      </c>
    </row>
    <row r="124" spans="1:4" x14ac:dyDescent="0.2">
      <c r="A124" s="5">
        <v>63</v>
      </c>
      <c r="B124" s="138">
        <f>'Assets-Liab 5-6'!D41</f>
        <v>895956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255937</v>
      </c>
      <c r="D129" s="2" t="str">
        <f t="shared" si="1"/>
        <v>Error?</v>
      </c>
    </row>
    <row r="130" spans="1:4" x14ac:dyDescent="0.2">
      <c r="A130" s="5">
        <v>69</v>
      </c>
      <c r="B130" s="138">
        <f>'Assets-Liab 5-6'!E12</f>
        <v>0</v>
      </c>
      <c r="D130" s="2" t="str">
        <f t="shared" si="1"/>
        <v>Error?</v>
      </c>
    </row>
    <row r="131" spans="1:4" x14ac:dyDescent="0.2">
      <c r="A131" s="5">
        <v>70</v>
      </c>
      <c r="B131" s="138">
        <f>'Assets-Liab 5-6'!E13</f>
        <v>257678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257678</v>
      </c>
      <c r="D140" s="2" t="str">
        <f t="shared" si="1"/>
        <v>Error?</v>
      </c>
    </row>
    <row r="141" spans="1:4" x14ac:dyDescent="0.2">
      <c r="A141" s="5">
        <v>80</v>
      </c>
      <c r="B141" s="138">
        <f>'Assets-Liab 5-6'!E41</f>
        <v>257678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317028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347002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347002</v>
      </c>
      <c r="D170" s="2" t="str">
        <f t="shared" si="1"/>
        <v>Error?</v>
      </c>
    </row>
    <row r="171" spans="1:4" x14ac:dyDescent="0.2">
      <c r="A171" s="5">
        <v>110</v>
      </c>
      <c r="B171" s="138">
        <f>'Assets-Liab 5-6'!F41</f>
        <v>347002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506308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522063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307401</v>
      </c>
      <c r="D189" s="2" t="str">
        <f t="shared" si="1"/>
        <v>Error?</v>
      </c>
    </row>
    <row r="190" spans="1:4" x14ac:dyDescent="0.2">
      <c r="A190" s="5">
        <v>129</v>
      </c>
      <c r="B190" s="138">
        <f>'Assets-Liab 5-6'!G41</f>
        <v>522063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665990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682451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682451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169617</v>
      </c>
      <c r="D273" s="2" t="str">
        <f t="shared" si="3"/>
        <v>Error?</v>
      </c>
    </row>
    <row r="274" spans="1:4" x14ac:dyDescent="0.2">
      <c r="A274" s="5">
        <v>213</v>
      </c>
      <c r="B274" s="138">
        <f>'Assets-Liab 5-6'!M17</f>
        <v>30546012</v>
      </c>
      <c r="D274" s="2" t="str">
        <f t="shared" si="3"/>
        <v>Error?</v>
      </c>
    </row>
    <row r="275" spans="1:4" x14ac:dyDescent="0.2">
      <c r="A275" s="5">
        <v>214</v>
      </c>
      <c r="B275" s="138">
        <f>'Assets-Liab 5-6'!M18</f>
        <v>0</v>
      </c>
      <c r="D275" s="2" t="str">
        <f t="shared" si="3"/>
        <v>Error?</v>
      </c>
    </row>
    <row r="276" spans="1:4" x14ac:dyDescent="0.2">
      <c r="A276" s="5">
        <v>215</v>
      </c>
      <c r="B276" s="138">
        <f>'Assets-Liab 5-6'!M19</f>
        <v>3009850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33725479</v>
      </c>
      <c r="C279" s="2" t="s">
        <v>594</v>
      </c>
      <c r="D279" s="2" t="str">
        <f t="shared" si="3"/>
        <v>Error?</v>
      </c>
    </row>
    <row r="280" spans="1:4" x14ac:dyDescent="0.2">
      <c r="A280" s="5">
        <v>219</v>
      </c>
      <c r="B280" s="138">
        <f>'Assets-Liab 5-6'!M40</f>
        <v>33725479</v>
      </c>
      <c r="D280" s="2" t="str">
        <f t="shared" si="3"/>
        <v>Error?</v>
      </c>
    </row>
    <row r="281" spans="1:4" x14ac:dyDescent="0.2">
      <c r="A281" s="5">
        <v>220</v>
      </c>
      <c r="B281" s="138">
        <f>'Assets-Liab 5-6'!M41</f>
        <v>33725479</v>
      </c>
      <c r="C281" s="2" t="s">
        <v>594</v>
      </c>
      <c r="D281" s="2" t="str">
        <f t="shared" si="3"/>
        <v>Error?</v>
      </c>
    </row>
    <row r="282" spans="1:4" x14ac:dyDescent="0.2">
      <c r="A282" s="5">
        <v>221</v>
      </c>
      <c r="B282" s="138">
        <f>'Assets-Liab 5-6'!N21</f>
        <v>257678</v>
      </c>
      <c r="D282" s="2" t="str">
        <f t="shared" si="3"/>
        <v>Error?</v>
      </c>
    </row>
    <row r="283" spans="1:4" x14ac:dyDescent="0.2">
      <c r="A283" s="5">
        <v>222</v>
      </c>
      <c r="B283" s="138">
        <f>'Assets-Liab 5-6'!N22</f>
        <v>309922</v>
      </c>
      <c r="D283" s="2" t="str">
        <f t="shared" si="3"/>
        <v>Error?</v>
      </c>
    </row>
    <row r="284" spans="1:4" x14ac:dyDescent="0.2">
      <c r="A284" s="5">
        <v>223</v>
      </c>
      <c r="B284" s="138">
        <f>'Assets-Liab 5-6'!N23</f>
        <v>567600</v>
      </c>
      <c r="C284" s="2" t="s">
        <v>594</v>
      </c>
      <c r="D284" s="2" t="str">
        <f t="shared" si="3"/>
        <v>Error?</v>
      </c>
    </row>
    <row r="285" spans="1:4" x14ac:dyDescent="0.2">
      <c r="A285" s="5">
        <v>224</v>
      </c>
      <c r="B285" s="138">
        <f>'Assets-Liab 5-6'!N36</f>
        <v>567600</v>
      </c>
      <c r="D285" s="2" t="str">
        <f t="shared" si="3"/>
        <v>Error?</v>
      </c>
    </row>
    <row r="286" spans="1:4" x14ac:dyDescent="0.2">
      <c r="A286" s="10">
        <v>225</v>
      </c>
      <c r="D286" s="2" t="str">
        <f t="shared" si="3"/>
        <v>OK</v>
      </c>
    </row>
    <row r="287" spans="1:4" x14ac:dyDescent="0.2">
      <c r="A287" s="5">
        <v>226</v>
      </c>
      <c r="B287" s="138">
        <f>'Assets-Liab 5-6'!N37</f>
        <v>567600</v>
      </c>
      <c r="C287" s="2" t="s">
        <v>594</v>
      </c>
      <c r="D287" s="2" t="str">
        <f t="shared" si="3"/>
        <v>Error?</v>
      </c>
    </row>
    <row r="288" spans="1:4" x14ac:dyDescent="0.2">
      <c r="A288" s="5">
        <v>227</v>
      </c>
      <c r="B288" s="138">
        <f>'Assets-Liab 5-6'!N41</f>
        <v>567600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1959742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220647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3027310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168788</v>
      </c>
      <c r="D722" s="2" t="str">
        <f t="shared" si="10"/>
        <v>Error?</v>
      </c>
    </row>
    <row r="723" spans="1:4" x14ac:dyDescent="0.2">
      <c r="A723" s="5">
        <v>662</v>
      </c>
      <c r="B723" s="138">
        <f>'Expenditures 15-22'!C38</f>
        <v>56599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44829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270216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153378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153378</v>
      </c>
      <c r="C731" s="2" t="s">
        <v>594</v>
      </c>
      <c r="D731" s="2" t="str">
        <f t="shared" si="10"/>
        <v>Error?</v>
      </c>
    </row>
    <row r="732" spans="1:4" x14ac:dyDescent="0.2">
      <c r="A732" s="5">
        <v>671</v>
      </c>
      <c r="B732" s="138">
        <f>'Expenditures 15-22'!C49</f>
        <v>2927</v>
      </c>
      <c r="D732" s="2" t="str">
        <f t="shared" si="10"/>
        <v>Error?</v>
      </c>
    </row>
    <row r="733" spans="1:4" x14ac:dyDescent="0.2">
      <c r="A733" s="5">
        <v>672</v>
      </c>
      <c r="B733" s="138">
        <f>'Expenditures 15-22'!C50</f>
        <v>116150</v>
      </c>
      <c r="D733" s="2" t="str">
        <f t="shared" si="10"/>
        <v>Error?</v>
      </c>
    </row>
    <row r="734" spans="1:4" x14ac:dyDescent="0.2">
      <c r="A734" s="5">
        <v>673</v>
      </c>
      <c r="B734" s="138">
        <f>'Expenditures 15-22'!C53</f>
        <v>119077</v>
      </c>
      <c r="C734" s="2" t="s">
        <v>594</v>
      </c>
      <c r="D734" s="2" t="str">
        <f t="shared" si="10"/>
        <v>Error?</v>
      </c>
    </row>
    <row r="735" spans="1:4" x14ac:dyDescent="0.2">
      <c r="A735" s="5">
        <v>674</v>
      </c>
      <c r="B735" s="138">
        <f>'Expenditures 15-22'!C55</f>
        <v>408150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408150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79467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120395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199862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1150683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4177993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528979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33376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740070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36573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11866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48439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19100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19100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36836</v>
      </c>
      <c r="D791" s="2" t="str">
        <f t="shared" si="11"/>
        <v>Error?</v>
      </c>
    </row>
    <row r="792" spans="1:4" x14ac:dyDescent="0.2">
      <c r="A792" s="5">
        <v>731</v>
      </c>
      <c r="B792" s="138">
        <f>'Expenditures 15-22'!D53</f>
        <v>36836</v>
      </c>
      <c r="C792" s="2" t="s">
        <v>594</v>
      </c>
      <c r="D792" s="2" t="str">
        <f t="shared" si="11"/>
        <v>Error?</v>
      </c>
    </row>
    <row r="793" spans="1:4" x14ac:dyDescent="0.2">
      <c r="A793" s="5">
        <v>732</v>
      </c>
      <c r="B793" s="138">
        <f>'Expenditures 15-22'!D55</f>
        <v>106639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106639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13366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16707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227721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967791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127871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25429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155248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12786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13005</v>
      </c>
      <c r="C843" s="2" t="s">
        <v>594</v>
      </c>
      <c r="D843" s="2" t="str">
        <f t="shared" si="12"/>
        <v>Error?</v>
      </c>
    </row>
    <row r="844" spans="1:4" x14ac:dyDescent="0.2">
      <c r="A844" s="5">
        <v>783</v>
      </c>
      <c r="B844" s="138">
        <f>'Expenditures 15-22'!E44</f>
        <v>1000</v>
      </c>
      <c r="D844" s="2" t="str">
        <f t="shared" si="12"/>
        <v>Error?</v>
      </c>
    </row>
    <row r="845" spans="1:4" x14ac:dyDescent="0.2">
      <c r="A845" s="5">
        <v>784</v>
      </c>
      <c r="B845" s="138">
        <f>'Expenditures 15-22'!E45</f>
        <v>250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1250</v>
      </c>
      <c r="C847" s="2" t="s">
        <v>594</v>
      </c>
      <c r="D847" s="2" t="str">
        <f t="shared" si="12"/>
        <v>Error?</v>
      </c>
    </row>
    <row r="848" spans="1:4" x14ac:dyDescent="0.2">
      <c r="A848" s="5">
        <v>787</v>
      </c>
      <c r="B848" s="138">
        <f>'Expenditures 15-22'!E49</f>
        <v>28706</v>
      </c>
      <c r="D848" s="2" t="str">
        <f t="shared" si="12"/>
        <v>Error?</v>
      </c>
    </row>
    <row r="849" spans="1:4" x14ac:dyDescent="0.2">
      <c r="A849" s="5">
        <v>788</v>
      </c>
      <c r="B849" s="138">
        <f>'Expenditures 15-22'!E50</f>
        <v>2655</v>
      </c>
      <c r="D849" s="2" t="str">
        <f t="shared" si="12"/>
        <v>Error?</v>
      </c>
    </row>
    <row r="850" spans="1:4" x14ac:dyDescent="0.2">
      <c r="A850" s="5">
        <v>789</v>
      </c>
      <c r="B850" s="138">
        <f>'Expenditures 15-22'!E53</f>
        <v>31361</v>
      </c>
      <c r="C850" s="2" t="s">
        <v>594</v>
      </c>
      <c r="D850" s="2" t="str">
        <f t="shared" si="12"/>
        <v>Error?</v>
      </c>
    </row>
    <row r="851" spans="1:4" x14ac:dyDescent="0.2">
      <c r="A851" s="5">
        <v>790</v>
      </c>
      <c r="B851" s="138">
        <f>'Expenditures 15-22'!E55</f>
        <v>5966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5966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5483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9194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60776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248511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115535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23492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166074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12483</v>
      </c>
      <c r="D896" s="2" t="str">
        <f t="shared" si="13"/>
        <v>Error?</v>
      </c>
    </row>
    <row r="897" spans="1:4" x14ac:dyDescent="0.2">
      <c r="A897" s="5">
        <v>836</v>
      </c>
      <c r="B897" s="138">
        <f>'Expenditures 15-22'!F38</f>
        <v>1075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665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14223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5272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5272</v>
      </c>
      <c r="C905" s="2" t="s">
        <v>594</v>
      </c>
      <c r="D905" s="2" t="str">
        <f t="shared" si="13"/>
        <v>Error?</v>
      </c>
    </row>
    <row r="906" spans="1:4" x14ac:dyDescent="0.2">
      <c r="A906" s="5">
        <v>845</v>
      </c>
      <c r="B906" s="138">
        <f>'Expenditures 15-22'!F49</f>
        <v>195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165009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166977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186667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352741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87983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87983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87983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2277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10223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225871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4094</v>
      </c>
      <c r="D1022" s="2" t="str">
        <f t="shared" si="14"/>
        <v>Error?</v>
      </c>
    </row>
    <row r="1023" spans="1:4" x14ac:dyDescent="0.2">
      <c r="A1023" s="5">
        <v>962</v>
      </c>
      <c r="B1023" s="138">
        <f>'Expenditures 15-22'!H50</f>
        <v>948</v>
      </c>
      <c r="D1023" s="2" t="str">
        <f t="shared" ref="D1023:D1086" si="15">IF(ISBLANK(B1023),"OK",IF(A1023-B1023=0,"OK","Error?"))</f>
        <v>Error?</v>
      </c>
    </row>
    <row r="1024" spans="1:4" x14ac:dyDescent="0.2">
      <c r="A1024" s="5">
        <v>963</v>
      </c>
      <c r="B1024" s="138">
        <f>'Expenditures 15-22'!H53</f>
        <v>5042</v>
      </c>
      <c r="C1024" s="2" t="s">
        <v>594</v>
      </c>
      <c r="D1024" s="2" t="str">
        <f t="shared" si="15"/>
        <v>Error?</v>
      </c>
    </row>
    <row r="1025" spans="1:4" x14ac:dyDescent="0.2">
      <c r="A1025" s="5">
        <v>964</v>
      </c>
      <c r="B1025" s="138">
        <f>'Expenditures 15-22'!H55</f>
        <v>924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924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5966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506380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738217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2822387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313167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4402556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217844</v>
      </c>
      <c r="C1110" s="2" t="s">
        <v>594</v>
      </c>
      <c r="D1110" s="2" t="str">
        <f t="shared" si="16"/>
        <v>Error?</v>
      </c>
    </row>
    <row r="1111" spans="1:4" x14ac:dyDescent="0.2">
      <c r="A1111" s="5">
        <v>1050</v>
      </c>
      <c r="B1111" s="138">
        <f>'Expenditures 15-22'!K38</f>
        <v>57893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70146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345883</v>
      </c>
      <c r="C1115" s="2" t="s">
        <v>594</v>
      </c>
      <c r="D1115" s="2" t="str">
        <f t="shared" si="16"/>
        <v>Error?</v>
      </c>
    </row>
    <row r="1116" spans="1:4" x14ac:dyDescent="0.2">
      <c r="A1116" s="5">
        <v>1055</v>
      </c>
      <c r="B1116" s="138">
        <f>'Expenditures 15-22'!K44</f>
        <v>1000</v>
      </c>
      <c r="C1116" s="2" t="s">
        <v>594</v>
      </c>
      <c r="D1116" s="2" t="str">
        <f t="shared" si="16"/>
        <v>Error?</v>
      </c>
    </row>
    <row r="1117" spans="1:4" x14ac:dyDescent="0.2">
      <c r="A1117" s="5">
        <v>1056</v>
      </c>
      <c r="B1117" s="138">
        <f>'Expenditures 15-22'!K45</f>
        <v>178000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179000</v>
      </c>
      <c r="C1119" s="2" t="s">
        <v>594</v>
      </c>
      <c r="D1119" s="2" t="str">
        <f t="shared" si="16"/>
        <v>Error?</v>
      </c>
    </row>
    <row r="1120" spans="1:4" x14ac:dyDescent="0.2">
      <c r="A1120" s="5">
        <v>1059</v>
      </c>
      <c r="B1120" s="138">
        <f>'Expenditures 15-22'!K49</f>
        <v>35922</v>
      </c>
      <c r="C1120" s="2" t="s">
        <v>594</v>
      </c>
      <c r="D1120" s="2" t="str">
        <f t="shared" si="16"/>
        <v>Error?</v>
      </c>
    </row>
    <row r="1121" spans="1:4" x14ac:dyDescent="0.2">
      <c r="A1121" s="5">
        <v>1060</v>
      </c>
      <c r="B1121" s="138">
        <f>'Expenditures 15-22'!K50</f>
        <v>156589</v>
      </c>
      <c r="C1121" s="2" t="s">
        <v>594</v>
      </c>
      <c r="D1121" s="2" t="str">
        <f t="shared" si="16"/>
        <v>Error?</v>
      </c>
    </row>
    <row r="1122" spans="1:4" x14ac:dyDescent="0.2">
      <c r="A1122" s="5">
        <v>1061</v>
      </c>
      <c r="B1122" s="138">
        <f>'Expenditures 15-22'!K53</f>
        <v>192511</v>
      </c>
      <c r="C1122" s="2" t="s">
        <v>594</v>
      </c>
      <c r="D1122" s="2" t="str">
        <f t="shared" si="16"/>
        <v>Error?</v>
      </c>
    </row>
    <row r="1123" spans="1:4" x14ac:dyDescent="0.2">
      <c r="A1123" s="5">
        <v>1062</v>
      </c>
      <c r="B1123" s="138">
        <f>'Expenditures 15-22'!K55</f>
        <v>521679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521679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98512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294228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392740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1631813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538867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6573236</v>
      </c>
      <c r="C1152" s="2" t="s">
        <v>594</v>
      </c>
      <c r="D1152" s="2" t="str">
        <f t="shared" si="17"/>
        <v>Error?</v>
      </c>
    </row>
    <row r="1153" spans="1:4" x14ac:dyDescent="0.2">
      <c r="A1153" s="5">
        <v>1092</v>
      </c>
      <c r="B1153" s="138">
        <f>'Expenditures 15-22'!K115</f>
        <v>354502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254878</v>
      </c>
      <c r="D1221" s="2" t="str">
        <f t="shared" si="18"/>
        <v>Error?</v>
      </c>
    </row>
    <row r="1222" spans="1:4" x14ac:dyDescent="0.2">
      <c r="A1222" s="10">
        <v>1161</v>
      </c>
      <c r="D1222" s="2" t="str">
        <f t="shared" si="18"/>
        <v>OK</v>
      </c>
    </row>
    <row r="1223" spans="1:4" x14ac:dyDescent="0.2">
      <c r="A1223" s="5">
        <v>1162</v>
      </c>
      <c r="B1223" s="138">
        <f>'Expenditures 15-22'!C127</f>
        <v>254878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254878</v>
      </c>
      <c r="C1225" s="2" t="s">
        <v>594</v>
      </c>
      <c r="D1225" s="2" t="str">
        <f t="shared" si="18"/>
        <v>Error?</v>
      </c>
    </row>
    <row r="1226" spans="1:4" x14ac:dyDescent="0.2">
      <c r="A1226" s="5">
        <v>1165</v>
      </c>
      <c r="B1226" s="138">
        <f>'Expenditures 15-22'!C151</f>
        <v>254878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46779</v>
      </c>
      <c r="D1229" s="2" t="str">
        <f t="shared" si="18"/>
        <v>Error?</v>
      </c>
    </row>
    <row r="1230" spans="1:4" x14ac:dyDescent="0.2">
      <c r="A1230" s="10">
        <v>1169</v>
      </c>
      <c r="D1230" s="2" t="str">
        <f t="shared" si="18"/>
        <v>OK</v>
      </c>
    </row>
    <row r="1231" spans="1:4" x14ac:dyDescent="0.2">
      <c r="A1231" s="5">
        <v>1170</v>
      </c>
      <c r="B1231" s="138">
        <f>'Expenditures 15-22'!D127</f>
        <v>46779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46779</v>
      </c>
      <c r="C1233" s="2" t="s">
        <v>594</v>
      </c>
      <c r="D1233" s="2" t="str">
        <f t="shared" si="18"/>
        <v>Error?</v>
      </c>
    </row>
    <row r="1234" spans="1:4" x14ac:dyDescent="0.2">
      <c r="A1234" s="5">
        <v>1173</v>
      </c>
      <c r="B1234" s="138">
        <f>'Expenditures 15-22'!D151</f>
        <v>46779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123751</v>
      </c>
      <c r="D1237" s="2" t="str">
        <f t="shared" si="18"/>
        <v>Error?</v>
      </c>
    </row>
    <row r="1238" spans="1:4" x14ac:dyDescent="0.2">
      <c r="A1238" s="10">
        <v>1177</v>
      </c>
      <c r="D1238" s="2" t="str">
        <f t="shared" si="18"/>
        <v>OK</v>
      </c>
    </row>
    <row r="1239" spans="1:4" x14ac:dyDescent="0.2">
      <c r="A1239" s="5">
        <v>1178</v>
      </c>
      <c r="B1239" s="138">
        <f>'Expenditures 15-22'!E127</f>
        <v>123751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123751</v>
      </c>
      <c r="C1241" s="2" t="s">
        <v>594</v>
      </c>
      <c r="D1241" s="2" t="str">
        <f t="shared" si="18"/>
        <v>Error?</v>
      </c>
    </row>
    <row r="1242" spans="1:4" x14ac:dyDescent="0.2">
      <c r="A1242" s="5">
        <v>1181</v>
      </c>
      <c r="B1242" s="138">
        <f>'Expenditures 15-22'!E151</f>
        <v>123751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225421</v>
      </c>
      <c r="D1245" s="2" t="str">
        <f t="shared" si="18"/>
        <v>Error?</v>
      </c>
    </row>
    <row r="1246" spans="1:4" x14ac:dyDescent="0.2">
      <c r="A1246" s="10">
        <v>1185</v>
      </c>
      <c r="D1246" s="2" t="str">
        <f t="shared" si="18"/>
        <v>OK</v>
      </c>
    </row>
    <row r="1247" spans="1:4" x14ac:dyDescent="0.2">
      <c r="A1247" s="5">
        <v>1186</v>
      </c>
      <c r="B1247" s="138">
        <f>'Expenditures 15-22'!F127</f>
        <v>225421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225421</v>
      </c>
      <c r="C1249" s="2" t="s">
        <v>594</v>
      </c>
      <c r="D1249" s="2" t="str">
        <f t="shared" si="18"/>
        <v>Error?</v>
      </c>
    </row>
    <row r="1250" spans="1:4" x14ac:dyDescent="0.2">
      <c r="A1250" s="5">
        <v>1189</v>
      </c>
      <c r="B1250" s="138">
        <f>'Expenditures 15-22'!F151</f>
        <v>225421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18178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18178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18178</v>
      </c>
      <c r="C1258" s="2" t="s">
        <v>594</v>
      </c>
      <c r="D1258" s="2" t="str">
        <f t="shared" si="18"/>
        <v>Error?</v>
      </c>
    </row>
    <row r="1259" spans="1:4" x14ac:dyDescent="0.2">
      <c r="A1259" s="5">
        <v>1198</v>
      </c>
      <c r="B1259" s="138">
        <f>'Expenditures 15-22'!G151</f>
        <v>18178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7376</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7376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669007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669007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669007</v>
      </c>
      <c r="C1281" s="2" t="s">
        <v>594</v>
      </c>
      <c r="D1281" s="2" t="str">
        <f t="shared" si="19"/>
        <v>Error?</v>
      </c>
    </row>
    <row r="1282" spans="1:4" x14ac:dyDescent="0.2">
      <c r="A1282" s="5">
        <v>1221</v>
      </c>
      <c r="B1282" s="138">
        <f>'Expenditures 15-22'!K139</f>
        <v>7376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676383</v>
      </c>
      <c r="C1288" s="2" t="s">
        <v>594</v>
      </c>
      <c r="D1288" s="2" t="str">
        <f t="shared" si="19"/>
        <v>Error?</v>
      </c>
    </row>
    <row r="1289" spans="1:4" x14ac:dyDescent="0.2">
      <c r="A1289" s="5">
        <v>1228</v>
      </c>
      <c r="B1289" s="138">
        <f>'Expenditures 15-22'!K152</f>
        <v>61488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16379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320700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337079</v>
      </c>
      <c r="C1317" s="2" t="s">
        <v>594</v>
      </c>
      <c r="D1317" s="2" t="str">
        <f t="shared" si="19"/>
        <v>Error?</v>
      </c>
    </row>
    <row r="1318" spans="1:4" x14ac:dyDescent="0.2">
      <c r="A1318" s="5">
        <v>1257</v>
      </c>
      <c r="B1318" s="138">
        <f>'Expenditures 15-22'!H174</f>
        <v>337079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16379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320700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337079</v>
      </c>
      <c r="C1331" s="2" t="s">
        <v>594</v>
      </c>
      <c r="D1331" s="2" t="str">
        <f t="shared" si="19"/>
        <v>Error?</v>
      </c>
    </row>
    <row r="1332" spans="1:4" x14ac:dyDescent="0.2">
      <c r="A1332" s="5">
        <v>1271</v>
      </c>
      <c r="B1332" s="138">
        <f>'Expenditures 15-22'!K174</f>
        <v>337079</v>
      </c>
      <c r="C1332" s="2" t="s">
        <v>594</v>
      </c>
      <c r="D1332" s="2" t="str">
        <f t="shared" si="19"/>
        <v>Error?</v>
      </c>
    </row>
    <row r="1333" spans="1:4" x14ac:dyDescent="0.2">
      <c r="A1333" s="5">
        <v>1272</v>
      </c>
      <c r="B1333" s="138">
        <f>'Expenditures 15-22'!K175</f>
        <v>-90418</v>
      </c>
      <c r="C1333" s="2" t="s">
        <v>594</v>
      </c>
      <c r="D1333" s="2" t="str">
        <f t="shared" si="19"/>
        <v>Error?</v>
      </c>
    </row>
    <row r="1334" spans="1:4" x14ac:dyDescent="0.2">
      <c r="A1334" s="10">
        <v>1273</v>
      </c>
      <c r="D1334" s="2" t="str">
        <f t="shared" si="19"/>
        <v>OK</v>
      </c>
    </row>
    <row r="1335" spans="1:4" x14ac:dyDescent="0.2">
      <c r="A1335" s="5">
        <v>1274</v>
      </c>
      <c r="B1335" s="138">
        <f>'Expenditures 15-22'!C182</f>
        <v>235702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235702</v>
      </c>
      <c r="C1339" s="2" t="s">
        <v>594</v>
      </c>
      <c r="D1339" s="2" t="str">
        <f t="shared" si="19"/>
        <v>Error?</v>
      </c>
    </row>
    <row r="1340" spans="1:4" x14ac:dyDescent="0.2">
      <c r="A1340" s="5">
        <v>1279</v>
      </c>
      <c r="B1340" s="138">
        <f>'Expenditures 15-22'!C210</f>
        <v>235702</v>
      </c>
      <c r="C1340" s="2" t="s">
        <v>594</v>
      </c>
      <c r="D1340" s="2" t="str">
        <f t="shared" si="19"/>
        <v>Error?</v>
      </c>
    </row>
    <row r="1341" spans="1:4" x14ac:dyDescent="0.2">
      <c r="A1341" s="5">
        <v>1280</v>
      </c>
      <c r="B1341" s="138">
        <f>'Expenditures 15-22'!D182</f>
        <v>6683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6683</v>
      </c>
      <c r="C1345" s="2" t="s">
        <v>594</v>
      </c>
      <c r="D1345" s="2" t="str">
        <f t="shared" si="20"/>
        <v>Error?</v>
      </c>
    </row>
    <row r="1346" spans="1:4" x14ac:dyDescent="0.2">
      <c r="A1346" s="5">
        <v>1285</v>
      </c>
      <c r="B1346" s="138">
        <f>'Expenditures 15-22'!D210</f>
        <v>6683</v>
      </c>
      <c r="C1346" s="2" t="s">
        <v>594</v>
      </c>
      <c r="D1346" s="2" t="str">
        <f t="shared" si="20"/>
        <v>Error?</v>
      </c>
    </row>
    <row r="1347" spans="1:4" x14ac:dyDescent="0.2">
      <c r="A1347" s="5">
        <v>1286</v>
      </c>
      <c r="B1347" s="138">
        <f>'Expenditures 15-22'!E182</f>
        <v>168098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168098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168098</v>
      </c>
      <c r="C1353" s="2" t="s">
        <v>594</v>
      </c>
      <c r="D1353" s="2" t="str">
        <f t="shared" si="20"/>
        <v>Error?</v>
      </c>
    </row>
    <row r="1354" spans="1:4" x14ac:dyDescent="0.2">
      <c r="A1354" s="5">
        <v>1293</v>
      </c>
      <c r="B1354" s="138">
        <f>'Expenditures 15-22'!F182</f>
        <v>93658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93658</v>
      </c>
      <c r="C1358" s="2" t="s">
        <v>594</v>
      </c>
      <c r="D1358" s="2" t="str">
        <f t="shared" si="20"/>
        <v>Error?</v>
      </c>
    </row>
    <row r="1359" spans="1:4" x14ac:dyDescent="0.2">
      <c r="A1359" s="5">
        <v>1298</v>
      </c>
      <c r="B1359" s="138">
        <f>'Expenditures 15-22'!F210</f>
        <v>93658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2471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2471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2471</v>
      </c>
      <c r="C1376" s="2" t="s">
        <v>594</v>
      </c>
      <c r="D1376" s="2" t="str">
        <f t="shared" si="20"/>
        <v>Error?</v>
      </c>
    </row>
    <row r="1377" spans="1:4" x14ac:dyDescent="0.2">
      <c r="A1377" s="5">
        <v>1316</v>
      </c>
      <c r="B1377" s="138">
        <f>'Expenditures 15-22'!K182</f>
        <v>506612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506612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506612</v>
      </c>
      <c r="C1388" s="2" t="s">
        <v>594</v>
      </c>
      <c r="D1388" s="2" t="str">
        <f t="shared" si="20"/>
        <v>Error?</v>
      </c>
    </row>
    <row r="1389" spans="1:4" x14ac:dyDescent="0.2">
      <c r="A1389" s="5">
        <v>1328</v>
      </c>
      <c r="B1389" s="138">
        <f>'Expenditures 15-22'!K211</f>
        <v>79538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7291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76395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2434</v>
      </c>
      <c r="D1412" s="2" t="str">
        <f t="shared" si="21"/>
        <v>Error?</v>
      </c>
    </row>
    <row r="1413" spans="1:4" x14ac:dyDescent="0.2">
      <c r="A1413" s="5">
        <v>1352</v>
      </c>
      <c r="B1413" s="138">
        <f>'Expenditures 15-22'!D234</f>
        <v>9241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451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12126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18573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18573</v>
      </c>
      <c r="C1421" s="2" t="s">
        <v>594</v>
      </c>
      <c r="D1421" s="2" t="str">
        <f t="shared" si="21"/>
        <v>Error?</v>
      </c>
    </row>
    <row r="1422" spans="1:4" x14ac:dyDescent="0.2">
      <c r="A1422" s="5">
        <v>1361</v>
      </c>
      <c r="B1422" s="138">
        <f>'Expenditures 15-22'!D245</f>
        <v>486</v>
      </c>
      <c r="D1422" s="2" t="str">
        <f t="shared" si="21"/>
        <v>Error?</v>
      </c>
    </row>
    <row r="1423" spans="1:4" x14ac:dyDescent="0.2">
      <c r="A1423" s="5">
        <v>1362</v>
      </c>
      <c r="B1423" s="138">
        <f>'Expenditures 15-22'!D246</f>
        <v>1684</v>
      </c>
      <c r="D1423" s="2" t="str">
        <f t="shared" si="21"/>
        <v>Error?</v>
      </c>
    </row>
    <row r="1424" spans="1:4" x14ac:dyDescent="0.2">
      <c r="A1424" s="5">
        <v>1363</v>
      </c>
      <c r="B1424" s="138">
        <f>'Expenditures 15-22'!D257</f>
        <v>2170</v>
      </c>
      <c r="C1424" s="2" t="s">
        <v>594</v>
      </c>
      <c r="D1424" s="2" t="str">
        <f t="shared" si="21"/>
        <v>Error?</v>
      </c>
    </row>
    <row r="1425" spans="1:4" x14ac:dyDescent="0.2">
      <c r="A1425" s="5">
        <v>1364</v>
      </c>
      <c r="B1425" s="138">
        <f>'Expenditures 15-22'!D259</f>
        <v>19438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19438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13137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39692</v>
      </c>
      <c r="D1431" s="2" t="str">
        <f t="shared" si="21"/>
        <v>Error?</v>
      </c>
    </row>
    <row r="1432" spans="1:4" x14ac:dyDescent="0.2">
      <c r="A1432" s="5">
        <v>1371</v>
      </c>
      <c r="B1432" s="138">
        <f>'Expenditures 15-22'!D267</f>
        <v>36899</v>
      </c>
      <c r="D1432" s="2" t="str">
        <f t="shared" si="21"/>
        <v>Error?</v>
      </c>
    </row>
    <row r="1433" spans="1:4" x14ac:dyDescent="0.2">
      <c r="A1433" s="5">
        <v>1372</v>
      </c>
      <c r="B1433" s="138">
        <f>'Expenditures 15-22'!D268</f>
        <v>18551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108279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160586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236981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7291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76395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2434</v>
      </c>
      <c r="C1476" s="2" t="s">
        <v>594</v>
      </c>
      <c r="D1476" s="2" t="str">
        <f t="shared" si="22"/>
        <v>Error?</v>
      </c>
    </row>
    <row r="1477" spans="1:4" x14ac:dyDescent="0.2">
      <c r="A1477" s="5">
        <v>1416</v>
      </c>
      <c r="B1477" s="138">
        <f>'Expenditures 15-22'!K234</f>
        <v>9241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451</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12126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18573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18573</v>
      </c>
      <c r="C1485" s="2" t="s">
        <v>594</v>
      </c>
      <c r="D1485" s="2" t="str">
        <f t="shared" si="22"/>
        <v>Error?</v>
      </c>
    </row>
    <row r="1486" spans="1:4" x14ac:dyDescent="0.2">
      <c r="A1486" s="5">
        <v>1425</v>
      </c>
      <c r="B1486" s="138">
        <f>'Expenditures 15-22'!K245</f>
        <v>486</v>
      </c>
      <c r="C1486" s="2" t="s">
        <v>594</v>
      </c>
      <c r="D1486" s="2" t="str">
        <f t="shared" si="22"/>
        <v>Error?</v>
      </c>
    </row>
    <row r="1487" spans="1:4" x14ac:dyDescent="0.2">
      <c r="A1487" s="5">
        <v>1426</v>
      </c>
      <c r="B1487" s="138">
        <f>'Expenditures 15-22'!K246</f>
        <v>1684</v>
      </c>
      <c r="C1487" s="2" t="s">
        <v>594</v>
      </c>
      <c r="D1487" s="2" t="str">
        <f t="shared" si="22"/>
        <v>Error?</v>
      </c>
    </row>
    <row r="1488" spans="1:4" x14ac:dyDescent="0.2">
      <c r="A1488" s="5">
        <v>1427</v>
      </c>
      <c r="B1488" s="138">
        <f>'Expenditures 15-22'!K257</f>
        <v>2170</v>
      </c>
      <c r="C1488" s="2" t="s">
        <v>594</v>
      </c>
      <c r="D1488" s="2" t="str">
        <f t="shared" si="22"/>
        <v>Error?</v>
      </c>
    </row>
    <row r="1489" spans="1:4" x14ac:dyDescent="0.2">
      <c r="A1489" s="5">
        <v>1428</v>
      </c>
      <c r="B1489" s="138">
        <f>'Expenditures 15-22'!K259</f>
        <v>19438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19438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13137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39692</v>
      </c>
      <c r="C1495" s="2" t="s">
        <v>594</v>
      </c>
      <c r="D1495" s="2" t="str">
        <f t="shared" si="22"/>
        <v>Error?</v>
      </c>
    </row>
    <row r="1496" spans="1:4" x14ac:dyDescent="0.2">
      <c r="A1496" s="5">
        <v>1435</v>
      </c>
      <c r="B1496" s="138">
        <f>'Expenditures 15-22'!K267</f>
        <v>36899</v>
      </c>
      <c r="C1496" s="2" t="s">
        <v>594</v>
      </c>
      <c r="D1496" s="2" t="str">
        <f t="shared" si="22"/>
        <v>Error?</v>
      </c>
    </row>
    <row r="1497" spans="1:4" x14ac:dyDescent="0.2">
      <c r="A1497" s="5">
        <v>1436</v>
      </c>
      <c r="B1497" s="138">
        <f>'Expenditures 15-22'!K268</f>
        <v>18551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108279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160586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236981</v>
      </c>
      <c r="C1517" s="2" t="s">
        <v>594</v>
      </c>
      <c r="D1517" s="2" t="str">
        <f t="shared" si="22"/>
        <v>Error?</v>
      </c>
    </row>
    <row r="1518" spans="1:4" x14ac:dyDescent="0.2">
      <c r="A1518" s="5">
        <v>1457</v>
      </c>
      <c r="B1518" s="138">
        <f>'Expenditures 15-22'!K296</f>
        <v>20536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3785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3785</v>
      </c>
      <c r="C1535" s="2" t="s">
        <v>594</v>
      </c>
      <c r="D1535" s="2" t="str">
        <f t="shared" ref="D1535:D1598" si="23">IF(ISBLANK(B1535),"OK",IF(A1535-B1535=0,"OK","Error?"))</f>
        <v>Error?</v>
      </c>
    </row>
    <row r="1536" spans="1:4" x14ac:dyDescent="0.2">
      <c r="A1536" s="5">
        <v>1475</v>
      </c>
      <c r="B1536" s="138">
        <f>'Expenditures 15-22'!E312</f>
        <v>3785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211677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211677</v>
      </c>
      <c r="C1547" s="2" t="s">
        <v>594</v>
      </c>
      <c r="D1547" s="2" t="str">
        <f t="shared" si="23"/>
        <v>Error?</v>
      </c>
    </row>
    <row r="1548" spans="1:4" x14ac:dyDescent="0.2">
      <c r="A1548" s="5">
        <v>1487</v>
      </c>
      <c r="B1548" s="138">
        <f>'Expenditures 15-22'!G312</f>
        <v>211677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215462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215462</v>
      </c>
      <c r="C1559" s="2" t="s">
        <v>594</v>
      </c>
      <c r="D1559" s="2" t="str">
        <f t="shared" si="23"/>
        <v>Error?</v>
      </c>
    </row>
    <row r="1560" spans="1:4" x14ac:dyDescent="0.2">
      <c r="A1560" s="5">
        <v>1499</v>
      </c>
      <c r="B1560" s="138">
        <f>'Expenditures 15-22'!K312</f>
        <v>215462</v>
      </c>
      <c r="C1560" s="2" t="s">
        <v>594</v>
      </c>
      <c r="D1560" s="2" t="str">
        <f t="shared" si="23"/>
        <v>Error?</v>
      </c>
    </row>
    <row r="1561" spans="1:4" x14ac:dyDescent="0.2">
      <c r="A1561" s="5">
        <v>1500</v>
      </c>
      <c r="B1561" s="138">
        <f>'Expenditures 15-22'!K313</f>
        <v>201269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871295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1225797</v>
      </c>
      <c r="C1630" s="2" t="s">
        <v>594</v>
      </c>
      <c r="D1630" s="2" t="str">
        <f t="shared" si="24"/>
        <v>Error?</v>
      </c>
    </row>
    <row r="1631" spans="1:4" x14ac:dyDescent="0.2">
      <c r="A1631" s="5">
        <v>1570</v>
      </c>
      <c r="B1631" s="138">
        <f>'Acct Summary 7-8'!D79</f>
        <v>834468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895956</v>
      </c>
      <c r="C1644" s="2" t="s">
        <v>594</v>
      </c>
      <c r="D1644" s="2" t="str">
        <f t="shared" si="24"/>
        <v>Error?</v>
      </c>
    </row>
    <row r="1645" spans="1:4" x14ac:dyDescent="0.2">
      <c r="A1645" s="5">
        <v>1584</v>
      </c>
      <c r="B1645" s="138">
        <f>'Acct Summary 7-8'!E79</f>
        <v>348096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257678</v>
      </c>
      <c r="C1658" s="2" t="s">
        <v>594</v>
      </c>
      <c r="D1658" s="2" t="str">
        <f t="shared" si="24"/>
        <v>Error?</v>
      </c>
    </row>
    <row r="1659" spans="1:4" x14ac:dyDescent="0.2">
      <c r="A1659" s="5">
        <v>1598</v>
      </c>
      <c r="B1659" s="138">
        <f>'Acct Summary 7-8'!F79</f>
        <v>267464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347002</v>
      </c>
      <c r="C1672" s="2" t="s">
        <v>594</v>
      </c>
      <c r="D1672" s="2" t="str">
        <f t="shared" si="25"/>
        <v>Error?</v>
      </c>
    </row>
    <row r="1673" spans="1:4" x14ac:dyDescent="0.2">
      <c r="A1673" s="5">
        <v>1612</v>
      </c>
      <c r="B1673" s="138">
        <f>'Acct Summary 7-8'!G79</f>
        <v>501527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522063</v>
      </c>
      <c r="C1686" s="2" t="s">
        <v>594</v>
      </c>
      <c r="D1686" s="2" t="str">
        <f t="shared" si="25"/>
        <v>Error?</v>
      </c>
    </row>
    <row r="1687" spans="1:4" x14ac:dyDescent="0.2">
      <c r="A1687" s="5">
        <v>1626</v>
      </c>
      <c r="B1687" s="138">
        <f>'Acct Summary 7-8'!H79</f>
        <v>481182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682451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2713294</v>
      </c>
      <c r="C1744" s="2" t="s">
        <v>594</v>
      </c>
      <c r="D1744" s="2" t="str">
        <f t="shared" si="26"/>
        <v>Error?</v>
      </c>
    </row>
    <row r="1745" spans="1:5" x14ac:dyDescent="0.2">
      <c r="A1745" s="5">
        <v>1684</v>
      </c>
      <c r="B1745" s="138">
        <f>'Tax Sched 23'!B5</f>
        <v>714025</v>
      </c>
      <c r="C1745" s="2" t="s">
        <v>594</v>
      </c>
      <c r="D1745" s="2" t="str">
        <f t="shared" si="26"/>
        <v>Error?</v>
      </c>
    </row>
    <row r="1746" spans="1:5" x14ac:dyDescent="0.2">
      <c r="A1746" s="5">
        <v>1685</v>
      </c>
      <c r="B1746" s="138">
        <f>'Tax Sched 23'!B6</f>
        <v>242045</v>
      </c>
      <c r="C1746" s="2" t="s">
        <v>594</v>
      </c>
      <c r="D1746" s="2" t="str">
        <f t="shared" si="26"/>
        <v>Error?</v>
      </c>
    </row>
    <row r="1747" spans="1:5" x14ac:dyDescent="0.2">
      <c r="A1747" s="5">
        <v>1686</v>
      </c>
      <c r="B1747" s="138">
        <f>'Tax Sched 23'!B7</f>
        <v>190407</v>
      </c>
      <c r="C1747" s="2" t="s">
        <v>594</v>
      </c>
      <c r="D1747" s="2" t="str">
        <f t="shared" si="26"/>
        <v>Error?</v>
      </c>
    </row>
    <row r="1748" spans="1:5" x14ac:dyDescent="0.2">
      <c r="A1748" s="5">
        <v>1687</v>
      </c>
      <c r="B1748" s="138">
        <f>'Tax Sched 23'!B8</f>
        <v>108644</v>
      </c>
      <c r="C1748" s="2" t="s">
        <v>594</v>
      </c>
      <c r="D1748" s="2" t="str">
        <f t="shared" si="26"/>
        <v>Error?</v>
      </c>
    </row>
    <row r="1749" spans="1:5" x14ac:dyDescent="0.2">
      <c r="A1749" s="5">
        <v>1688</v>
      </c>
      <c r="B1749" s="138">
        <f>'Tax Sched 23'!B10</f>
        <v>47602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160171</v>
      </c>
      <c r="C1752" s="2" t="s">
        <v>594</v>
      </c>
      <c r="D1752" s="2" t="str">
        <f t="shared" si="26"/>
        <v>Error?</v>
      </c>
    </row>
    <row r="1753" spans="1:5" x14ac:dyDescent="0.2">
      <c r="A1753" s="5">
        <v>1692</v>
      </c>
      <c r="B1753" s="138">
        <f>'Tax Sched 23'!B12</f>
        <v>47602</v>
      </c>
      <c r="C1753" s="2" t="s">
        <v>594</v>
      </c>
      <c r="D1753" s="2" t="str">
        <f t="shared" si="26"/>
        <v>Error?</v>
      </c>
    </row>
    <row r="1754" spans="1:5" x14ac:dyDescent="0.2">
      <c r="A1754" s="5">
        <v>1693</v>
      </c>
      <c r="B1754" s="138">
        <f>'Tax Sched 23'!B14</f>
        <v>38081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4437065</v>
      </c>
      <c r="C1759" s="2" t="s">
        <v>594</v>
      </c>
      <c r="D1759" s="2" t="str">
        <f t="shared" si="26"/>
        <v>Error?</v>
      </c>
    </row>
    <row r="1760" spans="1:5" x14ac:dyDescent="0.2">
      <c r="A1760" s="5">
        <v>1699</v>
      </c>
      <c r="B1760" s="138">
        <f>'Tax Sched 23'!D4</f>
        <v>1227574</v>
      </c>
      <c r="C1760" s="2" t="s">
        <v>594</v>
      </c>
      <c r="D1760" s="2" t="str">
        <f t="shared" si="26"/>
        <v>Error?</v>
      </c>
    </row>
    <row r="1761" spans="1:5" x14ac:dyDescent="0.2">
      <c r="A1761" s="5">
        <v>1700</v>
      </c>
      <c r="B1761" s="138">
        <f>'Tax Sched 23'!D5</f>
        <v>323046</v>
      </c>
      <c r="C1761" s="2" t="s">
        <v>594</v>
      </c>
      <c r="D1761" s="2" t="str">
        <f t="shared" si="26"/>
        <v>Error?</v>
      </c>
    </row>
    <row r="1762" spans="1:5" s="8" customFormat="1" x14ac:dyDescent="0.2">
      <c r="A1762" s="5">
        <v>1701</v>
      </c>
      <c r="B1762" s="138">
        <f>'Tax Sched 23'!D6</f>
        <v>161034</v>
      </c>
      <c r="C1762" s="2" t="s">
        <v>594</v>
      </c>
      <c r="D1762" s="2" t="str">
        <f t="shared" si="26"/>
        <v>Error?</v>
      </c>
      <c r="E1762" s="9"/>
    </row>
    <row r="1763" spans="1:5" x14ac:dyDescent="0.2">
      <c r="A1763" s="5">
        <v>1702</v>
      </c>
      <c r="B1763" s="138">
        <f>'Tax Sched 23'!D7</f>
        <v>86146</v>
      </c>
      <c r="C1763" s="2" t="s">
        <v>594</v>
      </c>
      <c r="D1763" s="2" t="str">
        <f t="shared" si="26"/>
        <v>Error?</v>
      </c>
    </row>
    <row r="1764" spans="1:5" x14ac:dyDescent="0.2">
      <c r="A1764" s="5">
        <v>1703</v>
      </c>
      <c r="B1764" s="138">
        <f>'Tax Sched 23'!D8</f>
        <v>52239</v>
      </c>
      <c r="C1764" s="2" t="s">
        <v>594</v>
      </c>
      <c r="D1764" s="2" t="str">
        <f t="shared" si="26"/>
        <v>Error?</v>
      </c>
    </row>
    <row r="1765" spans="1:5" x14ac:dyDescent="0.2">
      <c r="A1765" s="5">
        <v>1704</v>
      </c>
      <c r="B1765" s="138">
        <f>'Tax Sched 23'!D10</f>
        <v>21537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75250</v>
      </c>
      <c r="C1768" s="2" t="s">
        <v>594</v>
      </c>
      <c r="D1768" s="2" t="str">
        <f t="shared" si="26"/>
        <v>Error?</v>
      </c>
    </row>
    <row r="1769" spans="1:5" x14ac:dyDescent="0.2">
      <c r="A1769" s="5">
        <v>1708</v>
      </c>
      <c r="B1769" s="138">
        <f>'Tax Sched 23'!D12</f>
        <v>21537</v>
      </c>
      <c r="C1769" s="2" t="s">
        <v>594</v>
      </c>
      <c r="D1769" s="2" t="str">
        <f t="shared" si="26"/>
        <v>Error?</v>
      </c>
    </row>
    <row r="1770" spans="1:5" x14ac:dyDescent="0.2">
      <c r="A1770" s="5">
        <v>1709</v>
      </c>
      <c r="B1770" s="138">
        <f>'Tax Sched 23'!D14</f>
        <v>17229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2077220</v>
      </c>
      <c r="C1775" s="2" t="s">
        <v>594</v>
      </c>
      <c r="D1775" s="2" t="str">
        <f t="shared" si="26"/>
        <v>Error?</v>
      </c>
    </row>
    <row r="1776" spans="1:5" x14ac:dyDescent="0.2">
      <c r="A1776" s="5">
        <v>1715</v>
      </c>
      <c r="B1776" s="138">
        <f>'Tax Sched 23'!C4</f>
        <v>1485720</v>
      </c>
      <c r="D1776" s="2" t="str">
        <f t="shared" si="26"/>
        <v>Error?</v>
      </c>
    </row>
    <row r="1777" spans="1:4" x14ac:dyDescent="0.2">
      <c r="A1777" s="5">
        <v>1716</v>
      </c>
      <c r="B1777" s="138">
        <f>'Tax Sched 23'!C5</f>
        <v>390979</v>
      </c>
      <c r="D1777" s="2" t="str">
        <f t="shared" si="26"/>
        <v>Error?</v>
      </c>
    </row>
    <row r="1778" spans="1:4" x14ac:dyDescent="0.2">
      <c r="A1778" s="5">
        <v>1717</v>
      </c>
      <c r="B1778" s="138">
        <f>'Tax Sched 23'!C6</f>
        <v>81011</v>
      </c>
      <c r="D1778" s="2" t="str">
        <f t="shared" si="26"/>
        <v>Error?</v>
      </c>
    </row>
    <row r="1779" spans="1:4" x14ac:dyDescent="0.2">
      <c r="A1779" s="5">
        <v>1718</v>
      </c>
      <c r="B1779" s="138">
        <f>'Tax Sched 23'!C7</f>
        <v>104261</v>
      </c>
      <c r="D1779" s="2" t="str">
        <f t="shared" si="26"/>
        <v>Error?</v>
      </c>
    </row>
    <row r="1780" spans="1:4" x14ac:dyDescent="0.2">
      <c r="A1780" s="5">
        <v>1719</v>
      </c>
      <c r="B1780" s="138">
        <f>'Tax Sched 23'!C8</f>
        <v>56405</v>
      </c>
      <c r="D1780" s="2" t="str">
        <f t="shared" si="26"/>
        <v>Error?</v>
      </c>
    </row>
    <row r="1781" spans="1:4" x14ac:dyDescent="0.2">
      <c r="A1781" s="5">
        <v>1720</v>
      </c>
      <c r="B1781" s="138">
        <f>'Tax Sched 23'!C10</f>
        <v>26065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84921</v>
      </c>
      <c r="D1784" s="2" t="str">
        <f t="shared" si="26"/>
        <v>Error?</v>
      </c>
    </row>
    <row r="1785" spans="1:4" x14ac:dyDescent="0.2">
      <c r="A1785" s="5">
        <v>1724</v>
      </c>
      <c r="B1785" s="138">
        <f>'Tax Sched 23'!C12</f>
        <v>26065</v>
      </c>
      <c r="D1785" s="2" t="str">
        <f t="shared" si="26"/>
        <v>Error?</v>
      </c>
    </row>
    <row r="1786" spans="1:4" x14ac:dyDescent="0.2">
      <c r="A1786" s="5">
        <v>1725</v>
      </c>
      <c r="B1786" s="138">
        <f>'Tax Sched 23'!C14</f>
        <v>20852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2359845</v>
      </c>
      <c r="C1791" s="2" t="s">
        <v>594</v>
      </c>
      <c r="D1791" s="2" t="str">
        <f t="shared" ref="D1791:D1854" si="27">IF(ISBLANK(B1791),"OK",IF(A1791-B1791=0,"OK","Error?"))</f>
        <v>Error?</v>
      </c>
    </row>
    <row r="1792" spans="1:4" x14ac:dyDescent="0.2">
      <c r="A1792" s="5">
        <v>1731</v>
      </c>
      <c r="B1792" s="138">
        <f>'Tax Sched 23'!F4</f>
        <v>1279253</v>
      </c>
      <c r="C1792" s="2" t="s">
        <v>594</v>
      </c>
      <c r="D1792" s="2" t="str">
        <f t="shared" si="27"/>
        <v>Error?</v>
      </c>
    </row>
    <row r="1793" spans="1:4" x14ac:dyDescent="0.2">
      <c r="A1793" s="5">
        <v>1732</v>
      </c>
      <c r="B1793" s="138">
        <f>'Tax Sched 23'!F5</f>
        <v>336645</v>
      </c>
      <c r="C1793" s="2" t="s">
        <v>594</v>
      </c>
      <c r="D1793" s="2" t="str">
        <f t="shared" si="27"/>
        <v>Error?</v>
      </c>
    </row>
    <row r="1794" spans="1:4" x14ac:dyDescent="0.2">
      <c r="A1794" s="5">
        <v>1733</v>
      </c>
      <c r="B1794" s="138">
        <f>'Tax Sched 23'!F6</f>
        <v>69753</v>
      </c>
      <c r="C1794" s="2" t="s">
        <v>594</v>
      </c>
      <c r="D1794" s="2" t="str">
        <f t="shared" si="27"/>
        <v>Error?</v>
      </c>
    </row>
    <row r="1795" spans="1:4" x14ac:dyDescent="0.2">
      <c r="A1795" s="5">
        <v>1734</v>
      </c>
      <c r="B1795" s="138">
        <f>'Tax Sched 23'!F7</f>
        <v>89772</v>
      </c>
      <c r="C1795" s="2" t="s">
        <v>594</v>
      </c>
      <c r="D1795" s="2" t="str">
        <f t="shared" si="27"/>
        <v>Error?</v>
      </c>
    </row>
    <row r="1796" spans="1:4" x14ac:dyDescent="0.2">
      <c r="A1796" s="5">
        <v>1735</v>
      </c>
      <c r="B1796" s="138">
        <f>'Tax Sched 23'!F8</f>
        <v>48567</v>
      </c>
      <c r="C1796" s="2" t="s">
        <v>594</v>
      </c>
      <c r="D1796" s="2" t="str">
        <f t="shared" si="27"/>
        <v>Error?</v>
      </c>
    </row>
    <row r="1797" spans="1:4" x14ac:dyDescent="0.2">
      <c r="A1797" s="5">
        <v>1736</v>
      </c>
      <c r="B1797" s="138">
        <f>'Tax Sched 23'!F10</f>
        <v>22443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73119</v>
      </c>
      <c r="C1800" s="2" t="s">
        <v>594</v>
      </c>
      <c r="D1800" s="2" t="str">
        <f t="shared" si="27"/>
        <v>Error?</v>
      </c>
    </row>
    <row r="1801" spans="1:4" x14ac:dyDescent="0.2">
      <c r="A1801" s="5">
        <v>1740</v>
      </c>
      <c r="B1801" s="138">
        <f>'Tax Sched 23'!F12</f>
        <v>22443</v>
      </c>
      <c r="C1801" s="2" t="s">
        <v>594</v>
      </c>
      <c r="D1801" s="2" t="str">
        <f t="shared" si="27"/>
        <v>Error?</v>
      </c>
    </row>
    <row r="1802" spans="1:4" x14ac:dyDescent="0.2">
      <c r="A1802" s="5">
        <v>1741</v>
      </c>
      <c r="B1802" s="138">
        <f>'Tax Sched 23'!F14</f>
        <v>17955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2031901</v>
      </c>
      <c r="C1807" s="2" t="s">
        <v>594</v>
      </c>
      <c r="D1807" s="2" t="str">
        <f t="shared" si="27"/>
        <v>Error?</v>
      </c>
    </row>
    <row r="1808" spans="1:4" x14ac:dyDescent="0.2">
      <c r="A1808" s="5">
        <v>1747</v>
      </c>
      <c r="B1808" s="138">
        <f>'Tax Sched 23'!E4</f>
        <v>2764973</v>
      </c>
      <c r="D1808" s="2" t="str">
        <f t="shared" si="27"/>
        <v>Error?</v>
      </c>
    </row>
    <row r="1809" spans="1:4" x14ac:dyDescent="0.2">
      <c r="A1809" s="5">
        <v>1748</v>
      </c>
      <c r="B1809" s="138">
        <f>'Tax Sched 23'!E5</f>
        <v>727624</v>
      </c>
      <c r="D1809" s="2" t="str">
        <f t="shared" si="27"/>
        <v>Error?</v>
      </c>
    </row>
    <row r="1810" spans="1:4" x14ac:dyDescent="0.2">
      <c r="A1810" s="5">
        <v>1749</v>
      </c>
      <c r="B1810" s="138">
        <f>'Tax Sched 23'!E6</f>
        <v>150764</v>
      </c>
      <c r="D1810" s="2" t="str">
        <f t="shared" si="27"/>
        <v>Error?</v>
      </c>
    </row>
    <row r="1811" spans="1:4" x14ac:dyDescent="0.2">
      <c r="A1811" s="5">
        <v>1750</v>
      </c>
      <c r="B1811" s="138">
        <f>'Tax Sched 23'!E7</f>
        <v>194033</v>
      </c>
      <c r="D1811" s="2" t="str">
        <f t="shared" si="27"/>
        <v>Error?</v>
      </c>
    </row>
    <row r="1812" spans="1:4" x14ac:dyDescent="0.2">
      <c r="A1812" s="5">
        <v>1751</v>
      </c>
      <c r="B1812" s="138">
        <f>'Tax Sched 23'!E8</f>
        <v>104972</v>
      </c>
      <c r="D1812" s="2" t="str">
        <f t="shared" si="27"/>
        <v>Error?</v>
      </c>
    </row>
    <row r="1813" spans="1:4" x14ac:dyDescent="0.2">
      <c r="A1813" s="5">
        <v>1752</v>
      </c>
      <c r="B1813" s="138">
        <f>'Tax Sched 23'!E10</f>
        <v>48508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158040</v>
      </c>
      <c r="D1816" s="2" t="str">
        <f t="shared" si="27"/>
        <v>Error?</v>
      </c>
    </row>
    <row r="1817" spans="1:4" x14ac:dyDescent="0.2">
      <c r="A1817" s="5">
        <v>1756</v>
      </c>
      <c r="B1817" s="138">
        <f>'Tax Sched 23'!E12</f>
        <v>48508</v>
      </c>
      <c r="D1817" s="2" t="str">
        <f t="shared" si="27"/>
        <v>Error?</v>
      </c>
    </row>
    <row r="1818" spans="1:4" x14ac:dyDescent="0.2">
      <c r="A1818" s="5">
        <v>1757</v>
      </c>
      <c r="B1818" s="138">
        <f>'Tax Sched 23'!E14</f>
        <v>38807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4391746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888300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38081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38081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38081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169617</v>
      </c>
      <c r="D2008" s="2" t="str">
        <f t="shared" si="30"/>
        <v>Error?</v>
      </c>
    </row>
    <row r="2009" spans="1:4" x14ac:dyDescent="0.2">
      <c r="A2009" s="5">
        <v>1948</v>
      </c>
      <c r="B2009" s="138">
        <f>'Cap Outlay Deprec 26'!C8</f>
        <v>28784751</v>
      </c>
      <c r="D2009" s="2" t="str">
        <f t="shared" si="30"/>
        <v>Error?</v>
      </c>
    </row>
    <row r="2010" spans="1:4" x14ac:dyDescent="0.2">
      <c r="A2010" s="5">
        <v>1949</v>
      </c>
      <c r="B2010" s="138">
        <f>'Cap Outlay Deprec 26'!C10</f>
        <v>979809</v>
      </c>
      <c r="D2010" s="2" t="str">
        <f t="shared" si="30"/>
        <v>Error?</v>
      </c>
    </row>
    <row r="2011" spans="1:4" x14ac:dyDescent="0.2">
      <c r="A2011" s="5">
        <v>1950</v>
      </c>
      <c r="B2011" s="138">
        <f>'Cap Outlay Deprec 26'!C12</f>
        <v>1592627</v>
      </c>
      <c r="D2011" s="2" t="str">
        <f t="shared" si="30"/>
        <v>Error?</v>
      </c>
    </row>
    <row r="2012" spans="1:4" x14ac:dyDescent="0.2">
      <c r="A2012" s="5">
        <v>1951</v>
      </c>
      <c r="B2012" s="138">
        <f>'Cap Outlay Deprec 26'!C13</f>
        <v>1432278</v>
      </c>
      <c r="D2012" s="2" t="str">
        <f t="shared" si="30"/>
        <v>Error?</v>
      </c>
    </row>
    <row r="2013" spans="1:4" x14ac:dyDescent="0.2">
      <c r="A2013" s="5">
        <v>1952</v>
      </c>
      <c r="B2013" s="138">
        <f>'Cap Outlay Deprec 26'!C16</f>
        <v>32961104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781452</v>
      </c>
      <c r="D2016" s="2" t="str">
        <f t="shared" si="30"/>
        <v>Error?</v>
      </c>
    </row>
    <row r="2017" spans="1:4" x14ac:dyDescent="0.2">
      <c r="A2017" s="5">
        <v>1956</v>
      </c>
      <c r="B2017" s="138">
        <f>'Cap Outlay Deprec 26'!D12</f>
        <v>95598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877050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112675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112675</v>
      </c>
      <c r="C2025" s="2" t="s">
        <v>594</v>
      </c>
      <c r="D2025" s="2" t="str">
        <f t="shared" si="30"/>
        <v>Error?</v>
      </c>
    </row>
    <row r="2026" spans="1:4" x14ac:dyDescent="0.2">
      <c r="A2026" s="5">
        <v>1965</v>
      </c>
      <c r="B2026" s="138">
        <f>'Cap Outlay Deprec 26'!F5</f>
        <v>169617</v>
      </c>
      <c r="C2026" s="2" t="s">
        <v>594</v>
      </c>
      <c r="D2026" s="2" t="str">
        <f t="shared" si="30"/>
        <v>Error?</v>
      </c>
    </row>
    <row r="2027" spans="1:4" x14ac:dyDescent="0.2">
      <c r="A2027" s="5">
        <v>1966</v>
      </c>
      <c r="B2027" s="138">
        <f>'Cap Outlay Deprec 26'!F8</f>
        <v>28784751</v>
      </c>
      <c r="C2027" s="2" t="s">
        <v>594</v>
      </c>
      <c r="D2027" s="2" t="str">
        <f t="shared" si="30"/>
        <v>Error?</v>
      </c>
    </row>
    <row r="2028" spans="1:4" x14ac:dyDescent="0.2">
      <c r="A2028" s="5">
        <v>1967</v>
      </c>
      <c r="B2028" s="138">
        <f>'Cap Outlay Deprec 26'!F10</f>
        <v>1761261</v>
      </c>
      <c r="C2028" s="2" t="s">
        <v>594</v>
      </c>
      <c r="D2028" s="2" t="str">
        <f t="shared" si="30"/>
        <v>Error?</v>
      </c>
    </row>
    <row r="2029" spans="1:4" x14ac:dyDescent="0.2">
      <c r="A2029" s="5">
        <v>1968</v>
      </c>
      <c r="B2029" s="138">
        <f>'Cap Outlay Deprec 26'!F12</f>
        <v>1575550</v>
      </c>
      <c r="C2029" s="2" t="s">
        <v>594</v>
      </c>
      <c r="D2029" s="2" t="str">
        <f t="shared" si="30"/>
        <v>Error?</v>
      </c>
    </row>
    <row r="2030" spans="1:4" x14ac:dyDescent="0.2">
      <c r="A2030" s="5">
        <v>1969</v>
      </c>
      <c r="B2030" s="138">
        <f>'Cap Outlay Deprec 26'!F13</f>
        <v>1432278</v>
      </c>
      <c r="C2030" s="2" t="s">
        <v>594</v>
      </c>
      <c r="D2030" s="2" t="str">
        <f t="shared" si="30"/>
        <v>Error?</v>
      </c>
    </row>
    <row r="2031" spans="1:4" x14ac:dyDescent="0.2">
      <c r="A2031" s="5">
        <v>1970</v>
      </c>
      <c r="B2031" s="138">
        <f>'Cap Outlay Deprec 26'!F16</f>
        <v>33725479</v>
      </c>
      <c r="C2031" s="2" t="s">
        <v>594</v>
      </c>
      <c r="D2031" s="2" t="str">
        <f t="shared" si="30"/>
        <v>Error?</v>
      </c>
    </row>
    <row r="2032" spans="1:4" x14ac:dyDescent="0.2">
      <c r="A2032" s="10">
        <v>1971</v>
      </c>
      <c r="D2032" s="2" t="str">
        <f t="shared" si="30"/>
        <v>OK</v>
      </c>
    </row>
    <row r="2033" spans="1:4" x14ac:dyDescent="0.2">
      <c r="A2033" s="5">
        <v>1972</v>
      </c>
      <c r="B2033" s="138">
        <f>'Cap Outlay Deprec 26'!H8</f>
        <v>7198126</v>
      </c>
      <c r="D2033" s="2" t="str">
        <f t="shared" si="30"/>
        <v>Error?</v>
      </c>
    </row>
    <row r="2034" spans="1:4" x14ac:dyDescent="0.2">
      <c r="A2034" s="5">
        <v>1973</v>
      </c>
      <c r="B2034" s="138">
        <f>'Cap Outlay Deprec 26'!H10</f>
        <v>371986</v>
      </c>
      <c r="D2034" s="2" t="str">
        <f t="shared" si="30"/>
        <v>Error?</v>
      </c>
    </row>
    <row r="2035" spans="1:4" x14ac:dyDescent="0.2">
      <c r="A2035" s="5">
        <v>1974</v>
      </c>
      <c r="B2035" s="138">
        <f>'Cap Outlay Deprec 26'!H12</f>
        <v>747506</v>
      </c>
      <c r="D2035" s="2" t="str">
        <f t="shared" si="30"/>
        <v>Error?</v>
      </c>
    </row>
    <row r="2036" spans="1:4" x14ac:dyDescent="0.2">
      <c r="A2036" s="5">
        <v>1975</v>
      </c>
      <c r="B2036" s="138">
        <f>'Cap Outlay Deprec 26'!H13</f>
        <v>1369651</v>
      </c>
      <c r="D2036" s="2" t="str">
        <f t="shared" si="30"/>
        <v>Error?</v>
      </c>
    </row>
    <row r="2037" spans="1:4" x14ac:dyDescent="0.2">
      <c r="A2037" s="5">
        <v>1976</v>
      </c>
      <c r="B2037" s="138">
        <f>'Cap Outlay Deprec 26'!H16</f>
        <v>9689291</v>
      </c>
      <c r="C2037" s="2" t="s">
        <v>594</v>
      </c>
      <c r="D2037" s="2" t="str">
        <f t="shared" si="30"/>
        <v>Error?</v>
      </c>
    </row>
    <row r="2038" spans="1:4" x14ac:dyDescent="0.2">
      <c r="A2038" s="10">
        <v>1977</v>
      </c>
      <c r="D2038" s="2" t="str">
        <f t="shared" si="30"/>
        <v>OK</v>
      </c>
    </row>
    <row r="2039" spans="1:4" x14ac:dyDescent="0.2">
      <c r="A2039" s="5">
        <v>1978</v>
      </c>
      <c r="B2039" s="138">
        <f>'Cap Outlay Deprec 26'!I8</f>
        <v>575695</v>
      </c>
      <c r="D2039" s="2" t="str">
        <f t="shared" si="30"/>
        <v>Error?</v>
      </c>
    </row>
    <row r="2040" spans="1:4" x14ac:dyDescent="0.2">
      <c r="A2040" s="5">
        <v>1979</v>
      </c>
      <c r="B2040" s="138">
        <f>'Cap Outlay Deprec 26'!I10</f>
        <v>86947</v>
      </c>
      <c r="D2040" s="2" t="str">
        <f t="shared" si="30"/>
        <v>Error?</v>
      </c>
    </row>
    <row r="2041" spans="1:4" x14ac:dyDescent="0.2">
      <c r="A2041" s="5">
        <v>1980</v>
      </c>
      <c r="B2041" s="138">
        <f>'Cap Outlay Deprec 26'!I12</f>
        <v>157554</v>
      </c>
      <c r="D2041" s="2" t="str">
        <f t="shared" si="30"/>
        <v>Error?</v>
      </c>
    </row>
    <row r="2042" spans="1:4" x14ac:dyDescent="0.2">
      <c r="A2042" s="5">
        <v>1981</v>
      </c>
      <c r="B2042" s="138">
        <f>'Cap Outlay Deprec 26'!I13</f>
        <v>33834</v>
      </c>
      <c r="D2042" s="2" t="str">
        <f t="shared" si="30"/>
        <v>Error?</v>
      </c>
    </row>
    <row r="2043" spans="1:4" x14ac:dyDescent="0.2">
      <c r="A2043" s="5">
        <v>1982</v>
      </c>
      <c r="B2043" s="138">
        <f>'Cap Outlay Deprec 26'!I16</f>
        <v>854030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112675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112675</v>
      </c>
      <c r="C2049" s="2" t="s">
        <v>594</v>
      </c>
      <c r="D2049" s="2" t="str">
        <f t="shared" si="31"/>
        <v>Error?</v>
      </c>
    </row>
    <row r="2050" spans="1:4" x14ac:dyDescent="0.2">
      <c r="A2050" s="10">
        <v>1989</v>
      </c>
      <c r="D2050" s="2" t="str">
        <f t="shared" si="31"/>
        <v>OK</v>
      </c>
    </row>
    <row r="2051" spans="1:4" x14ac:dyDescent="0.2">
      <c r="A2051" s="5">
        <v>1990</v>
      </c>
      <c r="B2051" s="138">
        <f>'Cap Outlay Deprec 26'!K8</f>
        <v>7773821</v>
      </c>
      <c r="C2051" s="2" t="s">
        <v>594</v>
      </c>
      <c r="D2051" s="2" t="str">
        <f t="shared" si="31"/>
        <v>Error?</v>
      </c>
    </row>
    <row r="2052" spans="1:4" x14ac:dyDescent="0.2">
      <c r="A2052" s="5">
        <v>1991</v>
      </c>
      <c r="B2052" s="138">
        <f>'Cap Outlay Deprec 26'!K10</f>
        <v>458933</v>
      </c>
      <c r="C2052" s="2" t="s">
        <v>594</v>
      </c>
      <c r="D2052" s="2" t="str">
        <f t="shared" si="31"/>
        <v>Error?</v>
      </c>
    </row>
    <row r="2053" spans="1:4" x14ac:dyDescent="0.2">
      <c r="A2053" s="5">
        <v>1992</v>
      </c>
      <c r="B2053" s="138">
        <f>'Cap Outlay Deprec 26'!K12</f>
        <v>792385</v>
      </c>
      <c r="C2053" s="2" t="s">
        <v>594</v>
      </c>
      <c r="D2053" s="2" t="str">
        <f t="shared" si="31"/>
        <v>Error?</v>
      </c>
    </row>
    <row r="2054" spans="1:4" x14ac:dyDescent="0.2">
      <c r="A2054" s="5">
        <v>1993</v>
      </c>
      <c r="B2054" s="138">
        <f>'Cap Outlay Deprec 26'!K13</f>
        <v>1403485</v>
      </c>
      <c r="C2054" s="2" t="s">
        <v>594</v>
      </c>
      <c r="D2054" s="2" t="str">
        <f t="shared" si="31"/>
        <v>Error?</v>
      </c>
    </row>
    <row r="2055" spans="1:4" x14ac:dyDescent="0.2">
      <c r="A2055" s="5">
        <v>1994</v>
      </c>
      <c r="B2055" s="138">
        <f>'Cap Outlay Deprec 26'!K16</f>
        <v>10430646</v>
      </c>
      <c r="C2055" s="2" t="s">
        <v>594</v>
      </c>
      <c r="D2055" s="2" t="str">
        <f t="shared" si="31"/>
        <v>Error?</v>
      </c>
    </row>
    <row r="2056" spans="1:4" x14ac:dyDescent="0.2">
      <c r="A2056" s="5">
        <v>1995</v>
      </c>
      <c r="B2056" s="138">
        <f>'Cap Outlay Deprec 26'!L5</f>
        <v>169617</v>
      </c>
      <c r="C2056" s="2" t="s">
        <v>594</v>
      </c>
      <c r="D2056" s="2" t="str">
        <f t="shared" si="31"/>
        <v>Error?</v>
      </c>
    </row>
    <row r="2057" spans="1:4" x14ac:dyDescent="0.2">
      <c r="A2057" s="5">
        <v>1996</v>
      </c>
      <c r="B2057" s="138">
        <f>'Cap Outlay Deprec 26'!L8</f>
        <v>21010930</v>
      </c>
      <c r="C2057" s="2" t="s">
        <v>594</v>
      </c>
      <c r="D2057" s="2" t="str">
        <f t="shared" si="31"/>
        <v>Error?</v>
      </c>
    </row>
    <row r="2058" spans="1:4" x14ac:dyDescent="0.2">
      <c r="A2058" s="5">
        <v>1997</v>
      </c>
      <c r="B2058" s="138">
        <f>'Cap Outlay Deprec 26'!L10</f>
        <v>1302328</v>
      </c>
      <c r="C2058" s="2" t="s">
        <v>594</v>
      </c>
      <c r="D2058" s="2" t="str">
        <f t="shared" si="31"/>
        <v>Error?</v>
      </c>
    </row>
    <row r="2059" spans="1:4" x14ac:dyDescent="0.2">
      <c r="A2059" s="5">
        <v>1998</v>
      </c>
      <c r="B2059" s="138">
        <f>'Cap Outlay Deprec 26'!L12</f>
        <v>783165</v>
      </c>
      <c r="C2059" s="2" t="s">
        <v>594</v>
      </c>
      <c r="D2059" s="2" t="str">
        <f t="shared" si="31"/>
        <v>Error?</v>
      </c>
    </row>
    <row r="2060" spans="1:4" x14ac:dyDescent="0.2">
      <c r="A2060" s="5">
        <v>1999</v>
      </c>
      <c r="B2060" s="138">
        <f>'Cap Outlay Deprec 26'!L13</f>
        <v>28793</v>
      </c>
      <c r="C2060" s="2" t="s">
        <v>594</v>
      </c>
      <c r="D2060" s="2" t="str">
        <f t="shared" si="31"/>
        <v>Error?</v>
      </c>
    </row>
    <row r="2061" spans="1:4" x14ac:dyDescent="0.2">
      <c r="A2061" s="5">
        <v>2000</v>
      </c>
      <c r="B2061" s="138">
        <f>'Cap Outlay Deprec 26'!L16</f>
        <v>23294833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7029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39516</v>
      </c>
      <c r="C2088" s="2" t="s">
        <v>594</v>
      </c>
      <c r="D2088" s="2" t="str">
        <f t="shared" si="31"/>
        <v>Error?</v>
      </c>
    </row>
    <row r="2089" spans="1:4" x14ac:dyDescent="0.2">
      <c r="A2089" s="5">
        <v>2028</v>
      </c>
      <c r="B2089" s="138">
        <f>'Expenditures 15-22'!K92</f>
        <v>499351</v>
      </c>
      <c r="C2089" s="2" t="s">
        <v>594</v>
      </c>
      <c r="D2089" s="2" t="str">
        <f t="shared" si="31"/>
        <v>Error?</v>
      </c>
    </row>
    <row r="2090" spans="1:4" x14ac:dyDescent="0.2">
      <c r="A2090" s="10">
        <v>2029</v>
      </c>
      <c r="D2090" s="2" t="str">
        <f t="shared" si="31"/>
        <v>OK</v>
      </c>
    </row>
    <row r="2091" spans="1:4" x14ac:dyDescent="0.2">
      <c r="A2091" s="5">
        <v>2030</v>
      </c>
      <c r="B2091" s="138">
        <f>'Expenditures 15-22'!H137</f>
        <v>7376</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7376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214662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682451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3259429</v>
      </c>
      <c r="C2551" s="2" t="s">
        <v>594</v>
      </c>
      <c r="D2551" s="2" t="str">
        <f t="shared" si="38"/>
        <v>Error?</v>
      </c>
    </row>
    <row r="2552" spans="1:4" x14ac:dyDescent="0.2">
      <c r="A2552" s="10">
        <v>2491</v>
      </c>
      <c r="D2552" s="2" t="str">
        <f t="shared" si="38"/>
        <v>OK</v>
      </c>
    </row>
    <row r="2553" spans="1:4" x14ac:dyDescent="0.2">
      <c r="A2553" s="5">
        <v>2492</v>
      </c>
      <c r="B2553" s="138">
        <f>'Acct Summary 7-8'!C6</f>
        <v>3164343</v>
      </c>
      <c r="C2553" s="2" t="s">
        <v>594</v>
      </c>
      <c r="D2553" s="2" t="str">
        <f t="shared" si="38"/>
        <v>Error?</v>
      </c>
    </row>
    <row r="2554" spans="1:4" x14ac:dyDescent="0.2">
      <c r="A2554" s="5">
        <v>2493</v>
      </c>
      <c r="B2554" s="138">
        <f>'Acct Summary 7-8'!C7</f>
        <v>503966</v>
      </c>
      <c r="C2554" s="2" t="s">
        <v>594</v>
      </c>
      <c r="D2554" s="2" t="str">
        <f t="shared" si="38"/>
        <v>Error?</v>
      </c>
    </row>
    <row r="2555" spans="1:4" x14ac:dyDescent="0.2">
      <c r="A2555" s="5">
        <v>2494</v>
      </c>
      <c r="B2555" s="138">
        <f>'Acct Summary 7-8'!C8</f>
        <v>6927738</v>
      </c>
      <c r="C2555" s="2" t="s">
        <v>594</v>
      </c>
      <c r="D2555" s="2" t="str">
        <f t="shared" si="38"/>
        <v>Error?</v>
      </c>
    </row>
    <row r="2556" spans="1:4" x14ac:dyDescent="0.2">
      <c r="A2556" s="5">
        <v>2495</v>
      </c>
      <c r="B2556" s="138">
        <f>'Acct Summary 7-8'!C12</f>
        <v>4402556</v>
      </c>
      <c r="C2556" s="2" t="s">
        <v>594</v>
      </c>
      <c r="D2556" s="2" t="str">
        <f t="shared" si="38"/>
        <v>Error?</v>
      </c>
    </row>
    <row r="2557" spans="1:4" x14ac:dyDescent="0.2">
      <c r="A2557" s="5">
        <v>2496</v>
      </c>
      <c r="B2557" s="138">
        <f>'Acct Summary 7-8'!C13</f>
        <v>1631813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538867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6573236</v>
      </c>
      <c r="C2561" s="2" t="s">
        <v>594</v>
      </c>
      <c r="D2561" s="2" t="str">
        <f t="shared" si="39"/>
        <v>Error?</v>
      </c>
    </row>
    <row r="2562" spans="1:4" x14ac:dyDescent="0.2">
      <c r="A2562" s="5">
        <v>2501</v>
      </c>
      <c r="B2562" s="138">
        <f>'Acct Summary 7-8'!C20</f>
        <v>354502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737871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737871</v>
      </c>
      <c r="C2568" s="2" t="s">
        <v>594</v>
      </c>
      <c r="D2568" s="2" t="str">
        <f t="shared" si="39"/>
        <v>Error?</v>
      </c>
    </row>
    <row r="2569" spans="1:4" x14ac:dyDescent="0.2">
      <c r="A2569" s="5">
        <v>2508</v>
      </c>
      <c r="B2569" s="138">
        <f>'Acct Summary 7-8'!D13</f>
        <v>669007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7376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676383</v>
      </c>
      <c r="C2573" s="2" t="s">
        <v>594</v>
      </c>
      <c r="D2573" s="2" t="str">
        <f t="shared" si="39"/>
        <v>Error?</v>
      </c>
    </row>
    <row r="2574" spans="1:4" x14ac:dyDescent="0.2">
      <c r="A2574" s="5">
        <v>2513</v>
      </c>
      <c r="B2574" s="138">
        <f>'Acct Summary 7-8'!D20</f>
        <v>61488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196093</v>
      </c>
      <c r="C2591" s="2" t="s">
        <v>594</v>
      </c>
      <c r="D2591" s="2" t="str">
        <f t="shared" si="39"/>
        <v>Error?</v>
      </c>
    </row>
    <row r="2592" spans="1:4" x14ac:dyDescent="0.2">
      <c r="A2592" s="10">
        <v>2531</v>
      </c>
      <c r="D2592" s="2" t="str">
        <f t="shared" si="39"/>
        <v>OK</v>
      </c>
    </row>
    <row r="2593" spans="1:4" x14ac:dyDescent="0.2">
      <c r="A2593" s="5">
        <v>2532</v>
      </c>
      <c r="B2593" s="138">
        <f>'Acct Summary 7-8'!F6</f>
        <v>390057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586150</v>
      </c>
      <c r="C2595" s="2" t="s">
        <v>594</v>
      </c>
      <c r="D2595" s="2" t="str">
        <f t="shared" si="39"/>
        <v>Error?</v>
      </c>
    </row>
    <row r="2596" spans="1:4" x14ac:dyDescent="0.2">
      <c r="A2596" s="5">
        <v>2535</v>
      </c>
      <c r="B2596" s="138">
        <f>'Acct Summary 7-8'!F13</f>
        <v>506612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506612</v>
      </c>
      <c r="C2600" s="2" t="s">
        <v>594</v>
      </c>
      <c r="D2600" s="2" t="str">
        <f t="shared" si="39"/>
        <v>Error?</v>
      </c>
    </row>
    <row r="2601" spans="1:4" x14ac:dyDescent="0.2">
      <c r="A2601" s="5">
        <v>2540</v>
      </c>
      <c r="B2601" s="138">
        <f>'Acct Summary 7-8'!F20</f>
        <v>79538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257517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257517</v>
      </c>
      <c r="C2606" s="2" t="s">
        <v>594</v>
      </c>
      <c r="D2606" s="2" t="str">
        <f t="shared" si="39"/>
        <v>Error?</v>
      </c>
    </row>
    <row r="2607" spans="1:4" x14ac:dyDescent="0.2">
      <c r="A2607" s="5">
        <v>2546</v>
      </c>
      <c r="B2607" s="138">
        <f>'Acct Summary 7-8'!G12</f>
        <v>76395</v>
      </c>
      <c r="C2607" s="2" t="s">
        <v>594</v>
      </c>
      <c r="D2607" s="2" t="str">
        <f t="shared" si="39"/>
        <v>Error?</v>
      </c>
    </row>
    <row r="2608" spans="1:4" x14ac:dyDescent="0.2">
      <c r="A2608" s="5">
        <v>2547</v>
      </c>
      <c r="B2608" s="138">
        <f>'Acct Summary 7-8'!G13</f>
        <v>160586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236981</v>
      </c>
      <c r="C2612" s="2" t="s">
        <v>594</v>
      </c>
      <c r="D2612" s="2" t="str">
        <f t="shared" si="39"/>
        <v>Error?</v>
      </c>
    </row>
    <row r="2613" spans="1:4" x14ac:dyDescent="0.2">
      <c r="A2613" s="5">
        <v>2552</v>
      </c>
      <c r="B2613" s="138">
        <f>'Acct Summary 7-8'!G20</f>
        <v>20536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246661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246661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337079</v>
      </c>
      <c r="C2634" s="2" t="s">
        <v>594</v>
      </c>
      <c r="D2634" s="2" t="str">
        <f t="shared" si="40"/>
        <v>Error?</v>
      </c>
    </row>
    <row r="2635" spans="1:4" x14ac:dyDescent="0.2">
      <c r="A2635" s="5">
        <v>2574</v>
      </c>
      <c r="B2635" s="138">
        <f>'Acct Summary 7-8'!E17</f>
        <v>337079</v>
      </c>
      <c r="C2635" s="2" t="s">
        <v>594</v>
      </c>
      <c r="D2635" s="2" t="str">
        <f t="shared" si="40"/>
        <v>Error?</v>
      </c>
    </row>
    <row r="2636" spans="1:4" x14ac:dyDescent="0.2">
      <c r="A2636" s="5">
        <v>2575</v>
      </c>
      <c r="B2636" s="138">
        <f>'Acct Summary 7-8'!E20</f>
        <v>-90418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416731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416731</v>
      </c>
      <c r="C2658" s="2" t="s">
        <v>594</v>
      </c>
      <c r="D2658" s="2" t="str">
        <f t="shared" si="40"/>
        <v>Error?</v>
      </c>
    </row>
    <row r="2659" spans="1:4" x14ac:dyDescent="0.2">
      <c r="A2659" s="5">
        <v>2598</v>
      </c>
      <c r="B2659" s="138">
        <f>'Acct Summary 7-8'!H13</f>
        <v>215462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215462</v>
      </c>
      <c r="C2661" s="2" t="s">
        <v>594</v>
      </c>
      <c r="D2661" s="2" t="str">
        <f t="shared" si="40"/>
        <v>Error?</v>
      </c>
    </row>
    <row r="2662" spans="1:4" x14ac:dyDescent="0.2">
      <c r="A2662" s="5">
        <v>2601</v>
      </c>
      <c r="B2662" s="138">
        <f>'Acct Summary 7-8'!H20</f>
        <v>201269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32487</v>
      </c>
      <c r="C2789" s="2" t="s">
        <v>594</v>
      </c>
      <c r="D2789" s="2" t="str">
        <f t="shared" si="42"/>
        <v>Error?</v>
      </c>
    </row>
    <row r="2790" spans="1:4" x14ac:dyDescent="0.2">
      <c r="A2790" s="5">
        <v>2729</v>
      </c>
      <c r="B2790" s="138">
        <f>'Expenditures 15-22'!E102</f>
        <v>32487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550980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559930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35889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134557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559930</v>
      </c>
      <c r="D2912" s="2" t="str">
        <f t="shared" si="44"/>
        <v>Error?</v>
      </c>
    </row>
    <row r="2913" spans="1:4" x14ac:dyDescent="0.2">
      <c r="A2913" s="5">
        <v>2852</v>
      </c>
      <c r="B2913" s="138">
        <f>'Assets-Liab 5-6'!I41</f>
        <v>559930</v>
      </c>
      <c r="C2913" s="2" t="s">
        <v>594</v>
      </c>
      <c r="D2913" s="2" t="str">
        <f t="shared" si="44"/>
        <v>Error?</v>
      </c>
    </row>
    <row r="2914" spans="1:4" x14ac:dyDescent="0.2">
      <c r="A2914" s="5">
        <v>2853</v>
      </c>
      <c r="B2914" s="138">
        <f>'Assets-Liab 5-6'!L33</f>
        <v>108668</v>
      </c>
      <c r="D2914" s="2" t="str">
        <f t="shared" si="44"/>
        <v>Error?</v>
      </c>
    </row>
    <row r="2915" spans="1:4" x14ac:dyDescent="0.2">
      <c r="A2915" s="10">
        <v>2854</v>
      </c>
      <c r="D2915" s="2" t="str">
        <f t="shared" si="44"/>
        <v>OK</v>
      </c>
    </row>
    <row r="2916" spans="1:4" x14ac:dyDescent="0.2">
      <c r="A2916" s="5">
        <v>2855</v>
      </c>
      <c r="B2916" s="138">
        <f>'Assets-Liab 5-6'!L34</f>
        <v>108668</v>
      </c>
      <c r="C2916" s="2" t="s">
        <v>594</v>
      </c>
      <c r="D2916" s="2" t="str">
        <f t="shared" si="44"/>
        <v>Error?</v>
      </c>
    </row>
    <row r="2917" spans="1:4" x14ac:dyDescent="0.2">
      <c r="A2917" s="5">
        <v>2856</v>
      </c>
      <c r="B2917" s="138">
        <f>'Assets-Liab 5-6'!L41</f>
        <v>134557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32487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7029</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39516</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7376</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7376</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133758</v>
      </c>
      <c r="D3055" s="2" t="str">
        <f t="shared" si="46"/>
        <v>Error?</v>
      </c>
    </row>
    <row r="3056" spans="1:4" x14ac:dyDescent="0.2">
      <c r="A3056" s="5">
        <v>2995</v>
      </c>
      <c r="B3056" s="138">
        <f>'Expenditures 15-22'!D10</f>
        <v>42125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177986</v>
      </c>
      <c r="C3062" s="2" t="s">
        <v>594</v>
      </c>
      <c r="D3062" s="2" t="str">
        <f t="shared" si="46"/>
        <v>Error?</v>
      </c>
    </row>
    <row r="3063" spans="1:4" x14ac:dyDescent="0.2">
      <c r="A3063" s="10">
        <v>3002</v>
      </c>
      <c r="D3063" s="2" t="str">
        <f t="shared" si="46"/>
        <v>OK</v>
      </c>
    </row>
    <row r="3064" spans="1:4" x14ac:dyDescent="0.2">
      <c r="A3064" s="5">
        <v>3003</v>
      </c>
      <c r="B3064" s="138">
        <f>'Expenditures 15-22'!D219</f>
        <v>5493</v>
      </c>
      <c r="D3064" s="2" t="str">
        <f t="shared" si="46"/>
        <v>Error?</v>
      </c>
    </row>
    <row r="3065" spans="1:4" x14ac:dyDescent="0.2">
      <c r="A3065" s="5">
        <v>3004</v>
      </c>
      <c r="B3065" s="138">
        <f>'Expenditures 15-22'!K219</f>
        <v>5493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25889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54338</v>
      </c>
      <c r="C3225" s="2" t="s">
        <v>594</v>
      </c>
      <c r="D3225" s="2" t="str">
        <f t="shared" si="49"/>
        <v>Error?</v>
      </c>
    </row>
    <row r="3226" spans="1:4" x14ac:dyDescent="0.2">
      <c r="A3226" s="5">
        <v>3165</v>
      </c>
      <c r="B3226" s="138">
        <f>'Acct Summary 7-8'!I8</f>
        <v>54338</v>
      </c>
      <c r="C3226" s="2" t="s">
        <v>594</v>
      </c>
      <c r="D3226" s="2" t="str">
        <f t="shared" si="49"/>
        <v>Error?</v>
      </c>
    </row>
    <row r="3227" spans="1:4" x14ac:dyDescent="0.2">
      <c r="A3227" s="5">
        <v>3166</v>
      </c>
      <c r="B3227" s="138">
        <f>'Acct Summary 7-8'!I20</f>
        <v>54338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354502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61488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79538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20536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-90418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201269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54338</v>
      </c>
      <c r="C3320" s="2" t="s">
        <v>594</v>
      </c>
      <c r="D3320" s="2" t="str">
        <f t="shared" si="50"/>
        <v>Error?</v>
      </c>
    </row>
    <row r="3321" spans="1:4" x14ac:dyDescent="0.2">
      <c r="A3321" s="5">
        <v>3260</v>
      </c>
      <c r="B3321" s="138">
        <f>'Acct Summary 7-8'!I79</f>
        <v>505592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559930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503361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95078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598458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27489</v>
      </c>
      <c r="D3387" s="2" t="str">
        <f t="shared" si="51"/>
        <v>Error?</v>
      </c>
    </row>
    <row r="3388" spans="1:4" x14ac:dyDescent="0.2">
      <c r="A3388" s="5">
        <v>3327</v>
      </c>
      <c r="B3388" s="138">
        <f>'Expenditures 15-22'!D217</f>
        <v>28826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27489</v>
      </c>
      <c r="C3390" s="2" t="s">
        <v>594</v>
      </c>
      <c r="D3390" s="2" t="str">
        <f t="shared" si="51"/>
        <v>Error?</v>
      </c>
    </row>
    <row r="3391" spans="1:4" x14ac:dyDescent="0.2">
      <c r="A3391" s="5">
        <v>3330</v>
      </c>
      <c r="B3391" s="138">
        <f>'Expenditures 15-22'!K217</f>
        <v>28826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184285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23643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1741</v>
      </c>
      <c r="D3417" s="2" t="str">
        <f t="shared" si="52"/>
        <v>Error?</v>
      </c>
    </row>
    <row r="3418" spans="1:4" x14ac:dyDescent="0.2">
      <c r="A3418" s="10">
        <v>3357</v>
      </c>
      <c r="D3418" s="2" t="str">
        <f t="shared" si="52"/>
        <v>OK</v>
      </c>
    </row>
    <row r="3419" spans="1:4" x14ac:dyDescent="0.2">
      <c r="A3419" s="5">
        <v>3358</v>
      </c>
      <c r="B3419" s="138">
        <f>'Assets-Liab 5-6'!F4</f>
        <v>29974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15755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16461</v>
      </c>
      <c r="D3425" s="2" t="str">
        <f t="shared" si="52"/>
        <v>Error?</v>
      </c>
    </row>
    <row r="3426" spans="1:4" x14ac:dyDescent="0.2">
      <c r="A3426" s="10">
        <v>3365</v>
      </c>
      <c r="D3426" s="2" t="str">
        <f t="shared" si="52"/>
        <v>OK</v>
      </c>
    </row>
    <row r="3427" spans="1:4" x14ac:dyDescent="0.2">
      <c r="A3427" s="5">
        <v>3366</v>
      </c>
      <c r="B3427" s="138">
        <f>'Assets-Liab 5-6'!I4</f>
        <v>8950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98668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127609</v>
      </c>
      <c r="C3446" s="2" t="s">
        <v>594</v>
      </c>
      <c r="D3446" s="2" t="str">
        <f t="shared" si="52"/>
        <v>Error?</v>
      </c>
    </row>
    <row r="3447" spans="1:4" x14ac:dyDescent="0.2">
      <c r="A3447" s="5">
        <v>3386</v>
      </c>
      <c r="B3447" s="138">
        <f>'Tax Sched 23'!D16</f>
        <v>70109</v>
      </c>
      <c r="C3447" s="2" t="s">
        <v>594</v>
      </c>
      <c r="D3447" s="2" t="str">
        <f t="shared" si="52"/>
        <v>Error?</v>
      </c>
    </row>
    <row r="3448" spans="1:4" x14ac:dyDescent="0.2">
      <c r="A3448" s="5">
        <v>3387</v>
      </c>
      <c r="B3448" s="138">
        <f>'Tax Sched 23'!C16</f>
        <v>57500</v>
      </c>
      <c r="D3448" s="2" t="str">
        <f t="shared" si="52"/>
        <v>Error?</v>
      </c>
    </row>
    <row r="3449" spans="1:4" x14ac:dyDescent="0.2">
      <c r="A3449" s="5">
        <v>3388</v>
      </c>
      <c r="B3449" s="138">
        <f>'Tax Sched 23'!F16</f>
        <v>49509</v>
      </c>
      <c r="C3449" s="2" t="s">
        <v>594</v>
      </c>
      <c r="D3449" s="2" t="str">
        <f t="shared" si="52"/>
        <v>Error?</v>
      </c>
    </row>
    <row r="3450" spans="1:4" x14ac:dyDescent="0.2">
      <c r="A3450" s="5">
        <v>3389</v>
      </c>
      <c r="B3450" s="138">
        <f>'Tax Sched 23'!E16</f>
        <v>107009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10206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513970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524176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524176</v>
      </c>
      <c r="D3567" s="2" t="str">
        <f t="shared" si="54"/>
        <v>Error?</v>
      </c>
    </row>
    <row r="3568" spans="1:4" x14ac:dyDescent="0.2">
      <c r="A3568" s="5">
        <v>3507</v>
      </c>
      <c r="B3568" s="138">
        <f>'Assets-Liab 5-6'!K41</f>
        <v>524176</v>
      </c>
      <c r="C3568" s="2" t="s">
        <v>594</v>
      </c>
      <c r="D3568" s="2" t="str">
        <f t="shared" si="54"/>
        <v>Error?</v>
      </c>
    </row>
    <row r="3569" spans="1:4" x14ac:dyDescent="0.2">
      <c r="A3569" s="5">
        <v>3508</v>
      </c>
      <c r="B3569" s="138">
        <f>'Acct Summary 7-8'!K4</f>
        <v>55428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55428</v>
      </c>
      <c r="C3571" s="2" t="s">
        <v>594</v>
      </c>
      <c r="D3571" s="2" t="str">
        <f t="shared" si="54"/>
        <v>Error?</v>
      </c>
    </row>
    <row r="3572" spans="1:4" x14ac:dyDescent="0.2">
      <c r="A3572" s="5">
        <v>3511</v>
      </c>
      <c r="B3572" s="138">
        <f>'Acct Summary 7-8'!K13</f>
        <v>583280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583280</v>
      </c>
      <c r="C3575" s="2" t="s">
        <v>594</v>
      </c>
      <c r="D3575" s="2" t="str">
        <f t="shared" si="54"/>
        <v>Error?</v>
      </c>
    </row>
    <row r="3576" spans="1:4" x14ac:dyDescent="0.2">
      <c r="A3576" s="5">
        <v>3515</v>
      </c>
      <c r="B3576" s="138">
        <f>'Acct Summary 7-8'!K20</f>
        <v>-527852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-527852</v>
      </c>
      <c r="C3588" s="2" t="s">
        <v>594</v>
      </c>
      <c r="D3588" s="2" t="str">
        <f t="shared" si="55"/>
        <v>Error?</v>
      </c>
    </row>
    <row r="3589" spans="1:4" x14ac:dyDescent="0.2">
      <c r="A3589" s="5">
        <v>3528</v>
      </c>
      <c r="B3589" s="138">
        <f>'Acct Summary 7-8'!K79</f>
        <v>1052028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524176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24068</v>
      </c>
      <c r="D3632" s="2" t="str">
        <f t="shared" si="55"/>
        <v>Error?</v>
      </c>
    </row>
    <row r="3633" spans="1:4" x14ac:dyDescent="0.2">
      <c r="A3633" s="5">
        <v>3572</v>
      </c>
      <c r="B3633" s="138">
        <f>'Expenditures 15-22'!E350</f>
        <v>24068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24068</v>
      </c>
      <c r="C3635" s="2" t="s">
        <v>594</v>
      </c>
      <c r="D3635" s="2" t="str">
        <f t="shared" si="55"/>
        <v>Error?</v>
      </c>
    </row>
    <row r="3636" spans="1:4" x14ac:dyDescent="0.2">
      <c r="A3636" s="5">
        <v>3575</v>
      </c>
      <c r="B3636" s="138">
        <f>'Expenditures 15-22'!E367</f>
        <v>24068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559212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559212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559212</v>
      </c>
      <c r="C3649" s="2" t="s">
        <v>594</v>
      </c>
      <c r="D3649" s="2" t="str">
        <f t="shared" si="56"/>
        <v>Error?</v>
      </c>
    </row>
    <row r="3650" spans="1:4" x14ac:dyDescent="0.2">
      <c r="A3650" s="5">
        <v>3589</v>
      </c>
      <c r="B3650" s="138">
        <f>'Expenditures 15-22'!G367</f>
        <v>559212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559212</v>
      </c>
      <c r="C3668" s="2" t="s">
        <v>594</v>
      </c>
      <c r="D3668" s="2" t="str">
        <f t="shared" si="56"/>
        <v>Error?</v>
      </c>
    </row>
    <row r="3669" spans="1:4" x14ac:dyDescent="0.2">
      <c r="A3669" s="5">
        <v>3608</v>
      </c>
      <c r="B3669" s="138">
        <f>'Expenditures 15-22'!K349</f>
        <v>24068</v>
      </c>
      <c r="C3669" s="2" t="s">
        <v>594</v>
      </c>
      <c r="D3669" s="2" t="str">
        <f t="shared" si="56"/>
        <v>Error?</v>
      </c>
    </row>
    <row r="3670" spans="1:4" x14ac:dyDescent="0.2">
      <c r="A3670" s="5">
        <v>3609</v>
      </c>
      <c r="B3670" s="138">
        <f>'Expenditures 15-22'!K350</f>
        <v>583280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583280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583280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-527852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47585</v>
      </c>
      <c r="C3725" s="2" t="s">
        <v>594</v>
      </c>
      <c r="D3725" s="2" t="str">
        <f t="shared" si="57"/>
        <v>Error?</v>
      </c>
    </row>
    <row r="3726" spans="1:4" x14ac:dyDescent="0.2">
      <c r="A3726" s="5">
        <v>3665</v>
      </c>
      <c r="B3726" s="138">
        <f>'Tax Sched 23'!D13</f>
        <v>21519</v>
      </c>
      <c r="C3726" s="2" t="s">
        <v>594</v>
      </c>
      <c r="D3726" s="2" t="str">
        <f t="shared" si="57"/>
        <v>Error?</v>
      </c>
    </row>
    <row r="3727" spans="1:4" x14ac:dyDescent="0.2">
      <c r="A3727" s="5">
        <v>3666</v>
      </c>
      <c r="B3727" s="138">
        <f>'Tax Sched 23'!C13</f>
        <v>26066</v>
      </c>
      <c r="D3727" s="2" t="str">
        <f t="shared" si="57"/>
        <v>Error?</v>
      </c>
    </row>
    <row r="3728" spans="1:4" x14ac:dyDescent="0.2">
      <c r="A3728" s="5">
        <v>3667</v>
      </c>
      <c r="B3728" s="138">
        <f>'Tax Sched 23'!F13</f>
        <v>22442</v>
      </c>
      <c r="C3728" s="2" t="s">
        <v>594</v>
      </c>
      <c r="D3728" s="2" t="str">
        <f t="shared" si="57"/>
        <v>Error?</v>
      </c>
    </row>
    <row r="3729" spans="1:4" x14ac:dyDescent="0.2">
      <c r="A3729" s="5">
        <v>3668</v>
      </c>
      <c r="B3729" s="138">
        <f>'Tax Sched 23'!E13</f>
        <v>48508</v>
      </c>
      <c r="D3729" s="2" t="str">
        <f t="shared" si="57"/>
        <v>Error?</v>
      </c>
    </row>
    <row r="3730" spans="1:4" x14ac:dyDescent="0.2">
      <c r="A3730" s="5">
        <v>3669</v>
      </c>
      <c r="B3730" s="138">
        <f>'ICR Computation 30'!E10</f>
        <v>155781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2773917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9701655</v>
      </c>
      <c r="C4122" s="2" t="s">
        <v>594</v>
      </c>
      <c r="D4122" s="2" t="str">
        <f t="shared" si="63"/>
        <v>Error?</v>
      </c>
    </row>
    <row r="4123" spans="1:4" x14ac:dyDescent="0.2">
      <c r="A4123" s="5">
        <v>4062</v>
      </c>
      <c r="B4123" s="138">
        <f>'Acct Summary 7-8'!D10</f>
        <v>737871</v>
      </c>
      <c r="C4123" s="2" t="s">
        <v>594</v>
      </c>
      <c r="D4123" s="2" t="str">
        <f t="shared" si="63"/>
        <v>Error?</v>
      </c>
    </row>
    <row r="4124" spans="1:4" x14ac:dyDescent="0.2">
      <c r="A4124" s="5">
        <v>4063</v>
      </c>
      <c r="B4124" s="138">
        <f>'Acct Summary 7-8'!E10</f>
        <v>246661</v>
      </c>
      <c r="C4124" s="2" t="s">
        <v>594</v>
      </c>
      <c r="D4124" s="2" t="str">
        <f t="shared" si="63"/>
        <v>Error?</v>
      </c>
    </row>
    <row r="4125" spans="1:4" x14ac:dyDescent="0.2">
      <c r="A4125" s="5">
        <v>4064</v>
      </c>
      <c r="B4125" s="138">
        <f>'Acct Summary 7-8'!F10</f>
        <v>586150</v>
      </c>
      <c r="C4125" s="2" t="s">
        <v>594</v>
      </c>
      <c r="D4125" s="2" t="str">
        <f t="shared" si="63"/>
        <v>Error?</v>
      </c>
    </row>
    <row r="4126" spans="1:4" x14ac:dyDescent="0.2">
      <c r="A4126" s="5">
        <v>4065</v>
      </c>
      <c r="B4126" s="138">
        <f>'Acct Summary 7-8'!G10</f>
        <v>257517</v>
      </c>
      <c r="C4126" s="2" t="s">
        <v>594</v>
      </c>
      <c r="D4126" s="2" t="str">
        <f t="shared" si="63"/>
        <v>Error?</v>
      </c>
    </row>
    <row r="4127" spans="1:4" x14ac:dyDescent="0.2">
      <c r="A4127" s="5">
        <v>4066</v>
      </c>
      <c r="B4127" s="138">
        <f>'Acct Summary 7-8'!H10</f>
        <v>416731</v>
      </c>
      <c r="C4127" s="2" t="s">
        <v>594</v>
      </c>
      <c r="D4127" s="2" t="str">
        <f t="shared" si="63"/>
        <v>Error?</v>
      </c>
    </row>
    <row r="4128" spans="1:4" x14ac:dyDescent="0.2">
      <c r="A4128" s="5">
        <v>4067</v>
      </c>
      <c r="B4128" s="138">
        <f>'Acct Summary 7-8'!I10</f>
        <v>54338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55428</v>
      </c>
      <c r="C4130" s="2" t="s">
        <v>594</v>
      </c>
      <c r="D4130" s="2" t="str">
        <f t="shared" si="63"/>
        <v>Error?</v>
      </c>
    </row>
    <row r="4131" spans="1:4" x14ac:dyDescent="0.2">
      <c r="A4131" s="5">
        <v>4070</v>
      </c>
      <c r="B4131" s="138">
        <f>'Acct Summary 7-8'!C18</f>
        <v>2773917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9347153</v>
      </c>
      <c r="C4136" s="2" t="s">
        <v>594</v>
      </c>
      <c r="D4136" s="2" t="str">
        <f t="shared" si="63"/>
        <v>Error?</v>
      </c>
    </row>
    <row r="4137" spans="1:4" x14ac:dyDescent="0.2">
      <c r="A4137" s="5">
        <v>4076</v>
      </c>
      <c r="B4137" s="138">
        <f>'Acct Summary 7-8'!D19</f>
        <v>676383</v>
      </c>
      <c r="C4137" s="2" t="s">
        <v>594</v>
      </c>
      <c r="D4137" s="2" t="str">
        <f t="shared" si="63"/>
        <v>Error?</v>
      </c>
    </row>
    <row r="4138" spans="1:4" x14ac:dyDescent="0.2">
      <c r="A4138" s="5">
        <v>4077</v>
      </c>
      <c r="B4138" s="138">
        <f>'Acct Summary 7-8'!E19</f>
        <v>337079</v>
      </c>
      <c r="C4138" s="2" t="s">
        <v>594</v>
      </c>
      <c r="D4138" s="2" t="str">
        <f t="shared" si="63"/>
        <v>Error?</v>
      </c>
    </row>
    <row r="4139" spans="1:4" x14ac:dyDescent="0.2">
      <c r="A4139" s="5">
        <v>4078</v>
      </c>
      <c r="B4139" s="138">
        <f>'Acct Summary 7-8'!F19</f>
        <v>506612</v>
      </c>
      <c r="C4139" s="2" t="s">
        <v>594</v>
      </c>
      <c r="D4139" s="2" t="str">
        <f t="shared" si="63"/>
        <v>Error?</v>
      </c>
    </row>
    <row r="4140" spans="1:4" x14ac:dyDescent="0.2">
      <c r="A4140" s="5">
        <v>4079</v>
      </c>
      <c r="B4140" s="138">
        <f>'Acct Summary 7-8'!G19</f>
        <v>236981</v>
      </c>
      <c r="C4140" s="2" t="s">
        <v>594</v>
      </c>
      <c r="D4140" s="2" t="str">
        <f t="shared" si="63"/>
        <v>Error?</v>
      </c>
    </row>
    <row r="4141" spans="1:4" x14ac:dyDescent="0.2">
      <c r="A4141" s="5">
        <v>4080</v>
      </c>
      <c r="B4141" s="138">
        <f>'Acct Summary 7-8'!H19</f>
        <v>215462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583280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567600</v>
      </c>
      <c r="C4171" s="2" t="s">
        <v>594</v>
      </c>
      <c r="D4171" s="2" t="str">
        <f t="shared" si="64"/>
        <v>Error?</v>
      </c>
    </row>
    <row r="4172" spans="1:4" x14ac:dyDescent="0.2">
      <c r="A4172" s="5">
        <v>4111</v>
      </c>
      <c r="B4172" s="138">
        <f>'Short-Term Long-Term Debt 24'!J49</f>
        <v>309922</v>
      </c>
      <c r="C4172" s="2" t="s">
        <v>594</v>
      </c>
      <c r="D4172" s="2" t="str">
        <f t="shared" si="64"/>
        <v>Error?</v>
      </c>
    </row>
    <row r="4173" spans="1:4" x14ac:dyDescent="0.2">
      <c r="A4173" s="5">
        <v>4112</v>
      </c>
      <c r="B4173" s="138">
        <f>'Short-Term Long-Term Debt 24'!H49</f>
        <v>320700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4010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3800</v>
      </c>
      <c r="C4268" s="2" t="s">
        <v>594</v>
      </c>
      <c r="D4268" s="2" t="str">
        <f t="shared" si="65"/>
        <v>Error?</v>
      </c>
    </row>
    <row r="4269" spans="1:5" x14ac:dyDescent="0.2">
      <c r="A4269" s="12">
        <v>4208</v>
      </c>
      <c r="B4269" s="138">
        <f>'FP Info 3'!J16</f>
        <v>3028685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11662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34643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33636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97016591</v>
      </c>
      <c r="D4995" s="2" t="str">
        <f t="shared" si="77"/>
        <v>Error?</v>
      </c>
    </row>
    <row r="4996" spans="1:4" x14ac:dyDescent="0.2">
      <c r="A4996" s="12">
        <v>4935</v>
      </c>
      <c r="B4996" s="138">
        <f>'FP Info 3'!H31</f>
        <v>13388289.558</v>
      </c>
      <c r="D4996" s="2" t="str">
        <f t="shared" si="77"/>
        <v>Error?</v>
      </c>
    </row>
    <row r="4997" spans="1:4" x14ac:dyDescent="0.2">
      <c r="A4997" s="12">
        <v>4936</v>
      </c>
      <c r="B4997" s="138">
        <f>'FP Info 3'!H37</f>
        <v>567600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47585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2713294</v>
      </c>
      <c r="D5061" s="2" t="str">
        <f t="shared" si="78"/>
        <v>Error?</v>
      </c>
    </row>
    <row r="5062" spans="1:4" x14ac:dyDescent="0.2">
      <c r="A5062" s="10">
        <v>5001</v>
      </c>
      <c r="D5062" s="2" t="str">
        <f t="shared" si="78"/>
        <v>OK</v>
      </c>
    </row>
    <row r="5063" spans="1:4" x14ac:dyDescent="0.2">
      <c r="A5063" s="5">
        <v>5002</v>
      </c>
      <c r="B5063" s="138">
        <f>'Revenues 9-14'!C7</f>
        <v>38081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2798960</v>
      </c>
      <c r="C5066" s="2" t="s">
        <v>594</v>
      </c>
      <c r="D5066" s="2" t="str">
        <f t="shared" si="78"/>
        <v>Error?</v>
      </c>
    </row>
    <row r="5067" spans="1:4" x14ac:dyDescent="0.2">
      <c r="A5067" s="5">
        <v>5006</v>
      </c>
      <c r="B5067" s="138">
        <f>'Revenues 9-14'!C14</f>
        <v>3041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240036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243077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9041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9041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2400</v>
      </c>
      <c r="D5093" s="2" t="str">
        <f t="shared" si="78"/>
        <v>Error?</v>
      </c>
    </row>
    <row r="5094" spans="1:4" x14ac:dyDescent="0.2">
      <c r="A5094" s="5">
        <v>5033</v>
      </c>
      <c r="B5094" s="138">
        <f>'Revenues 9-14'!C73</f>
        <v>2975</v>
      </c>
      <c r="D5094" s="2" t="str">
        <f t="shared" si="78"/>
        <v>Error?</v>
      </c>
    </row>
    <row r="5095" spans="1:4" x14ac:dyDescent="0.2">
      <c r="A5095" s="5">
        <v>5034</v>
      </c>
      <c r="B5095" s="138">
        <f>'Revenues 9-14'!C74</f>
        <v>1568</v>
      </c>
      <c r="D5095" s="2" t="str">
        <f t="shared" si="78"/>
        <v>Error?</v>
      </c>
    </row>
    <row r="5096" spans="1:4" x14ac:dyDescent="0.2">
      <c r="A5096" s="5">
        <v>5035</v>
      </c>
      <c r="B5096" s="138">
        <f>'Revenues 9-14'!C75</f>
        <v>94643</v>
      </c>
      <c r="C5096" s="2" t="s">
        <v>594</v>
      </c>
      <c r="D5096" s="2" t="str">
        <f t="shared" si="78"/>
        <v>Error?</v>
      </c>
    </row>
    <row r="5097" spans="1:4" x14ac:dyDescent="0.2">
      <c r="A5097" s="5">
        <v>5036</v>
      </c>
      <c r="B5097" s="138">
        <f>'Revenues 9-14'!C77</f>
        <v>17123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22348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3493</v>
      </c>
      <c r="D5101" s="2" t="str">
        <f t="shared" si="78"/>
        <v>Error?</v>
      </c>
    </row>
    <row r="5102" spans="1:4" x14ac:dyDescent="0.2">
      <c r="A5102" s="5">
        <v>5041</v>
      </c>
      <c r="B5102" s="138">
        <f>'Revenues 9-14'!C82</f>
        <v>42964</v>
      </c>
      <c r="C5102" s="2" t="s">
        <v>594</v>
      </c>
      <c r="D5102" s="2" t="str">
        <f t="shared" si="78"/>
        <v>Error?</v>
      </c>
    </row>
    <row r="5103" spans="1:4" x14ac:dyDescent="0.2">
      <c r="A5103" s="5">
        <v>5042</v>
      </c>
      <c r="B5103" s="138">
        <f>'Revenues 9-14'!C84</f>
        <v>23156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23156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12179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973</v>
      </c>
      <c r="D5118" s="2" t="str">
        <f t="shared" si="78"/>
        <v>Error?</v>
      </c>
    </row>
    <row r="5119" spans="1:4" x14ac:dyDescent="0.2">
      <c r="A5119" s="5">
        <v>5058</v>
      </c>
      <c r="B5119" s="138">
        <f>'Revenues 9-14'!C107</f>
        <v>29858</v>
      </c>
      <c r="D5119" s="2" t="str">
        <f t="shared" ref="D5119:D5182" si="79">IF(ISBLANK(B5119),"OK",IF(A5119-B5119=0,"OK","Error?"))</f>
        <v>Error?</v>
      </c>
    </row>
    <row r="5120" spans="1:4" x14ac:dyDescent="0.2">
      <c r="A5120" s="5">
        <v>5059</v>
      </c>
      <c r="B5120" s="138">
        <f>'Revenues 9-14'!C108</f>
        <v>47588</v>
      </c>
      <c r="C5120" s="2" t="s">
        <v>594</v>
      </c>
      <c r="D5120" s="2" t="str">
        <f t="shared" si="79"/>
        <v>Error?</v>
      </c>
    </row>
    <row r="5121" spans="1:4" x14ac:dyDescent="0.2">
      <c r="A5121" s="5">
        <v>5060</v>
      </c>
      <c r="B5121" s="138">
        <f>'Revenues 9-14'!C109</f>
        <v>3259429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2642300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2642300</v>
      </c>
      <c r="C5132" s="2" t="s">
        <v>594</v>
      </c>
      <c r="D5132" s="2" t="str">
        <f t="shared" si="79"/>
        <v>Error?</v>
      </c>
    </row>
    <row r="5133" spans="1:4" x14ac:dyDescent="0.2">
      <c r="A5133" s="5">
        <v>5072</v>
      </c>
      <c r="B5133" s="138">
        <f>'Revenues 9-14'!C124</f>
        <v>132062</v>
      </c>
      <c r="D5133" s="2" t="str">
        <f t="shared" si="79"/>
        <v>Error?</v>
      </c>
    </row>
    <row r="5134" spans="1:4" x14ac:dyDescent="0.2">
      <c r="A5134" s="5">
        <v>5073</v>
      </c>
      <c r="B5134" s="138">
        <f>'Revenues 9-14'!C125</f>
        <v>55771</v>
      </c>
      <c r="D5134" s="2" t="str">
        <f t="shared" si="79"/>
        <v>Error?</v>
      </c>
    </row>
    <row r="5135" spans="1:4" x14ac:dyDescent="0.2">
      <c r="A5135" s="5">
        <v>5074</v>
      </c>
      <c r="B5135" s="138">
        <f>'Revenues 9-14'!C126</f>
        <v>66867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254700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5909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3314</v>
      </c>
      <c r="D5167" s="2" t="str">
        <f t="shared" si="79"/>
        <v>Error?</v>
      </c>
    </row>
    <row r="5168" spans="1:4" x14ac:dyDescent="0.2">
      <c r="A5168" s="5">
        <v>5107</v>
      </c>
      <c r="B5168" s="138">
        <f>'Revenues 9-14'!C147</f>
        <v>12562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244058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522043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3164343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183958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46133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230091</v>
      </c>
      <c r="C5246" s="2" t="s">
        <v>594</v>
      </c>
      <c r="D5246" s="2" t="str">
        <f t="shared" si="80"/>
        <v>Error?</v>
      </c>
    </row>
    <row r="5247" spans="1:4" x14ac:dyDescent="0.2">
      <c r="A5247" s="5">
        <v>5186</v>
      </c>
      <c r="B5247" s="138">
        <f>'Revenues 9-14'!C203</f>
        <v>192934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192934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503966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503966</v>
      </c>
      <c r="C5326" s="2" t="s">
        <v>594</v>
      </c>
      <c r="D5326" s="2" t="str">
        <f t="shared" si="82"/>
        <v>Error?</v>
      </c>
    </row>
    <row r="5327" spans="1:4" x14ac:dyDescent="0.2">
      <c r="A5327" s="5">
        <v>5266</v>
      </c>
      <c r="B5327" s="138">
        <f>'Revenues 9-14'!C275</f>
        <v>6927738</v>
      </c>
      <c r="C5327" s="2" t="s">
        <v>594</v>
      </c>
      <c r="D5327" s="2" t="str">
        <f t="shared" si="82"/>
        <v>Error?</v>
      </c>
    </row>
    <row r="5328" spans="1:4" x14ac:dyDescent="0.2">
      <c r="A5328" s="5">
        <v>5267</v>
      </c>
      <c r="B5328" s="138">
        <f>'Revenues 9-14'!D5</f>
        <v>714025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714025</v>
      </c>
      <c r="C5334" s="2" t="s">
        <v>594</v>
      </c>
      <c r="D5334" s="2" t="str">
        <f t="shared" si="82"/>
        <v>Error?</v>
      </c>
    </row>
    <row r="5335" spans="1:4" x14ac:dyDescent="0.2">
      <c r="A5335" s="5">
        <v>5274</v>
      </c>
      <c r="B5335" s="138">
        <f>'Revenues 9-14'!D14</f>
        <v>783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783</v>
      </c>
      <c r="C5339" s="2" t="s">
        <v>594</v>
      </c>
      <c r="D5339" s="2" t="str">
        <f t="shared" si="82"/>
        <v>Error?</v>
      </c>
    </row>
    <row r="5340" spans="1:4" x14ac:dyDescent="0.2">
      <c r="A5340" s="5">
        <v>5279</v>
      </c>
      <c r="B5340" s="138">
        <f>'Revenues 9-14'!D65</f>
        <v>10941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10941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5622</v>
      </c>
      <c r="D5354" s="2" t="str">
        <f t="shared" si="82"/>
        <v>Error?</v>
      </c>
    </row>
    <row r="5355" spans="1:4" x14ac:dyDescent="0.2">
      <c r="A5355" s="5">
        <v>5294</v>
      </c>
      <c r="B5355" s="138">
        <f>'Revenues 9-14'!D108</f>
        <v>12122</v>
      </c>
      <c r="C5355" s="2" t="s">
        <v>594</v>
      </c>
      <c r="D5355" s="2" t="str">
        <f t="shared" si="82"/>
        <v>Error?</v>
      </c>
    </row>
    <row r="5356" spans="1:4" x14ac:dyDescent="0.2">
      <c r="A5356" s="5">
        <v>5295</v>
      </c>
      <c r="B5356" s="138">
        <f>'Revenues 9-14'!D109</f>
        <v>737871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737871</v>
      </c>
      <c r="C5508" s="2" t="s">
        <v>594</v>
      </c>
      <c r="D5508" s="2" t="str">
        <f t="shared" si="85"/>
        <v>Error?</v>
      </c>
    </row>
    <row r="5509" spans="1:4" x14ac:dyDescent="0.2">
      <c r="A5509" s="5">
        <v>5448</v>
      </c>
      <c r="B5509" s="138">
        <f>'Revenues 9-14'!E5</f>
        <v>242045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242045</v>
      </c>
      <c r="C5513" s="2" t="s">
        <v>594</v>
      </c>
      <c r="D5513" s="2" t="str">
        <f t="shared" si="85"/>
        <v>Error?</v>
      </c>
    </row>
    <row r="5514" spans="1:4" x14ac:dyDescent="0.2">
      <c r="A5514" s="5">
        <v>5453</v>
      </c>
      <c r="B5514" s="138">
        <f>'Revenues 9-14'!E14</f>
        <v>268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268</v>
      </c>
      <c r="C5518" s="2" t="s">
        <v>594</v>
      </c>
      <c r="D5518" s="2" t="str">
        <f t="shared" si="85"/>
        <v>Error?</v>
      </c>
    </row>
    <row r="5519" spans="1:4" x14ac:dyDescent="0.2">
      <c r="A5519" s="5">
        <v>5458</v>
      </c>
      <c r="B5519" s="138">
        <f>'Revenues 9-14'!E65</f>
        <v>4348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4348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246661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246661</v>
      </c>
      <c r="C5552" s="2" t="s">
        <v>594</v>
      </c>
      <c r="D5552" s="2" t="str">
        <f t="shared" si="85"/>
        <v>Error?</v>
      </c>
    </row>
    <row r="5553" spans="1:4" x14ac:dyDescent="0.2">
      <c r="A5553" s="5">
        <v>5492</v>
      </c>
      <c r="B5553" s="138">
        <f>'Revenues 9-14'!F5</f>
        <v>190407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190407</v>
      </c>
      <c r="C5557" s="2" t="s">
        <v>594</v>
      </c>
      <c r="D5557" s="2" t="str">
        <f t="shared" si="85"/>
        <v>Error?</v>
      </c>
    </row>
    <row r="5558" spans="1:4" x14ac:dyDescent="0.2">
      <c r="A5558" s="5">
        <v>5497</v>
      </c>
      <c r="B5558" s="138">
        <f>'Revenues 9-14'!F14</f>
        <v>309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309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3485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3485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1892</v>
      </c>
      <c r="D5586" s="2" t="str">
        <f t="shared" si="86"/>
        <v>Error?</v>
      </c>
    </row>
    <row r="5587" spans="1:4" x14ac:dyDescent="0.2">
      <c r="A5587" s="5">
        <v>5526</v>
      </c>
      <c r="B5587" s="138">
        <f>'Revenues 9-14'!F108</f>
        <v>1892</v>
      </c>
      <c r="C5587" s="2" t="s">
        <v>594</v>
      </c>
      <c r="D5587" s="2" t="str">
        <f t="shared" si="86"/>
        <v>Error?</v>
      </c>
    </row>
    <row r="5588" spans="1:4" x14ac:dyDescent="0.2">
      <c r="A5588" s="5">
        <v>5527</v>
      </c>
      <c r="B5588" s="138">
        <f>'Revenues 9-14'!F109</f>
        <v>196093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172023</v>
      </c>
      <c r="D5615" s="2" t="str">
        <f t="shared" si="86"/>
        <v>Error?</v>
      </c>
    </row>
    <row r="5616" spans="1:4" x14ac:dyDescent="0.2">
      <c r="A5616" s="10">
        <v>5555</v>
      </c>
      <c r="D5616" s="2" t="str">
        <f t="shared" si="86"/>
        <v>OK</v>
      </c>
    </row>
    <row r="5617" spans="1:4" x14ac:dyDescent="0.2">
      <c r="A5617" s="5">
        <v>5556</v>
      </c>
      <c r="B5617" s="138">
        <f>'Revenues 9-14'!F152</f>
        <v>160737</v>
      </c>
      <c r="D5617" s="2" t="str">
        <f t="shared" si="86"/>
        <v>Error?</v>
      </c>
    </row>
    <row r="5618" spans="1:4" x14ac:dyDescent="0.2">
      <c r="A5618" s="5">
        <v>5557</v>
      </c>
      <c r="B5618" s="138">
        <f>'Revenues 9-14'!F154</f>
        <v>332760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57297</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390057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390057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586150</v>
      </c>
      <c r="C5720" s="2" t="s">
        <v>594</v>
      </c>
      <c r="D5720" s="2" t="str">
        <f t="shared" si="88"/>
        <v>Error?</v>
      </c>
    </row>
    <row r="5721" spans="1:4" x14ac:dyDescent="0.2">
      <c r="A5721" s="5">
        <v>5660</v>
      </c>
      <c r="B5721" s="138">
        <f>'Revenues 9-14'!G5</f>
        <v>108644</v>
      </c>
      <c r="D5721" s="2" t="str">
        <f t="shared" si="88"/>
        <v>Error?</v>
      </c>
    </row>
    <row r="5722" spans="1:4" x14ac:dyDescent="0.2">
      <c r="A5722" s="5">
        <v>5661</v>
      </c>
      <c r="B5722" s="138">
        <f>'Revenues 9-14'!G7</f>
        <v>0</v>
      </c>
      <c r="D5722" s="2" t="str">
        <f t="shared" si="88"/>
        <v>Error?</v>
      </c>
    </row>
    <row r="5723" spans="1:4" x14ac:dyDescent="0.2">
      <c r="A5723" s="5">
        <v>5662</v>
      </c>
      <c r="B5723" s="138">
        <f>'Revenues 9-14'!G8</f>
        <v>127609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236253</v>
      </c>
      <c r="C5725" s="2" t="s">
        <v>594</v>
      </c>
      <c r="D5725" s="2" t="str">
        <f t="shared" si="88"/>
        <v>Error?</v>
      </c>
    </row>
    <row r="5726" spans="1:4" x14ac:dyDescent="0.2">
      <c r="A5726" s="5">
        <v>5665</v>
      </c>
      <c r="B5726" s="138">
        <f>'Revenues 9-14'!G14</f>
        <v>161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14149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14310</v>
      </c>
      <c r="C5730" s="2" t="s">
        <v>594</v>
      </c>
      <c r="D5730" s="2" t="str">
        <f t="shared" si="88"/>
        <v>Error?</v>
      </c>
    </row>
    <row r="5731" spans="1:4" x14ac:dyDescent="0.2">
      <c r="A5731" s="5">
        <v>5670</v>
      </c>
      <c r="B5731" s="138">
        <f>'Revenues 9-14'!G65</f>
        <v>6954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6954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257517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6838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6838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409893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416731</v>
      </c>
      <c r="C5915" s="2" t="s">
        <v>594</v>
      </c>
      <c r="D5915" s="2" t="str">
        <f t="shared" si="91"/>
        <v>Error?</v>
      </c>
    </row>
    <row r="5916" spans="1:4" x14ac:dyDescent="0.2">
      <c r="A5916" s="5">
        <v>5855</v>
      </c>
      <c r="B5916" s="138">
        <f>'Revenues 9-14'!I5</f>
        <v>47602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47602</v>
      </c>
      <c r="C5918" s="2" t="s">
        <v>594</v>
      </c>
      <c r="D5918" s="2" t="str">
        <f t="shared" si="91"/>
        <v>Error?</v>
      </c>
    </row>
    <row r="5919" spans="1:4" x14ac:dyDescent="0.2">
      <c r="A5919" s="5">
        <v>5858</v>
      </c>
      <c r="B5919" s="138">
        <f>'Revenues 9-14'!I14</f>
        <v>11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v>
      </c>
      <c r="C5923" s="2" t="s">
        <v>594</v>
      </c>
      <c r="D5923" s="2" t="str">
        <f t="shared" si="91"/>
        <v>Error?</v>
      </c>
    </row>
    <row r="5924" spans="1:4" x14ac:dyDescent="0.2">
      <c r="A5924" s="5">
        <v>5863</v>
      </c>
      <c r="B5924" s="138">
        <f>'Revenues 9-14'!I65</f>
        <v>6725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6725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54338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47602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47602</v>
      </c>
      <c r="C5987" s="2" t="s">
        <v>594</v>
      </c>
      <c r="D5987" s="2" t="str">
        <f t="shared" si="92"/>
        <v>Error?</v>
      </c>
    </row>
    <row r="5988" spans="1:4" x14ac:dyDescent="0.2">
      <c r="A5988" s="5">
        <v>5927</v>
      </c>
      <c r="B5988" s="138">
        <f>'Revenues 9-14'!K14</f>
        <v>11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v>
      </c>
      <c r="C5992" s="2" t="s">
        <v>594</v>
      </c>
      <c r="D5992" s="2" t="str">
        <f t="shared" si="92"/>
        <v>Error?</v>
      </c>
    </row>
    <row r="5993" spans="1:4" x14ac:dyDescent="0.2">
      <c r="A5993" s="5">
        <v>5932</v>
      </c>
      <c r="B5993" s="138">
        <f>'Revenues 9-14'!K65</f>
        <v>7815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7815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55428</v>
      </c>
      <c r="C6023" s="2" t="s">
        <v>594</v>
      </c>
      <c r="D6023" s="2" t="str">
        <f t="shared" si="93"/>
        <v>Error?</v>
      </c>
    </row>
    <row r="6024" spans="1:5" x14ac:dyDescent="0.2">
      <c r="A6024" s="5">
        <v>5963</v>
      </c>
      <c r="B6024" s="138">
        <f>'Revenues 9-14'!G109</f>
        <v>257517</v>
      </c>
      <c r="C6024" s="2" t="s">
        <v>594</v>
      </c>
      <c r="D6024" s="2" t="str">
        <f t="shared" si="93"/>
        <v>Error?</v>
      </c>
    </row>
    <row r="6025" spans="1:5" x14ac:dyDescent="0.2">
      <c r="A6025" s="5">
        <v>5964</v>
      </c>
      <c r="B6025" s="138">
        <f>'Revenues 9-14'!H109</f>
        <v>416731</v>
      </c>
      <c r="C6025" s="2" t="s">
        <v>594</v>
      </c>
      <c r="D6025" s="2" t="str">
        <f t="shared" si="93"/>
        <v>Error?</v>
      </c>
    </row>
    <row r="6026" spans="1:5" x14ac:dyDescent="0.2">
      <c r="A6026" s="5">
        <v>5965</v>
      </c>
      <c r="B6026" s="138">
        <f>'Revenues 9-14'!I109</f>
        <v>54338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55428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87700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34436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715.84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368228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368228</v>
      </c>
      <c r="D6215" s="2" t="str">
        <f t="shared" si="96"/>
        <v>Error?</v>
      </c>
      <c r="E6215" s="2" t="s">
        <v>199</v>
      </c>
    </row>
    <row r="6216" spans="1:5" x14ac:dyDescent="0.2">
      <c r="A6216">
        <v>6155</v>
      </c>
      <c r="B6216" s="138">
        <f>'Assets-Liab 5-6'!J41</f>
        <v>368228</v>
      </c>
      <c r="D6216" s="2" t="str">
        <f t="shared" si="96"/>
        <v>Error?</v>
      </c>
      <c r="E6216" s="2" t="s">
        <v>199</v>
      </c>
    </row>
    <row r="6217" spans="1:5" x14ac:dyDescent="0.2">
      <c r="A6217">
        <v>6156</v>
      </c>
      <c r="B6217" s="138">
        <f>'Assets-Liab 5-6'!J4</f>
        <v>16604</v>
      </c>
      <c r="D6217" s="2" t="str">
        <f t="shared" si="96"/>
        <v>Error?</v>
      </c>
      <c r="E6217" s="2" t="s">
        <v>199</v>
      </c>
    </row>
    <row r="6218" spans="1:5" x14ac:dyDescent="0.2">
      <c r="A6218">
        <v>6157</v>
      </c>
      <c r="B6218" s="138">
        <f>'Assets-Liab 5-6'!J5</f>
        <v>351624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166237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166237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166237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98288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98288</v>
      </c>
      <c r="D6229" s="2" t="str">
        <f t="shared" si="96"/>
        <v>Error?</v>
      </c>
      <c r="E6229" s="2" t="s">
        <v>199</v>
      </c>
    </row>
    <row r="6230" spans="1:5" x14ac:dyDescent="0.2">
      <c r="A6230">
        <v>6169</v>
      </c>
      <c r="B6230" s="138">
        <f>'Acct Summary 7-8'!J20</f>
        <v>67949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67949</v>
      </c>
      <c r="D6263" s="2" t="str">
        <f t="shared" si="96"/>
        <v>Error?</v>
      </c>
      <c r="E6263" s="2" t="s">
        <v>199</v>
      </c>
    </row>
    <row r="6264" spans="1:5" x14ac:dyDescent="0.2">
      <c r="A6264">
        <v>6203</v>
      </c>
      <c r="B6264" s="138">
        <f>'Acct Summary 7-8'!J79</f>
        <v>300279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368228</v>
      </c>
      <c r="D6266" s="2" t="str">
        <f t="shared" si="96"/>
        <v>Error?</v>
      </c>
      <c r="E6266" s="2" t="s">
        <v>199</v>
      </c>
    </row>
    <row r="6267" spans="1:5" x14ac:dyDescent="0.2">
      <c r="A6267">
        <v>6206</v>
      </c>
      <c r="B6267" s="138">
        <f>'Acct Summary 7-8'!C82</f>
        <v>354502</v>
      </c>
      <c r="D6267" s="2" t="str">
        <f t="shared" si="96"/>
        <v>Error?</v>
      </c>
      <c r="E6267" s="2" t="s">
        <v>199</v>
      </c>
    </row>
    <row r="6268" spans="1:5" x14ac:dyDescent="0.2">
      <c r="A6268">
        <v>6207</v>
      </c>
      <c r="B6268" s="138">
        <f>'Acct Summary 7-8'!D82</f>
        <v>61488</v>
      </c>
      <c r="D6268" s="2" t="str">
        <f t="shared" si="96"/>
        <v>Error?</v>
      </c>
      <c r="E6268" s="2" t="s">
        <v>199</v>
      </c>
    </row>
    <row r="6269" spans="1:5" x14ac:dyDescent="0.2">
      <c r="A6269">
        <v>6208</v>
      </c>
      <c r="B6269" s="138">
        <f>'Acct Summary 7-8'!E82</f>
        <v>-90418</v>
      </c>
      <c r="D6269" s="2" t="str">
        <f t="shared" si="96"/>
        <v>Error?</v>
      </c>
      <c r="E6269" s="2" t="s">
        <v>199</v>
      </c>
    </row>
    <row r="6270" spans="1:5" x14ac:dyDescent="0.2">
      <c r="A6270">
        <v>6209</v>
      </c>
      <c r="B6270" s="138">
        <f>'Acct Summary 7-8'!F82</f>
        <v>79538</v>
      </c>
      <c r="D6270" s="2" t="str">
        <f t="shared" si="96"/>
        <v>Error?</v>
      </c>
      <c r="E6270" s="2" t="s">
        <v>199</v>
      </c>
    </row>
    <row r="6271" spans="1:5" x14ac:dyDescent="0.2">
      <c r="A6271">
        <v>6210</v>
      </c>
      <c r="B6271" s="138">
        <f>'Acct Summary 7-8'!G82</f>
        <v>20536</v>
      </c>
      <c r="D6271" s="2" t="str">
        <f t="shared" ref="D6271:D6334" si="97">IF(ISBLANK(B6271),"OK",IF(A6271-B6271=0,"OK","Error?"))</f>
        <v>Error?</v>
      </c>
      <c r="E6271" s="2" t="s">
        <v>199</v>
      </c>
    </row>
    <row r="6272" spans="1:5" x14ac:dyDescent="0.2">
      <c r="A6272">
        <v>6211</v>
      </c>
      <c r="B6272" s="138">
        <f>'Acct Summary 7-8'!H82</f>
        <v>201269</v>
      </c>
      <c r="D6272" s="2" t="str">
        <f t="shared" si="97"/>
        <v>Error?</v>
      </c>
      <c r="E6272" s="2" t="s">
        <v>199</v>
      </c>
    </row>
    <row r="6273" spans="1:5" x14ac:dyDescent="0.2">
      <c r="A6273">
        <v>6212</v>
      </c>
      <c r="B6273" s="138">
        <f>'Acct Summary 7-8'!I82</f>
        <v>54338</v>
      </c>
      <c r="D6273" s="2" t="str">
        <f t="shared" si="97"/>
        <v>Error?</v>
      </c>
      <c r="E6273" s="2" t="s">
        <v>199</v>
      </c>
    </row>
    <row r="6274" spans="1:5" x14ac:dyDescent="0.2">
      <c r="A6274">
        <v>6213</v>
      </c>
      <c r="B6274" s="138">
        <f>'Acct Summary 7-8'!J82</f>
        <v>67949</v>
      </c>
      <c r="D6274" s="2" t="str">
        <f t="shared" si="97"/>
        <v>Error?</v>
      </c>
      <c r="E6274" s="2" t="s">
        <v>199</v>
      </c>
    </row>
    <row r="6275" spans="1:5" x14ac:dyDescent="0.2">
      <c r="A6275">
        <v>6214</v>
      </c>
      <c r="B6275" s="138">
        <f>'Acct Summary 7-8'!K82</f>
        <v>-527852</v>
      </c>
      <c r="D6275" s="2" t="str">
        <f t="shared" si="97"/>
        <v>Error?</v>
      </c>
      <c r="E6275" s="2" t="s">
        <v>199</v>
      </c>
    </row>
    <row r="6276" spans="1:5" x14ac:dyDescent="0.2">
      <c r="A6276">
        <v>6215</v>
      </c>
      <c r="B6276" s="138">
        <f>'Acct Summary 7-8'!C83</f>
        <v>0.28920122989369368</v>
      </c>
      <c r="D6276" s="2" t="str">
        <f t="shared" si="97"/>
        <v>Error?</v>
      </c>
      <c r="E6276" s="2" t="s">
        <v>199</v>
      </c>
    </row>
    <row r="6277" spans="1:5" x14ac:dyDescent="0.2">
      <c r="A6277">
        <v>6216</v>
      </c>
      <c r="B6277" s="138">
        <f>'Acct Summary 7-8'!D83</f>
        <v>6.8628370143176673E-2</v>
      </c>
      <c r="D6277" s="2" t="str">
        <f t="shared" si="97"/>
        <v>Error?</v>
      </c>
      <c r="E6277" s="2" t="s">
        <v>199</v>
      </c>
    </row>
    <row r="6278" spans="1:5" x14ac:dyDescent="0.2">
      <c r="A6278">
        <v>6217</v>
      </c>
      <c r="B6278" s="138">
        <f>'Acct Summary 7-8'!E83</f>
        <v>-0.35089530344072833</v>
      </c>
      <c r="D6278" s="2" t="str">
        <f t="shared" si="97"/>
        <v>Error?</v>
      </c>
      <c r="E6278" s="2" t="s">
        <v>199</v>
      </c>
    </row>
    <row r="6279" spans="1:5" x14ac:dyDescent="0.2">
      <c r="A6279">
        <v>6218</v>
      </c>
      <c r="B6279" s="138">
        <f>'Acct Summary 7-8'!F83</f>
        <v>0.22921481720566453</v>
      </c>
      <c r="D6279" s="2" t="str">
        <f t="shared" si="97"/>
        <v>Error?</v>
      </c>
      <c r="E6279" s="2" t="s">
        <v>199</v>
      </c>
    </row>
    <row r="6280" spans="1:5" x14ac:dyDescent="0.2">
      <c r="A6280">
        <v>6219</v>
      </c>
      <c r="B6280" s="138">
        <f>'Acct Summary 7-8'!G83</f>
        <v>3.9336248690292168E-2</v>
      </c>
      <c r="D6280" s="2" t="str">
        <f t="shared" si="97"/>
        <v>Error?</v>
      </c>
      <c r="E6280" s="2" t="s">
        <v>199</v>
      </c>
    </row>
    <row r="6281" spans="1:5" x14ac:dyDescent="0.2">
      <c r="A6281">
        <v>6220</v>
      </c>
      <c r="B6281" s="138">
        <f>'Acct Summary 7-8'!H83</f>
        <v>0.29492080750119787</v>
      </c>
      <c r="D6281" s="2" t="str">
        <f t="shared" si="97"/>
        <v>Error?</v>
      </c>
      <c r="E6281" s="2" t="s">
        <v>199</v>
      </c>
    </row>
    <row r="6282" spans="1:5" x14ac:dyDescent="0.2">
      <c r="A6282">
        <v>6221</v>
      </c>
      <c r="B6282" s="138">
        <f>'Acct Summary 7-8'!I83</f>
        <v>9.7044273391316771E-2</v>
      </c>
      <c r="D6282" s="2" t="str">
        <f t="shared" si="97"/>
        <v>Error?</v>
      </c>
      <c r="E6282" s="2" t="s">
        <v>199</v>
      </c>
    </row>
    <row r="6283" spans="1:5" x14ac:dyDescent="0.2">
      <c r="A6283">
        <v>6222</v>
      </c>
      <c r="B6283" s="138">
        <f>'Acct Summary 7-8'!J83</f>
        <v>0.18452969355942514</v>
      </c>
      <c r="D6283" s="2" t="str">
        <f t="shared" si="97"/>
        <v>Error?</v>
      </c>
      <c r="E6283" s="2" t="s">
        <v>199</v>
      </c>
    </row>
    <row r="6284" spans="1:5" x14ac:dyDescent="0.2">
      <c r="A6284">
        <v>6223</v>
      </c>
      <c r="B6284" s="138">
        <f>'Acct Summary 7-8'!K83</f>
        <v>-1.0070129116937823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160171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160171</v>
      </c>
      <c r="D6301" s="2" t="str">
        <f t="shared" si="97"/>
        <v>Error?</v>
      </c>
      <c r="E6301" s="2" t="s">
        <v>199</v>
      </c>
    </row>
    <row r="6302" spans="1:5" x14ac:dyDescent="0.2">
      <c r="A6302">
        <v>6241</v>
      </c>
      <c r="B6302" s="138">
        <f>'Revenues 9-14'!J14</f>
        <v>395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395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4144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4144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1527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4578</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1527</v>
      </c>
      <c r="D6351" s="2" t="str">
        <f t="shared" si="98"/>
        <v>Error?</v>
      </c>
      <c r="E6351" s="2" t="s">
        <v>199</v>
      </c>
    </row>
    <row r="6352" spans="1:5" x14ac:dyDescent="0.2">
      <c r="A6352">
        <v>6291</v>
      </c>
      <c r="B6352" s="138">
        <f>'Revenues 9-14'!J109</f>
        <v>166237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1899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1500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141245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193317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83870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213371</v>
      </c>
      <c r="D6880" s="2" t="str">
        <f t="shared" si="106"/>
        <v>Error?</v>
      </c>
    </row>
    <row r="6881" spans="1:4" x14ac:dyDescent="0.2">
      <c r="A6881">
        <v>6820</v>
      </c>
      <c r="B6881" s="138">
        <f>'Expenditures 15-22'!K22</f>
        <v>213371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428937</v>
      </c>
      <c r="D6983" s="2" t="str">
        <f t="shared" si="108"/>
        <v>Error?</v>
      </c>
    </row>
    <row r="6984" spans="1:4" x14ac:dyDescent="0.2">
      <c r="A6984">
        <v>6923</v>
      </c>
      <c r="B6984" s="138">
        <f>'Expenditures 15-22'!K86</f>
        <v>428937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34923</v>
      </c>
      <c r="D6987" s="2" t="str">
        <f t="shared" si="108"/>
        <v>Error?</v>
      </c>
    </row>
    <row r="6988" spans="1:4" x14ac:dyDescent="0.2">
      <c r="A6988">
        <v>6927</v>
      </c>
      <c r="B6988" s="138">
        <f>'Expenditures 15-22'!K88</f>
        <v>34923</v>
      </c>
      <c r="D6988" s="2" t="str">
        <f t="shared" si="108"/>
        <v>Error?</v>
      </c>
    </row>
    <row r="6989" spans="1:4" x14ac:dyDescent="0.2">
      <c r="A6989">
        <v>6928</v>
      </c>
      <c r="B6989" s="138">
        <f>'Expenditures 15-22'!H89</f>
        <v>35491</v>
      </c>
      <c r="D6989" s="2" t="str">
        <f t="shared" si="108"/>
        <v>Error?</v>
      </c>
    </row>
    <row r="6990" spans="1:4" x14ac:dyDescent="0.2">
      <c r="A6990">
        <v>6929</v>
      </c>
      <c r="B6990" s="138">
        <f>'Expenditures 15-22'!K89</f>
        <v>35491</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499351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98288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166237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6447</v>
      </c>
      <c r="D7073" s="2" t="str">
        <f t="shared" si="109"/>
        <v>Error?</v>
      </c>
    </row>
    <row r="7074" spans="1:4" x14ac:dyDescent="0.2">
      <c r="A7074">
        <v>7013</v>
      </c>
      <c r="B7074" s="138">
        <f>'Expenditures 15-22'!K216</f>
        <v>6447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849</v>
      </c>
      <c r="D7079" s="2" t="str">
        <f t="shared" si="109"/>
        <v>Error?</v>
      </c>
    </row>
    <row r="7080" spans="1:4" x14ac:dyDescent="0.2">
      <c r="A7080">
        <v>7019</v>
      </c>
      <c r="B7080" s="138">
        <f>'Expenditures 15-22'!K226</f>
        <v>849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32040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32040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4264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4264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8819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8819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98288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98288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98288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98288</v>
      </c>
      <c r="D7224" s="2" t="str">
        <f t="shared" si="111"/>
        <v>Error?</v>
      </c>
    </row>
    <row r="7225" spans="1:4" x14ac:dyDescent="0.2">
      <c r="A7225">
        <v>7164</v>
      </c>
      <c r="B7225" s="138">
        <f>'Expenditures 15-22'!K343</f>
        <v>67949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25934</v>
      </c>
      <c r="D7246" s="2" t="str">
        <f t="shared" si="112"/>
        <v>Error?</v>
      </c>
    </row>
    <row r="7247" spans="1:4" x14ac:dyDescent="0.2">
      <c r="A7247">
        <f t="shared" si="113"/>
        <v>7186</v>
      </c>
      <c r="B7247" s="138">
        <f>'Expenditures 15-22'!E7</f>
        <v>1948</v>
      </c>
      <c r="D7247" s="2" t="str">
        <f t="shared" si="112"/>
        <v>Error?</v>
      </c>
    </row>
    <row r="7248" spans="1:4" x14ac:dyDescent="0.2">
      <c r="A7248">
        <f t="shared" si="113"/>
        <v>7187</v>
      </c>
      <c r="B7248" s="138">
        <f>'Expenditures 15-22'!F7</f>
        <v>24190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68557</v>
      </c>
      <c r="D7263" s="2" t="str">
        <f t="shared" si="112"/>
        <v>Error?</v>
      </c>
    </row>
    <row r="7264" spans="1:4" x14ac:dyDescent="0.2">
      <c r="A7264">
        <f t="shared" si="113"/>
        <v>7203</v>
      </c>
      <c r="B7264" s="138">
        <f>'Expenditures 15-22'!D17</f>
        <v>14578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735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2022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2022</v>
      </c>
      <c r="D7618" s="2" t="str">
        <f t="shared" si="124"/>
        <v>Error?</v>
      </c>
      <c r="E7618" s="2" t="s">
        <v>19</v>
      </c>
    </row>
    <row r="7619" spans="1:5" x14ac:dyDescent="0.2">
      <c r="A7619">
        <f t="shared" si="123"/>
        <v>7558</v>
      </c>
      <c r="B7619" s="138">
        <f>'Cap Outlay Deprec 26'!H14</f>
        <v>2022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2022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854030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52471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52471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481182</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6838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4578</v>
      </c>
      <c r="D7712" s="2" t="str">
        <f t="shared" si="126"/>
        <v>Error?</v>
      </c>
      <c r="E7712" s="2" t="s">
        <v>881</v>
      </c>
    </row>
    <row r="7713" spans="1:6" x14ac:dyDescent="0.2">
      <c r="A7713">
        <v>7652</v>
      </c>
      <c r="B7713" s="138">
        <f>'Rest Tax Levies-Tort Im 25'!J8</f>
        <v>409893</v>
      </c>
      <c r="D7713" s="2" t="str">
        <f t="shared" si="126"/>
        <v>Error?</v>
      </c>
      <c r="E7713" s="2" t="s">
        <v>881</v>
      </c>
    </row>
    <row r="7714" spans="1:6" x14ac:dyDescent="0.2">
      <c r="A7714">
        <v>7653</v>
      </c>
      <c r="B7714" s="138">
        <f>'Rest Tax Levies-Tort Im 25'!K9</f>
        <v>12562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416731</v>
      </c>
      <c r="D7718" s="2" t="str">
        <f t="shared" si="126"/>
        <v>Error?</v>
      </c>
      <c r="E7718" s="2" t="s">
        <v>881</v>
      </c>
    </row>
    <row r="7719" spans="1:6" x14ac:dyDescent="0.2">
      <c r="A7719">
        <v>7658</v>
      </c>
      <c r="B7719" s="138">
        <f>'Rest Tax Levies-Tort Im 25'!K12</f>
        <v>17140</v>
      </c>
      <c r="D7719" s="2" t="str">
        <f t="shared" si="126"/>
        <v>Error?</v>
      </c>
      <c r="E7719" s="2" t="s">
        <v>881</v>
      </c>
    </row>
    <row r="7720" spans="1:6" x14ac:dyDescent="0.2">
      <c r="A7720">
        <v>7659</v>
      </c>
      <c r="B7720" s="138">
        <f>'Rest Tax Levies-Tort Im 25'!H14</f>
        <v>38081</v>
      </c>
      <c r="D7720" s="2" t="str">
        <f t="shared" si="126"/>
        <v>Error?</v>
      </c>
      <c r="E7720" s="2" t="s">
        <v>881</v>
      </c>
    </row>
    <row r="7721" spans="1:6" x14ac:dyDescent="0.2">
      <c r="A7721">
        <v>7660</v>
      </c>
      <c r="B7721" s="138">
        <f>'Rest Tax Levies-Tort Im 25'!K14</f>
        <v>17140</v>
      </c>
      <c r="D7721" s="2" t="str">
        <f t="shared" si="126"/>
        <v>Error?</v>
      </c>
      <c r="E7721" s="2" t="s">
        <v>881</v>
      </c>
    </row>
    <row r="7722" spans="1:6" x14ac:dyDescent="0.2">
      <c r="A7722">
        <v>7661</v>
      </c>
      <c r="B7722" s="138">
        <f>'Rest Tax Levies-Tort Im 25'!J15</f>
        <v>215462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215462</v>
      </c>
      <c r="D7730" s="2" t="str">
        <f t="shared" si="126"/>
        <v>Error?</v>
      </c>
      <c r="E7730" s="2" t="s">
        <v>881</v>
      </c>
    </row>
    <row r="7731" spans="1:6" x14ac:dyDescent="0.2">
      <c r="A7731">
        <v>7670</v>
      </c>
      <c r="B7731" s="138">
        <f>'Revenues 9-14'!H103</f>
        <v>409893</v>
      </c>
      <c r="D7731" s="2" t="str">
        <f t="shared" si="126"/>
        <v>Error?</v>
      </c>
      <c r="E7731" s="2" t="s">
        <v>881</v>
      </c>
    </row>
    <row r="7732" spans="1:6" x14ac:dyDescent="0.2">
      <c r="A7732">
        <v>7671</v>
      </c>
      <c r="B7732" s="138">
        <f>'Rest Tax Levies-Tort Im 25'!J24</f>
        <v>682451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682451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29'!D130</f>
        <v>678270</v>
      </c>
      <c r="D7797" s="2" t="str">
        <f t="shared" si="127"/>
        <v>Error?</v>
      </c>
      <c r="E7797" s="4" t="s">
        <v>2020</v>
      </c>
    </row>
    <row r="7798" spans="1:5" x14ac:dyDescent="0.2">
      <c r="A7798">
        <v>7737</v>
      </c>
      <c r="B7798" s="138">
        <f>'Contracts Paid in CY 29'!F130</f>
        <v>245522</v>
      </c>
      <c r="D7798" s="2" t="str">
        <f t="shared" si="127"/>
        <v>Error?</v>
      </c>
      <c r="E7798" s="4" t="s">
        <v>2020</v>
      </c>
    </row>
    <row r="7799" spans="1:5" x14ac:dyDescent="0.2">
      <c r="A7799">
        <v>7738</v>
      </c>
      <c r="B7799" s="138">
        <f>'Contracts Paid in CY 29'!G130</f>
        <v>432748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6" t="s">
        <v>1253</v>
      </c>
      <c r="B2" s="2396"/>
      <c r="C2" s="2396"/>
      <c r="D2" s="2396"/>
      <c r="E2" s="2396"/>
      <c r="F2" s="2396"/>
      <c r="G2" s="2396"/>
      <c r="H2" s="2396"/>
      <c r="I2" s="2396"/>
      <c r="J2" s="2396"/>
      <c r="K2" s="2396"/>
      <c r="L2" s="2396"/>
    </row>
    <row r="3" spans="1:29" ht="13.5" customHeight="1" x14ac:dyDescent="0.2">
      <c r="A3" s="2427" t="s">
        <v>1252</v>
      </c>
      <c r="B3" s="2427"/>
      <c r="C3" s="2427"/>
      <c r="D3" s="2427"/>
      <c r="E3" s="2427"/>
      <c r="F3" s="2427"/>
      <c r="G3" s="2427"/>
      <c r="H3" s="2427"/>
      <c r="I3" s="2427"/>
      <c r="J3" s="2427"/>
      <c r="K3" s="2427"/>
      <c r="L3" s="2427"/>
    </row>
    <row r="4" spans="1:29" ht="13.5" customHeight="1" x14ac:dyDescent="0.2">
      <c r="A4" s="2396" t="s">
        <v>1799</v>
      </c>
      <c r="B4" s="2417"/>
      <c r="C4" s="2417"/>
      <c r="D4" s="2417"/>
      <c r="E4" s="2417"/>
      <c r="F4" s="2417"/>
      <c r="G4" s="2417"/>
      <c r="H4" s="2417"/>
      <c r="I4" s="2417"/>
      <c r="J4" s="2417"/>
      <c r="K4" s="2417"/>
      <c r="L4" s="241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8" t="str">
        <f>COVER!A17</f>
        <v>Prophetstown-Lyndon-Tampico CUSD 3</v>
      </c>
      <c r="B7" s="2419"/>
      <c r="C7" s="2419"/>
      <c r="D7" s="2420"/>
      <c r="E7" s="2421">
        <f>COVER!A13</f>
        <v>47098003026</v>
      </c>
      <c r="F7" s="2422"/>
      <c r="G7" s="2428" t="str">
        <f>COVER!T23</f>
        <v>066-005027</v>
      </c>
      <c r="H7" s="2429"/>
      <c r="I7" s="2429"/>
      <c r="J7" s="2429"/>
      <c r="K7" s="2429"/>
      <c r="L7" s="2430"/>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1"/>
      <c r="B9" s="2432"/>
      <c r="C9" s="2432"/>
      <c r="D9" s="2432"/>
      <c r="E9" s="2432"/>
      <c r="F9" s="2433"/>
      <c r="G9" s="2402" t="str">
        <f>COVER!T13</f>
        <v>Gorenz and Associates, Ltd.</v>
      </c>
      <c r="H9" s="2434"/>
      <c r="I9" s="2434"/>
      <c r="J9" s="2434"/>
      <c r="K9" s="2434"/>
      <c r="L9" s="2435"/>
    </row>
    <row r="10" spans="1:29" ht="13.5" customHeight="1" x14ac:dyDescent="0.2">
      <c r="A10" s="2408" t="str">
        <f>COVER!A38</f>
        <v>Chad Colmone</v>
      </c>
      <c r="B10" s="2409"/>
      <c r="C10" s="2409"/>
      <c r="D10" s="2409"/>
      <c r="E10" s="2409"/>
      <c r="F10" s="2410"/>
      <c r="G10" s="2402" t="str">
        <f>COVER!T17</f>
        <v>4200 N Knoxville Ave</v>
      </c>
      <c r="H10" s="2403"/>
      <c r="I10" s="2403"/>
      <c r="J10" s="2403"/>
      <c r="K10" s="2403"/>
      <c r="L10" s="2404"/>
    </row>
    <row r="11" spans="1:29" ht="13.5" customHeight="1" x14ac:dyDescent="0.2">
      <c r="A11" s="1183" t="s">
        <v>1599</v>
      </c>
      <c r="B11" s="1184"/>
      <c r="C11" s="1185"/>
      <c r="D11" s="1190"/>
      <c r="E11" s="1185"/>
      <c r="F11" s="1189"/>
      <c r="G11" s="2402" t="str">
        <f>COVER!T19</f>
        <v>Peoria</v>
      </c>
      <c r="H11" s="2403"/>
      <c r="I11" s="2403"/>
      <c r="J11" s="2403"/>
      <c r="K11" s="2403"/>
      <c r="L11" s="2404"/>
    </row>
    <row r="12" spans="1:29" ht="13.5" customHeight="1" x14ac:dyDescent="0.2">
      <c r="A12" s="2411" t="s">
        <v>1598</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1600</v>
      </c>
      <c r="H13" s="2398"/>
      <c r="I13" s="2414" t="str">
        <f>COVER!T25</f>
        <v>tpeffer@gorenzcpa.com</v>
      </c>
      <c r="J13" s="2415"/>
      <c r="K13" s="2415"/>
      <c r="L13" s="2416"/>
    </row>
    <row r="14" spans="1:29" ht="13.5" customHeight="1" x14ac:dyDescent="0.2">
      <c r="A14" s="2402" t="str">
        <f>COVER!A19</f>
        <v>79 Grove Street</v>
      </c>
      <c r="B14" s="2403"/>
      <c r="C14" s="2403"/>
      <c r="D14" s="2403"/>
      <c r="E14" s="2403"/>
      <c r="F14" s="2404"/>
      <c r="G14" s="1194" t="s">
        <v>1247</v>
      </c>
      <c r="H14" s="1192"/>
      <c r="I14" s="1192"/>
      <c r="J14" s="1192"/>
      <c r="K14" s="1192"/>
      <c r="L14" s="1193"/>
    </row>
    <row r="15" spans="1:29" ht="13.5" customHeight="1" x14ac:dyDescent="0.2">
      <c r="A15" s="2402" t="str">
        <f>COVER!A21</f>
        <v>Prophetstown</v>
      </c>
      <c r="B15" s="2403"/>
      <c r="C15" s="2403"/>
      <c r="D15" s="2403"/>
      <c r="E15" s="2403"/>
      <c r="F15" s="2404"/>
      <c r="G15" s="2399" t="str">
        <f>COVER!T15</f>
        <v>Thomas R. Peffer, CPA</v>
      </c>
      <c r="H15" s="2400"/>
      <c r="I15" s="2400"/>
      <c r="J15" s="2400"/>
      <c r="K15" s="2400"/>
      <c r="L15" s="2401"/>
    </row>
    <row r="16" spans="1:29" ht="12.2" customHeight="1" x14ac:dyDescent="0.2">
      <c r="A16" s="2424">
        <f>COVER!A25</f>
        <v>61277</v>
      </c>
      <c r="B16" s="2425"/>
      <c r="C16" s="2425"/>
      <c r="D16" s="2425"/>
      <c r="E16" s="2425"/>
      <c r="F16" s="2426"/>
      <c r="G16" s="2436"/>
      <c r="H16" s="2437"/>
      <c r="I16" s="2437"/>
      <c r="J16" s="2437"/>
      <c r="K16" s="2437"/>
      <c r="L16" s="2438"/>
    </row>
    <row r="17" spans="1:13" ht="12.2" customHeight="1" x14ac:dyDescent="0.2">
      <c r="A17" s="2439"/>
      <c r="B17" s="2425"/>
      <c r="C17" s="2425"/>
      <c r="D17" s="2425"/>
      <c r="E17" s="2425"/>
      <c r="F17" s="2426"/>
      <c r="G17" s="1194" t="s">
        <v>1246</v>
      </c>
      <c r="H17" s="1192"/>
      <c r="I17" s="1192"/>
      <c r="J17" s="1192"/>
      <c r="K17" s="1196" t="s">
        <v>1245</v>
      </c>
      <c r="L17" s="1189"/>
      <c r="M17" s="1182"/>
    </row>
    <row r="18" spans="1:13" ht="12.2" customHeight="1" x14ac:dyDescent="0.2">
      <c r="A18" s="2408"/>
      <c r="B18" s="2409"/>
      <c r="C18" s="2409"/>
      <c r="D18" s="2409"/>
      <c r="E18" s="2409"/>
      <c r="F18" s="2410"/>
      <c r="G18" s="2418" t="str">
        <f>COVER!T21</f>
        <v>309-685-7621</v>
      </c>
      <c r="H18" s="2419"/>
      <c r="I18" s="2419"/>
      <c r="J18" s="2419"/>
      <c r="K18" s="2418" t="str">
        <f>COVER!X21</f>
        <v>309-685-4758</v>
      </c>
      <c r="L18" s="242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0" t="str">
        <f>'Single Audit Cover'!A7</f>
        <v>Prophetstown-Lyndon-Tampico CUSD 3</v>
      </c>
      <c r="B1" s="2417"/>
      <c r="C1" s="2417"/>
      <c r="D1" s="2417"/>
    </row>
    <row r="2" spans="1:11" s="1213" customFormat="1" ht="12.75" x14ac:dyDescent="0.2">
      <c r="A2" s="2441">
        <f>'Single Audit Cover'!E7</f>
        <v>47098003026</v>
      </c>
      <c r="B2" s="2442"/>
      <c r="C2" s="2442"/>
      <c r="D2" s="2442"/>
    </row>
    <row r="3" spans="1:11" s="1213" customFormat="1" ht="12.75" x14ac:dyDescent="0.2">
      <c r="A3" s="2440" t="s">
        <v>1593</v>
      </c>
      <c r="B3" s="2417"/>
      <c r="C3" s="2417"/>
      <c r="D3" s="2417"/>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4" t="str">
        <f>'Single Audit Cover'!A7</f>
        <v>Prophetstown-Lyndon-Tampico CUSD 3</v>
      </c>
      <c r="B1" s="2444"/>
      <c r="C1" s="2444"/>
      <c r="D1" s="2444"/>
      <c r="E1" s="2444"/>
    </row>
    <row r="2" spans="1:5" x14ac:dyDescent="0.2">
      <c r="A2" s="2445">
        <f>'Single Audit Cover'!E7</f>
        <v>47098003026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58" t="s">
        <v>1305</v>
      </c>
    </row>
    <row r="10" spans="1:5" x14ac:dyDescent="0.2">
      <c r="A10" s="1259" t="s">
        <v>1304</v>
      </c>
      <c r="B10" s="1260" t="s">
        <v>1303</v>
      </c>
      <c r="C10" s="1260"/>
      <c r="D10" s="1261">
        <f>SUM('Acct Summary 7-8'!C7:K7)</f>
        <v>503966</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34436</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-34643</v>
      </c>
    </row>
    <row r="19" spans="1:4" ht="13.5" thickBot="1" x14ac:dyDescent="0.25">
      <c r="A19" s="1263" t="s">
        <v>1297</v>
      </c>
      <c r="D19" s="1264">
        <f>SUM(D10:D17)</f>
        <v>503759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6"/>
      <c r="B24" s="2446"/>
      <c r="D24" s="1266"/>
    </row>
    <row r="25" spans="1:4" x14ac:dyDescent="0.2">
      <c r="A25" s="2443"/>
      <c r="B25" s="2443"/>
      <c r="D25" s="1266"/>
    </row>
    <row r="26" spans="1:4" x14ac:dyDescent="0.2">
      <c r="A26" s="2443"/>
      <c r="B26" s="2443"/>
      <c r="D26" s="1266"/>
    </row>
    <row r="27" spans="1:4" x14ac:dyDescent="0.2">
      <c r="A27" s="2443"/>
      <c r="B27" s="2443"/>
      <c r="D27" s="1266"/>
    </row>
    <row r="28" spans="1:4" x14ac:dyDescent="0.2">
      <c r="A28" s="2443"/>
      <c r="B28" s="2443"/>
      <c r="D28" s="1266"/>
    </row>
    <row r="29" spans="1:4" x14ac:dyDescent="0.2">
      <c r="A29" s="2443"/>
      <c r="B29" s="2443"/>
      <c r="D29" s="1266"/>
    </row>
    <row r="30" spans="1:4" x14ac:dyDescent="0.2">
      <c r="A30" s="2443"/>
      <c r="B30" s="2443"/>
      <c r="D30" s="1266"/>
    </row>
    <row r="32" spans="1:4" x14ac:dyDescent="0.2">
      <c r="A32" s="1258" t="s">
        <v>1295</v>
      </c>
      <c r="D32" s="1261">
        <f>SUM(D19:D30)</f>
        <v>503759</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3"/>
      <c r="B40" s="2443"/>
      <c r="D40" s="1266"/>
    </row>
    <row r="41" spans="1:4" x14ac:dyDescent="0.2">
      <c r="A41" s="2443"/>
      <c r="B41" s="2443"/>
      <c r="D41" s="1269"/>
    </row>
    <row r="42" spans="1:4" x14ac:dyDescent="0.2">
      <c r="A42" s="2443"/>
      <c r="B42" s="2443"/>
      <c r="D42" s="1269"/>
    </row>
    <row r="43" spans="1:4" x14ac:dyDescent="0.2">
      <c r="A43" s="2443"/>
      <c r="B43" s="2443"/>
      <c r="D43" s="1269"/>
    </row>
    <row r="44" spans="1:4" x14ac:dyDescent="0.2">
      <c r="A44" s="2443"/>
      <c r="B44" s="2443"/>
      <c r="D44" s="1269"/>
    </row>
    <row r="45" spans="1:4" x14ac:dyDescent="0.2">
      <c r="A45" s="2443"/>
      <c r="B45" s="2443"/>
      <c r="D45" s="1269"/>
    </row>
    <row r="47" spans="1:4" x14ac:dyDescent="0.2">
      <c r="B47" s="1270" t="s">
        <v>1289</v>
      </c>
      <c r="C47" s="1270"/>
      <c r="D47" s="1271">
        <f>SUM(D35:D45)</f>
        <v>0</v>
      </c>
    </row>
    <row r="49" spans="2:4" x14ac:dyDescent="0.2">
      <c r="B49" s="1270" t="s">
        <v>1288</v>
      </c>
      <c r="C49" s="1270"/>
      <c r="D49" s="1271">
        <f>D32-D47</f>
        <v>503759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Prophetstown-Lyndon-Tampico CUSD 3</v>
      </c>
      <c r="B1" s="2457"/>
      <c r="C1" s="2457"/>
      <c r="D1" s="2457"/>
      <c r="E1" s="2457"/>
      <c r="F1" s="2457"/>
    </row>
    <row r="2" spans="1:7" ht="13.5" customHeight="1" x14ac:dyDescent="0.2">
      <c r="A2" s="2458">
        <f>'Single Audit Cover'!E7</f>
        <v>47098003026</v>
      </c>
      <c r="B2" s="2458"/>
      <c r="C2" s="2458"/>
      <c r="D2" s="2458"/>
      <c r="E2" s="2458"/>
      <c r="F2" s="2458"/>
      <c r="G2" s="1273"/>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4" t="s">
        <v>1831</v>
      </c>
      <c r="C6" s="317"/>
      <c r="D6" s="317"/>
    </row>
    <row r="7" spans="1:7" ht="60.95" customHeight="1" x14ac:dyDescent="0.2">
      <c r="A7" s="2456" t="s">
        <v>1832</v>
      </c>
      <c r="B7" s="2456"/>
      <c r="C7" s="2456"/>
      <c r="D7" s="2456"/>
      <c r="E7" s="2456"/>
      <c r="F7" s="2456"/>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2"/>
      <c r="D11" s="1278"/>
      <c r="E11" s="1922"/>
      <c r="F11" s="1278"/>
      <c r="G11" s="1276"/>
    </row>
    <row r="12" spans="1:7" x14ac:dyDescent="0.2">
      <c r="A12" s="1274" t="s">
        <v>1669</v>
      </c>
      <c r="C12" s="1258"/>
      <c r="D12" s="1258"/>
    </row>
    <row r="13" spans="1:7" ht="15" customHeight="1" x14ac:dyDescent="0.2">
      <c r="A13" s="2456" t="s">
        <v>1834</v>
      </c>
      <c r="B13" s="2456"/>
      <c r="C13" s="2456"/>
      <c r="D13" s="2456"/>
      <c r="E13" s="2456"/>
      <c r="F13" s="2456"/>
    </row>
    <row r="14" spans="1:7" ht="9.75" customHeight="1" x14ac:dyDescent="0.2">
      <c r="C14" s="1258"/>
      <c r="D14" s="1258"/>
    </row>
    <row r="15" spans="1:7" ht="13.5" customHeight="1" x14ac:dyDescent="0.2">
      <c r="C15" s="1866" t="s">
        <v>1332</v>
      </c>
      <c r="D15" s="2454" t="s">
        <v>1331</v>
      </c>
      <c r="E15" s="2454"/>
      <c r="F15" s="2454"/>
    </row>
    <row r="16" spans="1:7" ht="13.5" customHeight="1" x14ac:dyDescent="0.2">
      <c r="A16" s="1280"/>
      <c r="B16" s="1274" t="s">
        <v>1330</v>
      </c>
      <c r="C16" s="1866" t="s">
        <v>1329</v>
      </c>
      <c r="D16" s="2455" t="s">
        <v>1670</v>
      </c>
      <c r="E16" s="2455"/>
      <c r="F16" s="2455"/>
    </row>
    <row r="17" spans="1:6" ht="20.45" customHeight="1" x14ac:dyDescent="0.2">
      <c r="A17" s="1281"/>
      <c r="B17" s="1282"/>
      <c r="C17" s="1283"/>
      <c r="D17" s="2449"/>
      <c r="E17" s="2449"/>
      <c r="F17" s="2449"/>
    </row>
    <row r="18" spans="1:6" ht="20.65" customHeight="1" x14ac:dyDescent="0.2">
      <c r="A18" s="1281"/>
      <c r="B18" s="1282"/>
      <c r="C18" s="1283"/>
      <c r="D18" s="2449"/>
      <c r="E18" s="2449"/>
      <c r="F18" s="2449"/>
    </row>
    <row r="19" spans="1:6" ht="20.65" customHeight="1" x14ac:dyDescent="0.2">
      <c r="A19" s="1281"/>
      <c r="B19" s="1282"/>
      <c r="C19" s="1283"/>
      <c r="D19" s="2449"/>
      <c r="E19" s="2449"/>
      <c r="F19" s="2449"/>
    </row>
    <row r="20" spans="1:6" ht="20.65" customHeight="1" x14ac:dyDescent="0.2">
      <c r="A20" s="1281"/>
      <c r="B20" s="1282"/>
      <c r="C20" s="1283"/>
      <c r="D20" s="2449"/>
      <c r="E20" s="2449"/>
      <c r="F20" s="2449"/>
    </row>
    <row r="21" spans="1:6" ht="20.65" customHeight="1" x14ac:dyDescent="0.2">
      <c r="A21" s="1281"/>
      <c r="B21" s="1282"/>
      <c r="C21" s="1283"/>
      <c r="D21" s="2449"/>
      <c r="E21" s="2449"/>
      <c r="F21" s="2449"/>
    </row>
    <row r="22" spans="1:6" ht="20.65" customHeight="1" x14ac:dyDescent="0.2">
      <c r="A22" s="1281"/>
      <c r="B22" s="1282"/>
      <c r="C22" s="1283"/>
      <c r="D22" s="2449"/>
      <c r="E22" s="2449"/>
      <c r="F22" s="2449"/>
    </row>
    <row r="23" spans="1:6" ht="20.65" customHeight="1" x14ac:dyDescent="0.2">
      <c r="A23" s="1281"/>
      <c r="B23" s="1282"/>
      <c r="C23" s="1283"/>
      <c r="D23" s="2449"/>
      <c r="E23" s="2449"/>
      <c r="F23" s="2449"/>
    </row>
    <row r="24" spans="1:6" ht="20.65" customHeight="1" x14ac:dyDescent="0.2">
      <c r="A24" s="1281"/>
      <c r="B24" s="1282"/>
      <c r="C24" s="1283"/>
      <c r="D24" s="2449"/>
      <c r="E24" s="2449"/>
      <c r="F24" s="2449"/>
    </row>
    <row r="25" spans="1:6" ht="20.65" customHeight="1" x14ac:dyDescent="0.2">
      <c r="A25" s="1281"/>
      <c r="B25" s="1282"/>
      <c r="C25" s="1283"/>
      <c r="D25" s="2449"/>
      <c r="E25" s="2449"/>
      <c r="F25" s="2449"/>
    </row>
    <row r="26" spans="1:6" ht="20.65" customHeight="1" x14ac:dyDescent="0.2">
      <c r="A26" s="1281"/>
      <c r="B26" s="1282"/>
      <c r="C26" s="1283"/>
      <c r="D26" s="2449"/>
      <c r="E26" s="2449"/>
      <c r="F26" s="2449"/>
    </row>
    <row r="27" spans="1:6" ht="20.65" customHeight="1" x14ac:dyDescent="0.2">
      <c r="A27" s="1281"/>
      <c r="B27" s="1282"/>
      <c r="C27" s="1283"/>
      <c r="D27" s="2449"/>
      <c r="E27" s="2449"/>
      <c r="F27" s="2449"/>
    </row>
    <row r="28" spans="1:6" ht="20.65" customHeight="1" x14ac:dyDescent="0.2">
      <c r="A28" s="1281"/>
      <c r="B28" s="1282"/>
      <c r="C28" s="1283"/>
      <c r="D28" s="2449"/>
      <c r="E28" s="2449"/>
      <c r="F28" s="2449"/>
    </row>
    <row r="29" spans="1:6" ht="20.65" customHeight="1" x14ac:dyDescent="0.2">
      <c r="A29" s="1281"/>
      <c r="B29" s="1282"/>
      <c r="C29" s="1283"/>
      <c r="D29" s="2449"/>
      <c r="E29" s="2449"/>
      <c r="F29" s="2449"/>
    </row>
    <row r="30" spans="1:6" ht="12" customHeight="1" x14ac:dyDescent="0.2">
      <c r="A30" s="328"/>
      <c r="B30" s="328"/>
      <c r="C30" s="1476"/>
      <c r="D30" s="1923"/>
      <c r="E30" s="1284"/>
    </row>
    <row r="31" spans="1:6" ht="12" customHeight="1" x14ac:dyDescent="0.2">
      <c r="A31" s="1285" t="s">
        <v>1630</v>
      </c>
      <c r="B31" s="328"/>
      <c r="C31" s="1476"/>
      <c r="D31" s="1923"/>
      <c r="E31" s="1284"/>
    </row>
    <row r="32" spans="1:6" ht="30" customHeight="1" x14ac:dyDescent="0.2">
      <c r="A32" s="2450" t="s">
        <v>1835</v>
      </c>
      <c r="B32" s="2450"/>
      <c r="C32" s="2450"/>
      <c r="D32" s="2450"/>
      <c r="E32" s="2450"/>
      <c r="F32" s="2450"/>
    </row>
    <row r="33" spans="1:6" ht="13.5" customHeight="1" x14ac:dyDescent="0.2">
      <c r="A33" s="328" t="s">
        <v>1509</v>
      </c>
      <c r="B33" s="328"/>
      <c r="C33" s="1286">
        <v>0</v>
      </c>
      <c r="D33" s="1923"/>
      <c r="E33" s="1284"/>
    </row>
    <row r="34" spans="1:6" ht="13.5" customHeight="1" x14ac:dyDescent="0.2">
      <c r="A34" s="328" t="s">
        <v>1949</v>
      </c>
      <c r="B34" s="328"/>
      <c r="C34" s="1287">
        <v>0</v>
      </c>
      <c r="D34" s="1923" t="s">
        <v>1671</v>
      </c>
      <c r="E34" s="2451">
        <f>+C33+C34</f>
        <v>0</v>
      </c>
      <c r="F34" s="2452"/>
    </row>
    <row r="35" spans="1:6" ht="12" customHeight="1" x14ac:dyDescent="0.2">
      <c r="A35" s="328"/>
      <c r="B35" s="328"/>
      <c r="C35" s="1924"/>
      <c r="D35" s="1923"/>
      <c r="E35" s="1288"/>
      <c r="F35" s="1289"/>
    </row>
    <row r="36" spans="1:6" ht="13.5" customHeight="1" x14ac:dyDescent="0.2">
      <c r="A36" s="1285" t="s">
        <v>1631</v>
      </c>
      <c r="B36" s="328"/>
      <c r="C36" s="1476"/>
      <c r="D36" s="1923"/>
      <c r="E36" s="1284"/>
    </row>
    <row r="37" spans="1:6" ht="14.25" customHeight="1" x14ac:dyDescent="0.2">
      <c r="A37" s="328" t="s">
        <v>1563</v>
      </c>
      <c r="B37" s="328"/>
      <c r="C37" s="1925"/>
      <c r="D37" s="1923"/>
      <c r="E37" s="1284"/>
    </row>
    <row r="38" spans="1:6" ht="14.25" customHeight="1" x14ac:dyDescent="0.2">
      <c r="A38" s="328"/>
      <c r="B38" s="328" t="s">
        <v>1510</v>
      </c>
      <c r="C38" s="1290"/>
      <c r="D38" s="1923"/>
      <c r="E38" s="1284"/>
    </row>
    <row r="39" spans="1:6" ht="14.25" customHeight="1" x14ac:dyDescent="0.2">
      <c r="A39" s="328"/>
      <c r="B39" s="328" t="s">
        <v>1511</v>
      </c>
      <c r="C39" s="1290"/>
      <c r="D39" s="1923"/>
      <c r="E39" s="1284"/>
    </row>
    <row r="40" spans="1:6" ht="14.25" customHeight="1" x14ac:dyDescent="0.2">
      <c r="A40" s="328"/>
      <c r="B40" s="328" t="s">
        <v>1512</v>
      </c>
      <c r="C40" s="1290"/>
      <c r="D40" s="1923"/>
      <c r="E40" s="1284"/>
    </row>
    <row r="41" spans="1:6" ht="14.25" customHeight="1" x14ac:dyDescent="0.2">
      <c r="A41" s="328"/>
      <c r="B41" s="328" t="s">
        <v>1513</v>
      </c>
      <c r="C41" s="1290"/>
      <c r="D41" s="1923"/>
      <c r="E41" s="1284"/>
    </row>
    <row r="42" spans="1:6" ht="14.25" customHeight="1" x14ac:dyDescent="0.2">
      <c r="A42" s="328" t="s">
        <v>1514</v>
      </c>
      <c r="B42" s="328"/>
      <c r="C42" s="1921"/>
      <c r="D42" s="1923"/>
      <c r="E42" s="1284"/>
    </row>
    <row r="43" spans="1:6" ht="14.25" customHeight="1" x14ac:dyDescent="0.2">
      <c r="A43" s="328" t="s">
        <v>1515</v>
      </c>
      <c r="B43" s="328"/>
      <c r="C43" s="1291"/>
      <c r="D43" s="1923"/>
      <c r="E43" s="1284"/>
    </row>
    <row r="44" spans="1:6" ht="14.25" customHeight="1" x14ac:dyDescent="0.2">
      <c r="A44" s="328"/>
      <c r="B44" s="328"/>
      <c r="C44" s="1925" t="s">
        <v>1516</v>
      </c>
      <c r="D44" s="1923"/>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3" t="s">
        <v>1672</v>
      </c>
      <c r="C49" s="2453"/>
      <c r="D49" s="2453"/>
      <c r="E49" s="1397"/>
    </row>
    <row r="50" spans="1:5" s="1298" customFormat="1" ht="3.75" customHeight="1" x14ac:dyDescent="0.2">
      <c r="A50" s="1297"/>
      <c r="B50" s="1865"/>
      <c r="C50" s="1865"/>
      <c r="D50" s="1865"/>
      <c r="E50" s="1397"/>
    </row>
    <row r="51" spans="1:5" s="1298" customFormat="1" ht="20.25" customHeight="1" x14ac:dyDescent="0.2">
      <c r="A51" s="1299">
        <v>6</v>
      </c>
      <c r="B51" s="2448" t="s">
        <v>1632</v>
      </c>
      <c r="C51" s="2448"/>
      <c r="D51" s="2448"/>
    </row>
    <row r="52" spans="1:5" ht="14.25" customHeight="1" x14ac:dyDescent="0.2">
      <c r="A52" s="1299"/>
      <c r="B52" s="2448"/>
      <c r="C52" s="2448"/>
      <c r="D52" s="244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7" t="str">
        <f>'Single Audit Cover'!A7</f>
        <v>Prophetstown-Lyndon-Tampico CUSD 3</v>
      </c>
      <c r="C1" s="2461"/>
      <c r="D1" s="2461"/>
      <c r="E1" s="2461"/>
      <c r="F1" s="2461"/>
      <c r="G1" s="2461"/>
      <c r="H1" s="2461"/>
      <c r="I1" s="2461"/>
      <c r="J1" s="2461"/>
      <c r="K1" s="2461"/>
      <c r="L1" s="2461"/>
      <c r="M1" s="2461"/>
    </row>
    <row r="2" spans="2:14" ht="15" x14ac:dyDescent="0.2">
      <c r="B2" s="2458">
        <f>'Single Audit Cover'!E7</f>
        <v>47098003026</v>
      </c>
      <c r="C2" s="2458"/>
      <c r="D2" s="2458"/>
      <c r="E2" s="2458"/>
      <c r="F2" s="2458"/>
      <c r="G2" s="2458"/>
      <c r="H2" s="2458"/>
      <c r="I2" s="2458"/>
      <c r="J2" s="2458"/>
      <c r="K2" s="2458"/>
      <c r="L2" s="2458"/>
      <c r="M2" s="2458"/>
      <c r="N2" s="1300"/>
    </row>
    <row r="3" spans="2:14" ht="15" x14ac:dyDescent="0.2">
      <c r="B3" s="2462" t="s">
        <v>1281</v>
      </c>
      <c r="C3" s="2462"/>
      <c r="D3" s="2462"/>
      <c r="E3" s="2462"/>
      <c r="F3" s="2462"/>
      <c r="G3" s="2462"/>
      <c r="H3" s="2462"/>
      <c r="I3" s="2462"/>
      <c r="J3" s="2462"/>
      <c r="K3" s="2462"/>
      <c r="L3" s="2462"/>
      <c r="M3" s="2462"/>
      <c r="N3" s="1300"/>
    </row>
    <row r="4" spans="2:14" ht="15" x14ac:dyDescent="0.2">
      <c r="B4" s="2463" t="str">
        <f>'Single Audit Cover'!A4</f>
        <v>Year Ending June 30, 2018</v>
      </c>
      <c r="C4" s="2463"/>
      <c r="D4" s="2463"/>
      <c r="E4" s="2463"/>
      <c r="F4" s="2463"/>
      <c r="G4" s="2463"/>
      <c r="H4" s="2463"/>
      <c r="I4" s="2463"/>
      <c r="J4" s="2463"/>
      <c r="K4" s="2463"/>
      <c r="L4" s="2463"/>
      <c r="M4" s="2463"/>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4"/>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Prophetstown-Lyndon-Tampico CUSD 3</v>
      </c>
      <c r="C1" s="2476"/>
      <c r="D1" s="2476"/>
      <c r="E1" s="2476"/>
      <c r="F1" s="2476"/>
      <c r="G1" s="2476"/>
      <c r="H1" s="2476"/>
      <c r="I1" s="2476"/>
      <c r="J1" s="1420"/>
    </row>
    <row r="2" spans="2:10" s="317" customFormat="1" ht="12.75" customHeight="1" x14ac:dyDescent="0.2">
      <c r="B2" s="2477">
        <f>'Single Audit Cover'!E7</f>
        <v>47098003026</v>
      </c>
      <c r="C2" s="2478"/>
      <c r="D2" s="2478"/>
      <c r="E2" s="2478"/>
      <c r="F2" s="2478"/>
      <c r="G2" s="2478"/>
      <c r="H2" s="2478"/>
      <c r="I2" s="2478"/>
      <c r="J2" s="1420"/>
    </row>
    <row r="3" spans="2:10" s="317" customFormat="1" ht="12.75" customHeight="1" x14ac:dyDescent="0.2">
      <c r="B3" s="2479" t="s">
        <v>1347</v>
      </c>
      <c r="C3" s="2480"/>
      <c r="D3" s="2480"/>
      <c r="E3" s="2480"/>
      <c r="F3" s="2480"/>
      <c r="G3" s="2480"/>
      <c r="H3" s="2480"/>
      <c r="I3" s="2480"/>
      <c r="J3" s="1421"/>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9" t="s">
        <v>1346</v>
      </c>
      <c r="C7" s="2480"/>
      <c r="D7" s="2480"/>
      <c r="E7" s="2480"/>
      <c r="F7" s="2480"/>
      <c r="G7" s="2480"/>
      <c r="H7" s="2480"/>
      <c r="I7" s="2480"/>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1"/>
      <c r="D11" s="2481"/>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2"/>
      <c r="E29" s="2482"/>
      <c r="F29" s="2482"/>
      <c r="G29" s="2482"/>
      <c r="H29" s="2482"/>
      <c r="I29" s="2482"/>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3" t="s">
        <v>1854</v>
      </c>
      <c r="D37" s="2484"/>
      <c r="E37" s="2484"/>
      <c r="F37" s="2485"/>
      <c r="G37" s="2483" t="s">
        <v>1674</v>
      </c>
      <c r="H37" s="2484"/>
      <c r="I37" s="2485"/>
    </row>
    <row r="38" spans="2:9" ht="16.5" customHeight="1" x14ac:dyDescent="0.2">
      <c r="B38" s="1442"/>
      <c r="C38" s="2471"/>
      <c r="D38" s="2472"/>
      <c r="E38" s="2472"/>
      <c r="F38" s="2473"/>
      <c r="G38" s="2486"/>
      <c r="H38" s="2487"/>
      <c r="I38" s="2488"/>
    </row>
    <row r="39" spans="2:9" ht="16.5" customHeight="1" x14ac:dyDescent="0.2">
      <c r="B39" s="1442"/>
      <c r="C39" s="2471"/>
      <c r="D39" s="2472"/>
      <c r="E39" s="2472"/>
      <c r="F39" s="2473"/>
      <c r="G39" s="2474"/>
      <c r="H39" s="2474"/>
      <c r="I39" s="2474"/>
    </row>
    <row r="40" spans="2:9" ht="16.5" customHeight="1" x14ac:dyDescent="0.2">
      <c r="B40" s="1442"/>
      <c r="C40" s="2471"/>
      <c r="D40" s="2472"/>
      <c r="E40" s="2472"/>
      <c r="F40" s="2473"/>
      <c r="G40" s="2474"/>
      <c r="H40" s="2474"/>
      <c r="I40" s="2474"/>
    </row>
    <row r="41" spans="2:9" ht="16.5" customHeight="1" x14ac:dyDescent="0.2">
      <c r="B41" s="1442"/>
      <c r="C41" s="2471"/>
      <c r="D41" s="2472"/>
      <c r="E41" s="2472"/>
      <c r="F41" s="2473"/>
      <c r="G41" s="2474"/>
      <c r="H41" s="2474"/>
      <c r="I41" s="2474"/>
    </row>
    <row r="42" spans="2:9" ht="16.5" customHeight="1" x14ac:dyDescent="0.2">
      <c r="B42" s="1442"/>
      <c r="C42" s="2471"/>
      <c r="D42" s="2472"/>
      <c r="E42" s="2472"/>
      <c r="F42" s="2473"/>
      <c r="G42" s="2474"/>
      <c r="H42" s="2474"/>
      <c r="I42" s="2474"/>
    </row>
    <row r="43" spans="2:9" ht="16.5" customHeight="1" x14ac:dyDescent="0.2">
      <c r="B43" s="1442"/>
      <c r="C43" s="2464" t="s">
        <v>1675</v>
      </c>
      <c r="D43" s="2465"/>
      <c r="E43" s="2465"/>
      <c r="F43" s="2466"/>
      <c r="G43" s="2467">
        <f>SUM(G38:I42)</f>
        <v>0</v>
      </c>
      <c r="H43" s="2467"/>
      <c r="I43" s="2467"/>
    </row>
    <row r="44" spans="2:9" ht="12.75" customHeight="1" x14ac:dyDescent="0.2"/>
    <row r="45" spans="2:9" ht="12.75" customHeight="1" x14ac:dyDescent="0.2">
      <c r="B45" s="1433" t="s">
        <v>1952</v>
      </c>
      <c r="D45" s="2468">
        <v>0</v>
      </c>
      <c r="E45" s="2469"/>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0"/>
      <c r="F49" s="2470"/>
      <c r="G49" s="2470"/>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Prophetstown-Lyndon-Tampico CUSD 3</v>
      </c>
      <c r="C1" s="2475"/>
      <c r="D1" s="2475"/>
      <c r="E1" s="2475"/>
      <c r="F1" s="2475"/>
      <c r="G1" s="2475"/>
      <c r="H1" s="2475"/>
      <c r="I1" s="2475"/>
      <c r="J1" s="2475"/>
      <c r="K1" s="2475"/>
      <c r="L1" s="1372"/>
      <c r="M1" s="1372"/>
    </row>
    <row r="2" spans="1:13" ht="12" customHeight="1" x14ac:dyDescent="0.2">
      <c r="B2" s="2477">
        <f>'Single Audit Cover'!E7</f>
        <v>47098003026</v>
      </c>
      <c r="C2" s="2477"/>
      <c r="D2" s="2477"/>
      <c r="E2" s="2477"/>
      <c r="F2" s="2477"/>
      <c r="G2" s="2477"/>
      <c r="H2" s="2477"/>
      <c r="I2" s="2477"/>
      <c r="J2" s="2477"/>
      <c r="K2" s="2477"/>
      <c r="L2" s="1373"/>
      <c r="M2" s="1374"/>
    </row>
    <row r="3" spans="1:13" ht="10.35" customHeight="1" x14ac:dyDescent="0.2">
      <c r="B3" s="2491" t="s">
        <v>1347</v>
      </c>
      <c r="C3" s="2491"/>
      <c r="D3" s="2491"/>
      <c r="E3" s="2491"/>
      <c r="F3" s="2491"/>
      <c r="G3" s="2491"/>
      <c r="H3" s="2491"/>
      <c r="I3" s="2491"/>
      <c r="J3" s="2491"/>
      <c r="K3" s="2491"/>
      <c r="L3" s="1375"/>
      <c r="M3" s="1375"/>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2" t="s">
        <v>1363</v>
      </c>
      <c r="C7" s="2492"/>
      <c r="D7" s="2493"/>
      <c r="E7" s="2493"/>
      <c r="F7" s="2493"/>
      <c r="G7" s="2493"/>
      <c r="H7" s="2493"/>
      <c r="I7" s="2493"/>
      <c r="J7" s="2493"/>
      <c r="K7" s="249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2007</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1.75" customHeight="1" x14ac:dyDescent="0.2">
      <c r="B14" s="2490" t="s">
        <v>2100</v>
      </c>
      <c r="C14" s="2490"/>
      <c r="D14" s="2490"/>
      <c r="E14" s="2490"/>
      <c r="F14" s="2490"/>
      <c r="G14" s="2490"/>
      <c r="H14" s="2490"/>
      <c r="I14" s="2490"/>
      <c r="J14" s="2490"/>
      <c r="K14" s="249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0" t="s">
        <v>2101</v>
      </c>
      <c r="C17" s="2490"/>
      <c r="D17" s="2490"/>
      <c r="E17" s="2490"/>
      <c r="F17" s="2490"/>
      <c r="G17" s="2490"/>
      <c r="H17" s="2490"/>
      <c r="I17" s="2490"/>
      <c r="J17" s="2490"/>
      <c r="K17" s="2490"/>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4" t="s">
        <v>2102</v>
      </c>
      <c r="C20" s="2494"/>
      <c r="D20" s="2490"/>
      <c r="E20" s="2490"/>
      <c r="F20" s="2490"/>
      <c r="G20" s="2490"/>
      <c r="H20" s="2490"/>
      <c r="I20" s="2490"/>
      <c r="J20" s="2490"/>
      <c r="K20" s="249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0" t="s">
        <v>2103</v>
      </c>
      <c r="C23" s="2490"/>
      <c r="D23" s="2490"/>
      <c r="E23" s="2490"/>
      <c r="F23" s="2490"/>
      <c r="G23" s="2490"/>
      <c r="H23" s="2490"/>
      <c r="I23" s="2490"/>
      <c r="J23" s="2490"/>
      <c r="K23" s="249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0" t="s">
        <v>2104</v>
      </c>
      <c r="C26" s="2490"/>
      <c r="D26" s="2490"/>
      <c r="E26" s="2490"/>
      <c r="F26" s="2490"/>
      <c r="G26" s="2490"/>
      <c r="H26" s="2490"/>
      <c r="I26" s="2490"/>
      <c r="J26" s="2490"/>
      <c r="K26" s="249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9" t="s">
        <v>2105</v>
      </c>
      <c r="C29" s="2489"/>
      <c r="D29" s="2490"/>
      <c r="E29" s="2490"/>
      <c r="F29" s="2490"/>
      <c r="G29" s="2490"/>
      <c r="H29" s="2490"/>
      <c r="I29" s="2490"/>
      <c r="J29" s="2490"/>
      <c r="K29" s="249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9" t="s">
        <v>2106</v>
      </c>
      <c r="C32" s="2489"/>
      <c r="D32" s="2490"/>
      <c r="E32" s="2490"/>
      <c r="F32" s="2490"/>
      <c r="G32" s="2490"/>
      <c r="H32" s="2490"/>
      <c r="I32" s="2490"/>
      <c r="J32" s="2490"/>
      <c r="K32" s="249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5" t="str">
        <f>'Single Audit Cover'!A7</f>
        <v>Prophetstown-Lyndon-Tampico CUSD 3</v>
      </c>
      <c r="C1" s="2475"/>
      <c r="D1" s="2475"/>
      <c r="E1" s="1489"/>
    </row>
    <row r="2" spans="2:5" s="1280" customFormat="1" ht="12.75" customHeight="1" x14ac:dyDescent="0.2">
      <c r="B2" s="2477">
        <f>'Single Audit Cover'!E7</f>
        <v>47098003026</v>
      </c>
      <c r="C2" s="2477"/>
      <c r="D2" s="2477"/>
      <c r="E2" s="1490"/>
    </row>
    <row r="3" spans="2:5" ht="12.75" customHeight="1" x14ac:dyDescent="0.2">
      <c r="B3" s="2491" t="s">
        <v>1869</v>
      </c>
      <c r="C3" s="2491"/>
      <c r="D3" s="2491"/>
      <c r="E3" s="1272"/>
    </row>
    <row r="4" spans="2:5" s="1280" customFormat="1" ht="12.75" customHeight="1" x14ac:dyDescent="0.2">
      <c r="B4" s="2495" t="str">
        <f>'Single Audit Cover'!A4</f>
        <v>Year Ending June 30, 2018</v>
      </c>
      <c r="C4" s="2495"/>
      <c r="D4" s="2495"/>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952" t="s">
        <v>2098</v>
      </c>
      <c r="C7" s="1951" t="s">
        <v>2099</v>
      </c>
      <c r="D7" s="1951" t="s">
        <v>2107</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Prophetstown-Lyndon-Tampico CUSD 3</v>
      </c>
      <c r="C1" s="2499"/>
      <c r="D1" s="2499"/>
      <c r="E1" s="2499"/>
      <c r="F1" s="2499"/>
      <c r="G1" s="2499"/>
      <c r="H1" s="2499"/>
      <c r="I1" s="2499"/>
      <c r="J1" s="2499"/>
      <c r="K1" s="2499"/>
      <c r="L1" s="1463"/>
    </row>
    <row r="2" spans="1:12" ht="12.75" customHeight="1" x14ac:dyDescent="0.2">
      <c r="B2" s="2500">
        <f>'Single Audit Cover'!E7</f>
        <v>47098003026</v>
      </c>
      <c r="C2" s="2500"/>
      <c r="D2" s="2500"/>
      <c r="E2" s="2500"/>
      <c r="F2" s="2500"/>
      <c r="G2" s="2500"/>
      <c r="H2" s="2500"/>
      <c r="I2" s="2500"/>
      <c r="J2" s="2500"/>
      <c r="K2" s="2500"/>
      <c r="L2" s="1464"/>
    </row>
    <row r="3" spans="1:12" ht="12.75" customHeight="1" x14ac:dyDescent="0.2">
      <c r="B3" s="2491" t="s">
        <v>1347</v>
      </c>
      <c r="C3" s="2491"/>
      <c r="D3" s="2491"/>
      <c r="E3" s="2491"/>
      <c r="F3" s="2491"/>
      <c r="G3" s="2491"/>
      <c r="H3" s="2491"/>
      <c r="I3" s="2491"/>
      <c r="J3" s="2491"/>
      <c r="K3" s="2491"/>
      <c r="L3" s="1375"/>
    </row>
    <row r="4" spans="1:12" ht="12.75" customHeight="1" x14ac:dyDescent="0.2">
      <c r="B4" s="2491" t="str">
        <f>'Single Audit Cover'!A4</f>
        <v>Year Ending June 30, 2018</v>
      </c>
      <c r="C4" s="2491"/>
      <c r="D4" s="2491"/>
      <c r="E4" s="2491"/>
      <c r="F4" s="2491"/>
      <c r="G4" s="2491"/>
      <c r="H4" s="2491"/>
      <c r="I4" s="2491"/>
      <c r="J4" s="2491"/>
      <c r="K4" s="2491"/>
      <c r="L4" s="1375"/>
    </row>
    <row r="5" spans="1:12" ht="5.25" customHeight="1" x14ac:dyDescent="0.2">
      <c r="B5" s="1258" t="s">
        <v>1231</v>
      </c>
      <c r="C5" s="1258"/>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2"/>
      <c r="G12" s="2482"/>
      <c r="H12" s="2482"/>
      <c r="I12" s="2482"/>
      <c r="J12" s="2482"/>
      <c r="K12" s="2482"/>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6"/>
      <c r="E14" s="2496"/>
      <c r="F14" s="2496"/>
      <c r="H14" s="1473" t="s">
        <v>1370</v>
      </c>
      <c r="I14" s="2497"/>
      <c r="J14" s="2497"/>
      <c r="K14" s="249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7"/>
      <c r="E16" s="2497"/>
      <c r="F16" s="2497"/>
      <c r="G16" s="2497"/>
      <c r="H16" s="2497"/>
      <c r="I16" s="2497"/>
      <c r="J16" s="2497"/>
      <c r="K16" s="2497"/>
      <c r="L16" s="322"/>
    </row>
    <row r="17" spans="2:12" ht="13.5" customHeight="1" x14ac:dyDescent="0.2">
      <c r="B17" s="1385" t="s">
        <v>1368</v>
      </c>
      <c r="C17" s="1385"/>
      <c r="D17" s="2498"/>
      <c r="E17" s="2498"/>
      <c r="F17" s="2498"/>
      <c r="G17" s="2498"/>
      <c r="H17" s="2498"/>
      <c r="I17" s="2498"/>
      <c r="J17" s="2498"/>
      <c r="K17" s="249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0"/>
      <c r="C20" s="2490"/>
      <c r="D20" s="2490"/>
      <c r="E20" s="2490"/>
      <c r="F20" s="2490"/>
      <c r="G20" s="2490"/>
      <c r="H20" s="2490"/>
      <c r="I20" s="2490"/>
      <c r="J20" s="2490"/>
      <c r="K20" s="249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purl.org/dc/elements/1.1/"/>
    <ds:schemaRef ds:uri="http://schemas.microsoft.com/office/2006/documentManagement/types"/>
    <ds:schemaRef ds:uri="http://www.w3.org/XML/1998/namespace"/>
    <ds:schemaRef ds:uri="4d435f69-8686-490b-bd6d-b153bf22ab50"/>
    <ds:schemaRef ds:uri="d21dc803-237d-4c68-8692-8d731fd29118"/>
    <ds:schemaRef ds:uri="http://schemas.microsoft.com/office/infopath/2007/PartnerControls"/>
    <ds:schemaRef ds:uri="http://schemas.openxmlformats.org/package/2006/metadata/core-properties"/>
    <ds:schemaRef ds:uri="http://schemas.microsoft.com/office/2006/metadata/properties"/>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SSPAF</vt:lpstr>
      <vt:lpstr>SF&amp;QC Sec-3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2018-10-01T21:09:53Z</cp:lastPrinted>
  <dcterms:created xsi:type="dcterms:W3CDTF">2003-10-29T19:06:34Z</dcterms:created>
  <dcterms:modified xsi:type="dcterms:W3CDTF">2018-10-24T15:45:10Z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