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2018-001" sheetId="184" r:id="rId32"/>
    <sheet name="2018-002" sheetId="185" r:id="rId33"/>
    <sheet name="SF&amp;QC Sec-3" sheetId="176" r:id="rId34"/>
    <sheet name="SSPAF" sheetId="177" r:id="rId35"/>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31">#REF!</definedName>
    <definedName name="SCHADDRS" localSheetId="32">#REF!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31">#REF!</definedName>
    <definedName name="SCHCTY" localSheetId="32">#REF!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31">#REF!</definedName>
    <definedName name="SCHNMBR" localSheetId="32">#REF!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31">#REF!</definedName>
    <definedName name="SCHNME" localSheetId="32">#REF!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31">#REF!</definedName>
    <definedName name="SUPT" localSheetId="32">#REF!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5" l="1"/>
  <c r="B4" i="184"/>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5"/>
  <c r="B2" i="179"/>
  <c r="B2" i="185"/>
  <c r="B2" i="184"/>
  <c r="B2" i="174"/>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K12" i="12"/>
  <c r="K23" i="12"/>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B3530" i="106"/>
  <c r="D3530" i="106" s="1"/>
  <c r="B3531" i="106"/>
  <c r="D3531" i="106" s="1"/>
  <c r="B3532" i="106"/>
  <c r="D3532" i="106" s="1"/>
  <c r="B3533" i="106"/>
  <c r="D3533"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J49" i="8" s="1"/>
  <c r="B4172" i="106" s="1"/>
  <c r="D4172" i="106"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D4812" i="106"/>
  <c r="B4813" i="106"/>
  <c r="D4813"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D4866" i="106"/>
  <c r="D4867" i="106"/>
  <c r="D4869" i="106"/>
  <c r="D4870" i="106"/>
  <c r="D4871" i="106"/>
  <c r="D4872" i="106"/>
  <c r="D4873" i="106"/>
  <c r="B4874" i="106"/>
  <c r="D4874" i="106" s="1"/>
  <c r="B4875" i="106"/>
  <c r="D4875" i="106" s="1"/>
  <c r="B4876" i="106"/>
  <c r="D4876" i="106" s="1"/>
  <c r="B4877" i="106"/>
  <c r="D4877" i="106" s="1"/>
  <c r="B4878" i="106"/>
  <c r="D4878" i="106" s="1"/>
  <c r="D4880" i="106"/>
  <c r="B4882" i="106"/>
  <c r="D4882" i="106" s="1"/>
  <c r="B4883" i="106"/>
  <c r="D4883" i="106" s="1"/>
  <c r="B4884" i="106"/>
  <c r="D4884" i="106" s="1"/>
  <c r="B4885" i="106"/>
  <c r="D4885" i="106" s="1"/>
  <c r="B4886" i="106"/>
  <c r="D4886"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6" i="106"/>
  <c r="D6096" i="106" s="1"/>
  <c r="B6097" i="106"/>
  <c r="D6097" i="106" s="1"/>
  <c r="B6098" i="106"/>
  <c r="D6098" i="106" s="1"/>
  <c r="B6099" i="106"/>
  <c r="D6099" i="106" s="1"/>
  <c r="B6100" i="106"/>
  <c r="D6100" i="106" s="1"/>
  <c r="B6101" i="106"/>
  <c r="D6101" i="106" s="1"/>
  <c r="B6102" i="106"/>
  <c r="D6102" i="106" s="1"/>
  <c r="A6103" i="106"/>
  <c r="B6103" i="106"/>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9" i="106"/>
  <c r="D6119" i="106" s="1"/>
  <c r="B6120" i="106"/>
  <c r="D6120" i="106" s="1"/>
  <c r="B6122" i="106"/>
  <c r="D6122" i="106" s="1"/>
  <c r="B6125" i="106"/>
  <c r="D6125" i="106" s="1"/>
  <c r="B6126" i="106"/>
  <c r="D6126" i="106" s="1"/>
  <c r="B6127" i="106"/>
  <c r="D6127" i="106" s="1"/>
  <c r="B6128" i="106"/>
  <c r="D6128" i="106" s="1"/>
  <c r="B6129" i="106"/>
  <c r="D6129" i="106" s="1"/>
  <c r="B6133" i="106"/>
  <c r="D6133" i="106" s="1"/>
  <c r="B6134" i="106"/>
  <c r="D6134" i="106" s="1"/>
  <c r="B6135" i="106"/>
  <c r="D6135" i="106" s="1"/>
  <c r="B6136" i="106"/>
  <c r="D6136" i="106" s="1"/>
  <c r="B6137" i="106"/>
  <c r="D6137" i="106" s="1"/>
  <c r="B6139" i="106"/>
  <c r="D6139" i="106" s="1"/>
  <c r="B6142" i="106"/>
  <c r="D6142" i="106" s="1"/>
  <c r="B6143" i="106"/>
  <c r="D6143" i="106" s="1"/>
  <c r="B6144" i="106"/>
  <c r="D6144" i="106" s="1"/>
  <c r="B6145" i="106"/>
  <c r="D6145" i="106" s="1"/>
  <c r="B6146" i="106"/>
  <c r="D6146" i="106" s="1"/>
  <c r="B6148" i="106"/>
  <c r="D6148" i="106" s="1"/>
  <c r="B6151" i="106"/>
  <c r="D6151" i="106" s="1"/>
  <c r="B6152" i="106"/>
  <c r="D6152" i="106" s="1"/>
  <c r="B6153" i="106"/>
  <c r="D6153" i="106" s="1"/>
  <c r="B6154" i="106"/>
  <c r="D6154" i="106" s="1"/>
  <c r="B6155" i="106"/>
  <c r="D6155" i="106" s="1"/>
  <c r="B6157" i="106"/>
  <c r="D6157" i="106" s="1"/>
  <c r="B6160" i="106"/>
  <c r="D6160" i="106" s="1"/>
  <c r="B6161" i="106"/>
  <c r="D6161" i="106" s="1"/>
  <c r="B6162" i="106"/>
  <c r="D6162" i="106" s="1"/>
  <c r="B6163" i="106"/>
  <c r="D6163" i="106" s="1"/>
  <c r="B6164" i="106"/>
  <c r="D6164" i="106" s="1"/>
  <c r="B6166" i="106"/>
  <c r="D6166" i="106" s="1"/>
  <c r="B6169" i="106"/>
  <c r="D6169" i="106" s="1"/>
  <c r="B6170" i="106"/>
  <c r="D6170" i="106" s="1"/>
  <c r="B6171" i="106"/>
  <c r="D6171" i="106" s="1"/>
  <c r="B6172" i="106"/>
  <c r="D6172" i="106" s="1"/>
  <c r="B6173" i="106"/>
  <c r="D6173"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7" i="106"/>
  <c r="D6297"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6" i="106"/>
  <c r="D6326" i="106" s="1"/>
  <c r="B6330" i="106"/>
  <c r="D6330" i="106" s="1"/>
  <c r="B6331" i="106"/>
  <c r="D6331" i="106" s="1"/>
  <c r="B6332" i="106"/>
  <c r="D6332" i="106" s="1"/>
  <c r="B6333" i="106"/>
  <c r="D6333" i="106" s="1"/>
  <c r="B6334" i="106"/>
  <c r="D6334" i="106" s="1"/>
  <c r="B6336" i="106"/>
  <c r="D6336" i="106" s="1"/>
  <c r="B6339" i="106"/>
  <c r="D6339" i="106" s="1"/>
  <c r="B6340" i="106"/>
  <c r="D6340" i="106" s="1"/>
  <c r="B6341" i="106"/>
  <c r="D6341" i="106" s="1"/>
  <c r="B6342" i="106"/>
  <c r="D6342" i="106" s="1"/>
  <c r="B6343" i="106"/>
  <c r="D6343" i="106" s="1"/>
  <c r="B6344" i="106"/>
  <c r="D6344"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2" i="106"/>
  <c r="D6372" i="106" s="1"/>
  <c r="B6375" i="106"/>
  <c r="D6375"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2" i="106"/>
  <c r="D6632" i="106" s="1"/>
  <c r="B6633" i="106"/>
  <c r="D6633" i="106" s="1"/>
  <c r="B6634" i="106"/>
  <c r="D6634" i="106" s="1"/>
  <c r="B6635" i="106"/>
  <c r="D6635" i="106" s="1"/>
  <c r="B6636" i="106"/>
  <c r="D6636" i="106" s="1"/>
  <c r="B6637" i="106"/>
  <c r="D6637" i="106" s="1"/>
  <c r="B6638" i="106"/>
  <c r="D6638" i="106" s="1"/>
  <c r="B6640" i="106"/>
  <c r="D6640" i="106" s="1"/>
  <c r="B6641" i="106"/>
  <c r="D6641" i="106" s="1"/>
  <c r="B6642" i="106"/>
  <c r="D6642" i="106" s="1"/>
  <c r="B6643" i="106"/>
  <c r="D6643" i="106" s="1"/>
  <c r="B6644" i="106"/>
  <c r="D6644" i="106" s="1"/>
  <c r="B6645" i="106"/>
  <c r="D6645" i="106" s="1"/>
  <c r="B6646" i="106"/>
  <c r="D6646" i="106" s="1"/>
  <c r="B6648" i="106"/>
  <c r="D6648" i="106" s="1"/>
  <c r="B6649" i="106"/>
  <c r="D6649" i="106" s="1"/>
  <c r="B6650" i="106"/>
  <c r="D6650" i="106" s="1"/>
  <c r="B6651" i="106"/>
  <c r="D6651" i="106" s="1"/>
  <c r="B6652" i="106"/>
  <c r="D6652" i="106" s="1"/>
  <c r="B6653" i="106"/>
  <c r="D6653" i="106" s="1"/>
  <c r="B6654" i="106"/>
  <c r="D6654" i="106" s="1"/>
  <c r="B6656" i="106"/>
  <c r="D6656" i="106" s="1"/>
  <c r="B6657" i="106"/>
  <c r="D6657" i="106" s="1"/>
  <c r="B6658" i="106"/>
  <c r="D6658" i="106" s="1"/>
  <c r="B6659" i="106"/>
  <c r="D6659" i="106" s="1"/>
  <c r="B6660" i="106"/>
  <c r="D6660" i="106" s="1"/>
  <c r="B6661" i="106"/>
  <c r="D6661" i="106" s="1"/>
  <c r="B6662" i="106"/>
  <c r="D6662" i="106" s="1"/>
  <c r="B6664" i="106"/>
  <c r="D6664" i="106" s="1"/>
  <c r="B6665" i="106"/>
  <c r="D6665" i="106" s="1"/>
  <c r="B6666" i="106"/>
  <c r="D6666" i="106" s="1"/>
  <c r="B6667" i="106"/>
  <c r="D6667" i="106" s="1"/>
  <c r="B6668" i="106"/>
  <c r="D6668" i="106" s="1"/>
  <c r="B6669" i="106"/>
  <c r="D6669" i="106" s="1"/>
  <c r="B6670" i="106"/>
  <c r="D6670" i="106" s="1"/>
  <c r="B6672" i="106"/>
  <c r="D6672" i="106" s="1"/>
  <c r="B6673" i="106"/>
  <c r="D6673" i="106" s="1"/>
  <c r="B6674" i="106"/>
  <c r="D6674" i="106" s="1"/>
  <c r="B6675" i="106"/>
  <c r="D6675" i="106" s="1"/>
  <c r="B6676" i="106"/>
  <c r="D6676" i="106" s="1"/>
  <c r="B6677" i="106"/>
  <c r="D6677" i="106" s="1"/>
  <c r="B6678" i="106"/>
  <c r="D6678" i="106" s="1"/>
  <c r="B6680" i="106"/>
  <c r="D6680" i="106" s="1"/>
  <c r="B6681" i="106"/>
  <c r="D6681" i="106" s="1"/>
  <c r="B6682" i="106"/>
  <c r="D6682" i="106" s="1"/>
  <c r="B6683" i="106"/>
  <c r="D6683" i="106" s="1"/>
  <c r="B6684" i="106"/>
  <c r="D6684" i="106" s="1"/>
  <c r="B6685" i="106"/>
  <c r="D6685" i="106" s="1"/>
  <c r="B6686" i="106"/>
  <c r="D6686" i="106" s="1"/>
  <c r="B6688" i="106"/>
  <c r="D6688" i="106" s="1"/>
  <c r="B6689" i="106"/>
  <c r="D6689" i="106"/>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2" i="106"/>
  <c r="D6702" i="106" s="1"/>
  <c r="B6703" i="106"/>
  <c r="D6703" i="106" s="1"/>
  <c r="B6704" i="106"/>
  <c r="D6704" i="106" s="1"/>
  <c r="B6705" i="106"/>
  <c r="D6705" i="106" s="1"/>
  <c r="B6706" i="106"/>
  <c r="D6706" i="106" s="1"/>
  <c r="B6707" i="106"/>
  <c r="D6707" i="106" s="1"/>
  <c r="B6708" i="106"/>
  <c r="D6708" i="106" s="1"/>
  <c r="B6710" i="106"/>
  <c r="D6710" i="106" s="1"/>
  <c r="B6711" i="106"/>
  <c r="D6711" i="106" s="1"/>
  <c r="B6712" i="106"/>
  <c r="D6712" i="106" s="1"/>
  <c r="B6713" i="106"/>
  <c r="D6713" i="106" s="1"/>
  <c r="B6714" i="106"/>
  <c r="D6714" i="106" s="1"/>
  <c r="B6715" i="106"/>
  <c r="D6715" i="106" s="1"/>
  <c r="B6716" i="106"/>
  <c r="D6716" i="106" s="1"/>
  <c r="B6718" i="106"/>
  <c r="D6718" i="106" s="1"/>
  <c r="B6719" i="106"/>
  <c r="D6719" i="106" s="1"/>
  <c r="B6720" i="106"/>
  <c r="D6720" i="106" s="1"/>
  <c r="B6721" i="106"/>
  <c r="D6721" i="106" s="1"/>
  <c r="B6722" i="106"/>
  <c r="D6722" i="106" s="1"/>
  <c r="B6723" i="106"/>
  <c r="D6723" i="106" s="1"/>
  <c r="B6724" i="106"/>
  <c r="D6724" i="106" s="1"/>
  <c r="B6726" i="106"/>
  <c r="D6726" i="106" s="1"/>
  <c r="B6727" i="106"/>
  <c r="D6727" i="106" s="1"/>
  <c r="B6728" i="106"/>
  <c r="D6728" i="106" s="1"/>
  <c r="B6729" i="106"/>
  <c r="D6729" i="106" s="1"/>
  <c r="B6730" i="106"/>
  <c r="D6730" i="106" s="1"/>
  <c r="B6731" i="106"/>
  <c r="D6731" i="106" s="1"/>
  <c r="B6732" i="106"/>
  <c r="D6732" i="106" s="1"/>
  <c r="B6733" i="106"/>
  <c r="D6733" i="106" s="1"/>
  <c r="B6735" i="106"/>
  <c r="D6735" i="106" s="1"/>
  <c r="B6736" i="106"/>
  <c r="D6736" i="106" s="1"/>
  <c r="B6737" i="106"/>
  <c r="D6737" i="106" s="1"/>
  <c r="B6738" i="106"/>
  <c r="D6738" i="106" s="1"/>
  <c r="B6739" i="106"/>
  <c r="D6739" i="106" s="1"/>
  <c r="B6740" i="106"/>
  <c r="D6740" i="106" s="1"/>
  <c r="B6741" i="106"/>
  <c r="D6741" i="106" s="1"/>
  <c r="B6743" i="106"/>
  <c r="D6743" i="106" s="1"/>
  <c r="B6744" i="106"/>
  <c r="D6744" i="106" s="1"/>
  <c r="B6745" i="106"/>
  <c r="D6745" i="106" s="1"/>
  <c r="B6746" i="106"/>
  <c r="D6746" i="106" s="1"/>
  <c r="B6747" i="106"/>
  <c r="D6747" i="106" s="1"/>
  <c r="B6748" i="106"/>
  <c r="D6748" i="106" s="1"/>
  <c r="B6749" i="106"/>
  <c r="D6749" i="106" s="1"/>
  <c r="B6751" i="106"/>
  <c r="D6751" i="106" s="1"/>
  <c r="B6752" i="106"/>
  <c r="D6752" i="106" s="1"/>
  <c r="B6753" i="106"/>
  <c r="D6753" i="106" s="1"/>
  <c r="B6754" i="106"/>
  <c r="D6754" i="106" s="1"/>
  <c r="B6755" i="106"/>
  <c r="D6755" i="106" s="1"/>
  <c r="B6756" i="106"/>
  <c r="D6756" i="106" s="1"/>
  <c r="B6757" i="106"/>
  <c r="D6757" i="106" s="1"/>
  <c r="B6759" i="106"/>
  <c r="D6759" i="106" s="1"/>
  <c r="B6760" i="106"/>
  <c r="D6760" i="106" s="1"/>
  <c r="B6761" i="106"/>
  <c r="D6761" i="106" s="1"/>
  <c r="B6762" i="106"/>
  <c r="D6762" i="106" s="1"/>
  <c r="B6763" i="106"/>
  <c r="D6763" i="106" s="1"/>
  <c r="B6764" i="106"/>
  <c r="D6764" i="106" s="1"/>
  <c r="B6765" i="106"/>
  <c r="D6765" i="106" s="1"/>
  <c r="B6767" i="106"/>
  <c r="D6767" i="106" s="1"/>
  <c r="B6768" i="106"/>
  <c r="D6768" i="106" s="1"/>
  <c r="B6769" i="106"/>
  <c r="D6769" i="106" s="1"/>
  <c r="B6770" i="106"/>
  <c r="D6770" i="106" s="1"/>
  <c r="B6771" i="106"/>
  <c r="D6771" i="106" s="1"/>
  <c r="B6772" i="106"/>
  <c r="D6772" i="106" s="1"/>
  <c r="B6773" i="106"/>
  <c r="D6773" i="106" s="1"/>
  <c r="B6775" i="106"/>
  <c r="D6775" i="106" s="1"/>
  <c r="B6776" i="106"/>
  <c r="D6776" i="106" s="1"/>
  <c r="B6777" i="106"/>
  <c r="D6777" i="106" s="1"/>
  <c r="B6778" i="106"/>
  <c r="D6778" i="106" s="1"/>
  <c r="B6779" i="106"/>
  <c r="D6779" i="106" s="1"/>
  <c r="B6780" i="106"/>
  <c r="D6780" i="106" s="1"/>
  <c r="B6781" i="106"/>
  <c r="D6781" i="106" s="1"/>
  <c r="B6783" i="106"/>
  <c r="D6783" i="106" s="1"/>
  <c r="B6784" i="106"/>
  <c r="D6784" i="106" s="1"/>
  <c r="B6785" i="106"/>
  <c r="D6785" i="106" s="1"/>
  <c r="B6786" i="106"/>
  <c r="D6786" i="106" s="1"/>
  <c r="B6787" i="106"/>
  <c r="D6787" i="106" s="1"/>
  <c r="B6788" i="106"/>
  <c r="D6788" i="106" s="1"/>
  <c r="B6789" i="106"/>
  <c r="D6789" i="106" s="1"/>
  <c r="B6791" i="106"/>
  <c r="D6791" i="106" s="1"/>
  <c r="B6792" i="106"/>
  <c r="D6792" i="106" s="1"/>
  <c r="B6793" i="106"/>
  <c r="D6793" i="106" s="1"/>
  <c r="B6794" i="106"/>
  <c r="D6794" i="106" s="1"/>
  <c r="B6795" i="106"/>
  <c r="D6795" i="106" s="1"/>
  <c r="B6796" i="106"/>
  <c r="D6796" i="106" s="1"/>
  <c r="B6797" i="106"/>
  <c r="D6797" i="106" s="1"/>
  <c r="B6799" i="106"/>
  <c r="D6799" i="106" s="1"/>
  <c r="B6800" i="106"/>
  <c r="D6800" i="106" s="1"/>
  <c r="B6801" i="106"/>
  <c r="D6801" i="106" s="1"/>
  <c r="B6802" i="106"/>
  <c r="D6802" i="106" s="1"/>
  <c r="B6803" i="106"/>
  <c r="D6803" i="106" s="1"/>
  <c r="B6804" i="106"/>
  <c r="D6804" i="106" s="1"/>
  <c r="B6805" i="106"/>
  <c r="D6805" i="106" s="1"/>
  <c r="B6807" i="106"/>
  <c r="D6807" i="106" s="1"/>
  <c r="B6808" i="106"/>
  <c r="D6808" i="106" s="1"/>
  <c r="B6809" i="106"/>
  <c r="D6809" i="106" s="1"/>
  <c r="B6810" i="106"/>
  <c r="D6810" i="106" s="1"/>
  <c r="B6811" i="106"/>
  <c r="D6811" i="106" s="1"/>
  <c r="B6812" i="106"/>
  <c r="D6812" i="106" s="1"/>
  <c r="B6813" i="106"/>
  <c r="D6813" i="106" s="1"/>
  <c r="B6815" i="106"/>
  <c r="D6815" i="106" s="1"/>
  <c r="B6816" i="106"/>
  <c r="D6816" i="106" s="1"/>
  <c r="B6817" i="106"/>
  <c r="D6817" i="106" s="1"/>
  <c r="B6818" i="106"/>
  <c r="D6818" i="106" s="1"/>
  <c r="B6819" i="106"/>
  <c r="D6819" i="106" s="1"/>
  <c r="B6820" i="106"/>
  <c r="D6820" i="106" s="1"/>
  <c r="B6821" i="106"/>
  <c r="D6821" i="106" s="1"/>
  <c r="B6823" i="106"/>
  <c r="D6823" i="106" s="1"/>
  <c r="B6824" i="106"/>
  <c r="D6824" i="106" s="1"/>
  <c r="B6825" i="106"/>
  <c r="D6825" i="106" s="1"/>
  <c r="B6826" i="106"/>
  <c r="D6826" i="106" s="1"/>
  <c r="B6827" i="106"/>
  <c r="D6827" i="106" s="1"/>
  <c r="B6828" i="106"/>
  <c r="D6828" i="106" s="1"/>
  <c r="B6829" i="106"/>
  <c r="D6829"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4" i="106"/>
  <c r="D7094" i="106" s="1"/>
  <c r="B7095" i="106"/>
  <c r="D7095" i="106" s="1"/>
  <c r="B7097" i="106"/>
  <c r="D7097"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41" i="106"/>
  <c r="B7642" i="106"/>
  <c r="B7643" i="106"/>
  <c r="B7644" i="106"/>
  <c r="B7645" i="106"/>
  <c r="B7646" i="106"/>
  <c r="B7647" i="106"/>
  <c r="B7649" i="106"/>
  <c r="B7650"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4" i="106"/>
  <c r="D7754" i="106" s="1"/>
  <c r="B7756" i="106"/>
  <c r="D7756" i="106" s="1"/>
  <c r="B7757" i="106"/>
  <c r="D7757" i="106" s="1"/>
  <c r="D7762" i="106"/>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40" i="36"/>
  <c r="D71"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10" i="7"/>
  <c r="B1749" i="106" s="1"/>
  <c r="D1749" i="106" s="1"/>
  <c r="B13" i="7"/>
  <c r="B3725" i="106" s="1"/>
  <c r="D3725"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40" i="29"/>
  <c r="C12" i="5"/>
  <c r="D12" i="5"/>
  <c r="B5334" i="106" s="1"/>
  <c r="D5334" i="106" s="1"/>
  <c r="E12" i="5"/>
  <c r="B5513" i="106" s="1"/>
  <c r="D5513" i="106" s="1"/>
  <c r="F12" i="5"/>
  <c r="B5557" i="106" s="1"/>
  <c r="D5557" i="106" s="1"/>
  <c r="G12" i="5"/>
  <c r="B5725" i="106" s="1"/>
  <c r="D5725" i="106" s="1"/>
  <c r="I12" i="5"/>
  <c r="B5918" i="106" s="1"/>
  <c r="D5918" i="106" s="1"/>
  <c r="C18" i="5"/>
  <c r="B5071" i="106" s="1"/>
  <c r="D5071" i="106" s="1"/>
  <c r="D18" i="5"/>
  <c r="B5339" i="106" s="1"/>
  <c r="D5339" i="106" s="1"/>
  <c r="E18" i="5"/>
  <c r="B5518" i="106" s="1"/>
  <c r="D5518" i="106" s="1"/>
  <c r="F18" i="5"/>
  <c r="B5562" i="106" s="1"/>
  <c r="D5562" i="106" s="1"/>
  <c r="G18" i="5"/>
  <c r="B5730" i="106" s="1"/>
  <c r="D5730"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I172" i="5"/>
  <c r="B4363" i="106" s="1"/>
  <c r="D4363" i="106" s="1"/>
  <c r="C178" i="5"/>
  <c r="B5225" i="106" s="1"/>
  <c r="D5225" i="106" s="1"/>
  <c r="D178" i="5"/>
  <c r="B5423" i="106" s="1"/>
  <c r="D5423" i="106" s="1"/>
  <c r="E178" i="5"/>
  <c r="B4372" i="106" s="1"/>
  <c r="D4372" i="106" s="1"/>
  <c r="F178" i="5"/>
  <c r="B5655" i="106" s="1"/>
  <c r="D5655" i="106" s="1"/>
  <c r="G178" i="5"/>
  <c r="B5780" i="106" s="1"/>
  <c r="D5780" i="106" s="1"/>
  <c r="I178" i="5"/>
  <c r="B4373" i="106" s="1"/>
  <c r="D4373" i="106" s="1"/>
  <c r="C184" i="5"/>
  <c r="B5232" i="106" s="1"/>
  <c r="D5232" i="106" s="1"/>
  <c r="D184" i="5"/>
  <c r="B5425" i="106" s="1"/>
  <c r="D5425" i="106" s="1"/>
  <c r="F184" i="5"/>
  <c r="B5658" i="106" s="1"/>
  <c r="D5658" i="106" s="1"/>
  <c r="G184" i="5"/>
  <c r="B5784" i="106" s="1"/>
  <c r="D5784"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J259" i="5"/>
  <c r="J273" i="5" s="1"/>
  <c r="B7041" i="106" s="1"/>
  <c r="D7041" i="106" s="1"/>
  <c r="K259" i="5"/>
  <c r="B2633" i="106"/>
  <c r="D2633" i="106" s="1"/>
  <c r="D7" i="118"/>
  <c r="D8" i="118"/>
  <c r="D9" i="118"/>
  <c r="H14" i="118"/>
  <c r="H19" i="118"/>
  <c r="H24" i="118"/>
  <c r="D31" i="36" l="1"/>
  <c r="J22" i="37"/>
  <c r="D11" i="37"/>
  <c r="H29" i="118"/>
  <c r="F72" i="34"/>
  <c r="B1126" i="106"/>
  <c r="D1126" i="106" s="1"/>
  <c r="F27" i="108"/>
  <c r="B1746" i="106"/>
  <c r="D1746" i="106" s="1"/>
  <c r="F35" i="34"/>
  <c r="K24" i="12"/>
  <c r="N22" i="3"/>
  <c r="B283" i="106" s="1"/>
  <c r="D283" i="106" s="1"/>
  <c r="B7047" i="106"/>
  <c r="D7047" i="106" s="1"/>
  <c r="F50" i="34"/>
  <c r="F46" i="34"/>
  <c r="F42" i="34"/>
  <c r="F45" i="34"/>
  <c r="F41" i="34"/>
  <c r="D13" i="7"/>
  <c r="B3726" i="106" s="1"/>
  <c r="D3726" i="106" s="1"/>
  <c r="I210" i="29"/>
  <c r="B7071" i="106" s="1"/>
  <c r="D7071" i="106" s="1"/>
  <c r="F49" i="34"/>
  <c r="D26" i="108"/>
  <c r="D22" i="37"/>
  <c r="D36" i="108"/>
  <c r="B4211" i="106"/>
  <c r="D4211" i="106" s="1"/>
  <c r="F36" i="108"/>
  <c r="F26" i="108"/>
  <c r="F69" i="34"/>
  <c r="D5" i="4"/>
  <c r="B3406" i="106" s="1"/>
  <c r="D3406" i="106" s="1"/>
  <c r="G172" i="5"/>
  <c r="G173" i="5" s="1"/>
  <c r="B5778" i="106" s="1"/>
  <c r="D5778" i="106" s="1"/>
  <c r="F38" i="34"/>
  <c r="G33" i="108"/>
  <c r="I24" i="12"/>
  <c r="I26" i="12" s="1"/>
  <c r="B7741" i="106" s="1"/>
  <c r="D7741" i="106" s="1"/>
  <c r="H28" i="118"/>
  <c r="F70" i="34"/>
  <c r="F21" i="8"/>
  <c r="B1879" i="106" s="1"/>
  <c r="D1879" i="106" s="1"/>
  <c r="L5" i="11"/>
  <c r="B2056" i="106" s="1"/>
  <c r="D2056" i="106" s="1"/>
  <c r="D24" i="37"/>
  <c r="B4270" i="106" s="1"/>
  <c r="D4270" i="106" s="1"/>
  <c r="D6103" i="106"/>
  <c r="L15" i="11"/>
  <c r="B3459" i="106" s="1"/>
  <c r="D3459" i="106" s="1"/>
  <c r="H33" i="118"/>
  <c r="F68" i="34"/>
  <c r="D31" i="108"/>
  <c r="J210" i="29"/>
  <c r="B7072" i="106" s="1"/>
  <c r="D7072" i="106" s="1"/>
  <c r="G35" i="108"/>
  <c r="E35" i="108"/>
  <c r="C129" i="29"/>
  <c r="C151" i="29" s="1"/>
  <c r="B1226" i="106" s="1"/>
  <c r="D1226" i="106" s="1"/>
  <c r="F131"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D69" i="36"/>
  <c r="D15" i="7"/>
  <c r="B1772" i="106" s="1"/>
  <c r="D1772" i="106" s="1"/>
  <c r="F130" i="34"/>
  <c r="K28" i="118"/>
  <c r="O27" i="118" s="1"/>
  <c r="O29" i="118" s="1"/>
  <c r="G14" i="4"/>
  <c r="B2609" i="106" s="1"/>
  <c r="D2609" i="106" s="1"/>
  <c r="E38" i="108"/>
  <c r="G30" i="108"/>
  <c r="F28" i="108"/>
  <c r="G210" i="29"/>
  <c r="B1124" i="106"/>
  <c r="D1124" i="106" s="1"/>
  <c r="G38" i="108"/>
  <c r="E30" i="108"/>
  <c r="E28" i="108"/>
  <c r="E109" i="5"/>
  <c r="E4" i="4" s="1"/>
  <c r="B2630" i="106" s="1"/>
  <c r="D2630" i="106" s="1"/>
  <c r="F19" i="7"/>
  <c r="B1807" i="106" s="1"/>
  <c r="D1807" i="106" s="1"/>
  <c r="D7" i="7"/>
  <c r="B1763" i="106" s="1"/>
  <c r="D1763" i="106" s="1"/>
  <c r="F136" i="34"/>
  <c r="F172" i="5"/>
  <c r="B5644" i="106" s="1"/>
  <c r="D5644" i="106" s="1"/>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F5" i="4"/>
  <c r="B3408" i="106" s="1"/>
  <c r="D3408" i="106" s="1"/>
  <c r="C5" i="4"/>
  <c r="B3405" i="106" s="1"/>
  <c r="D3405" i="106" s="1"/>
  <c r="B6840" i="106"/>
  <c r="D6840" i="106" s="1"/>
  <c r="B6839" i="106"/>
  <c r="D6839"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B6916" i="106"/>
  <c r="D6916" i="106" s="1"/>
  <c r="I74" i="29"/>
  <c r="I49" i="8"/>
  <c r="B3235" i="106"/>
  <c r="D3235" i="106" s="1"/>
  <c r="D77" i="4"/>
  <c r="B3238" i="106" s="1"/>
  <c r="D3238" i="106" s="1"/>
  <c r="B3229" i="106"/>
  <c r="D3229" i="106" s="1"/>
  <c r="C77" i="4"/>
  <c r="B3232" i="106" s="1"/>
  <c r="D3232" i="106" s="1"/>
  <c r="B1977" i="106"/>
  <c r="D1977" i="106" s="1"/>
  <c r="H24" i="12"/>
  <c r="B1867" i="106"/>
  <c r="D1867" i="106" s="1"/>
  <c r="F15" i="8"/>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188" i="106"/>
  <c r="D188" i="106" s="1"/>
  <c r="B139" i="106"/>
  <c r="D139" i="106" s="1"/>
  <c r="J19" i="145"/>
  <c r="D82" i="36" s="1"/>
  <c r="L151" i="29"/>
  <c r="C273" i="5"/>
  <c r="B7270" i="106"/>
  <c r="B1225" i="106" l="1"/>
  <c r="D1225" i="106" s="1"/>
  <c r="J24" i="12"/>
  <c r="I6" i="4"/>
  <c r="B5011" i="106" s="1"/>
  <c r="D5011" i="106" s="1"/>
  <c r="B5770" i="106"/>
  <c r="D5770" i="106" s="1"/>
  <c r="B7733" i="106"/>
  <c r="D7733" i="106" s="1"/>
  <c r="K26" i="12"/>
  <c r="B7743" i="106" s="1"/>
  <c r="D7743" i="106" s="1"/>
  <c r="D7250" i="106"/>
  <c r="D41" i="108"/>
  <c r="E43" i="108" s="1"/>
  <c r="D7256" i="106"/>
  <c r="D7251" i="106"/>
  <c r="D7253" i="106"/>
  <c r="B1996" i="106"/>
  <c r="D1996" i="106" s="1"/>
  <c r="I7" i="4"/>
  <c r="B4444" i="106" s="1"/>
  <c r="D4444" i="106" s="1"/>
  <c r="H22" i="37"/>
  <c r="L16" i="11"/>
  <c r="B2061" i="106" s="1"/>
  <c r="D2061" i="106" s="1"/>
  <c r="J151" i="29"/>
  <c r="B7052" i="106" s="1"/>
  <c r="D7052"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H151" i="29"/>
  <c r="B1273" i="106" s="1"/>
  <c r="D1273" i="106" s="1"/>
  <c r="B5527" i="106"/>
  <c r="D5527" i="106" s="1"/>
  <c r="F274" i="5"/>
  <c r="F7" i="4" s="1"/>
  <c r="B2594" i="106" s="1"/>
  <c r="D2594" i="106" s="1"/>
  <c r="B6024" i="106"/>
  <c r="D6024" i="106" s="1"/>
  <c r="G4" i="4"/>
  <c r="B2603" i="106" s="1"/>
  <c r="D2603" i="106" s="1"/>
  <c r="F173" i="5"/>
  <c r="D7254" i="106"/>
  <c r="J16" i="4"/>
  <c r="B6226" i="106" s="1"/>
  <c r="D6226" i="106" s="1"/>
  <c r="D7255" i="106"/>
  <c r="B7215" i="106"/>
  <c r="D7215" i="106" s="1"/>
  <c r="B3724" i="106"/>
  <c r="D3724" i="106" s="1"/>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B1875" i="106"/>
  <c r="D1875" i="106" s="1"/>
  <c r="F22" i="37"/>
  <c r="F24" i="37" s="1"/>
  <c r="B1983" i="106"/>
  <c r="D1983" i="106" s="1"/>
  <c r="H26" i="12"/>
  <c r="B7740" i="106" s="1"/>
  <c r="D7740"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F275" i="5"/>
  <c r="B5720" i="106" s="1"/>
  <c r="D5720"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F8" i="4"/>
  <c r="K152" i="29"/>
  <c r="B1289" i="106" s="1"/>
  <c r="D1289" i="106" s="1"/>
  <c r="F9" i="34"/>
  <c r="F8" i="34"/>
  <c r="B1388" i="106"/>
  <c r="D1388" i="106" s="1"/>
  <c r="K211" i="29"/>
  <c r="B1389" i="106" s="1"/>
  <c r="D1389" i="106" s="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A7262" i="106"/>
  <c r="D7261" i="106"/>
  <c r="H16" i="37"/>
  <c r="G78" i="4"/>
  <c r="B2613" i="106"/>
  <c r="D2613" i="106" s="1"/>
  <c r="B2562" i="106"/>
  <c r="D2562" i="106" s="1"/>
  <c r="C78" i="4"/>
  <c r="B10" i="146"/>
  <c r="F9" i="146"/>
  <c r="F10" i="146" s="1"/>
  <c r="B2636" i="106"/>
  <c r="D2636" i="106" s="1"/>
  <c r="B3233" i="106" l="1"/>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J350" i="29"/>
  <c r="B7227" i="106"/>
  <c r="D7227" i="106" s="1"/>
  <c r="B4868" i="106"/>
  <c r="D4868" i="106" s="1"/>
  <c r="K273" i="5"/>
  <c r="B4442" i="106" s="1"/>
  <c r="D4442" i="106" s="1"/>
  <c r="B5993" i="106"/>
  <c r="D5993" i="106" s="1"/>
  <c r="B3578" i="106"/>
  <c r="D3578" i="106" s="1"/>
  <c r="I350" i="29"/>
  <c r="B7226" i="106"/>
  <c r="D7226" i="106" s="1"/>
  <c r="K184" i="5"/>
  <c r="B6016" i="106" s="1"/>
  <c r="D6016" i="106" s="1"/>
  <c r="B4816" i="106"/>
  <c r="D4816" i="106" s="1"/>
  <c r="B6374" i="106"/>
  <c r="D6374" i="106" s="1"/>
  <c r="K172" i="5"/>
  <c r="B5000" i="106" s="1"/>
  <c r="D5000" i="106" s="1"/>
  <c r="B3577" i="106"/>
  <c r="D3577" i="106" s="1"/>
  <c r="B3652" i="106"/>
  <c r="D3652" i="106" s="1"/>
  <c r="H350" i="29"/>
  <c r="L362" i="29"/>
  <c r="L365" i="29" s="1"/>
  <c r="K44" i="4"/>
  <c r="B7755" i="106"/>
  <c r="D7755" i="106" s="1"/>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951" i="106"/>
  <c r="D4951" i="106" s="1"/>
  <c r="K274" i="5"/>
  <c r="L350" i="29"/>
  <c r="L352" i="29" s="1"/>
  <c r="L367" i="29" s="1"/>
  <c r="B3619" i="106"/>
  <c r="D3619" i="106" s="1"/>
  <c r="C352" i="29"/>
  <c r="G352" i="29"/>
  <c r="B3647" i="106"/>
  <c r="D3647" i="106" s="1"/>
  <c r="B3668" i="106"/>
  <c r="D3668" i="106" s="1"/>
  <c r="K350" i="29"/>
  <c r="K12" i="5"/>
  <c r="B12" i="7"/>
  <c r="B5985" i="106"/>
  <c r="D5985" i="106" s="1"/>
  <c r="B3626" i="106"/>
  <c r="D3626" i="106" s="1"/>
  <c r="D352" i="29"/>
  <c r="K34" i="3"/>
  <c r="B3565" i="106" s="1"/>
  <c r="D3565" i="106" s="1"/>
  <c r="B1645" i="106"/>
  <c r="D1645" i="106" s="1"/>
  <c r="B3589" i="106"/>
  <c r="D3589" i="106" s="1"/>
  <c r="B6264" i="106"/>
  <c r="D6264" i="106" s="1"/>
  <c r="B3321" i="106"/>
  <c r="D3321" i="106" s="1"/>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D12" i="7"/>
  <c r="B5994" i="106"/>
  <c r="D5994" i="106" s="1"/>
  <c r="K67" i="5"/>
  <c r="B5995" i="106" s="1"/>
  <c r="D5995" i="106" s="1"/>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K13" i="4"/>
  <c r="K367" i="29"/>
  <c r="B3678" i="106" s="1"/>
  <c r="D3678" i="106" s="1"/>
  <c r="B3672" i="106"/>
  <c r="D3672" i="106" s="1"/>
  <c r="B7244" i="106"/>
  <c r="D7244" i="106" s="1"/>
  <c r="B3718" i="106"/>
  <c r="D3718" i="106" s="1"/>
  <c r="K16" i="4"/>
  <c r="B3574" i="106" s="1"/>
  <c r="D3574" i="106" s="1"/>
  <c r="B7243" i="106"/>
  <c r="D7243" i="106" s="1"/>
  <c r="K109" i="5"/>
  <c r="F179" i="34" l="1"/>
  <c r="F79" i="34"/>
  <c r="J275" i="5"/>
  <c r="J4" i="4"/>
  <c r="B6352" i="106"/>
  <c r="D6352" i="106" s="1"/>
  <c r="J19" i="4"/>
  <c r="B6229" i="106" s="1"/>
  <c r="D6229" i="106" s="1"/>
  <c r="B6227" i="106"/>
  <c r="D6227" i="106" s="1"/>
  <c r="K4" i="4"/>
  <c r="B6028" i="106"/>
  <c r="D6028" i="106" s="1"/>
  <c r="K275" i="5"/>
  <c r="B3572" i="106"/>
  <c r="D3572" i="106" s="1"/>
  <c r="K17" i="4"/>
  <c r="B6215" i="106"/>
  <c r="D6215" i="106" s="1"/>
  <c r="J41" i="3"/>
  <c r="B140" i="106"/>
  <c r="D140" i="106" s="1"/>
  <c r="E41" i="3"/>
  <c r="B2912" i="106"/>
  <c r="D2912" i="106" s="1"/>
  <c r="I41" i="3"/>
  <c r="B6220" i="106" l="1"/>
  <c r="D6220" i="106" s="1"/>
  <c r="J8" i="4"/>
  <c r="K343" i="29"/>
  <c r="B7225" i="106" s="1"/>
  <c r="D7225" i="106" s="1"/>
  <c r="B7055" i="106"/>
  <c r="D7055" i="106" s="1"/>
  <c r="G41" i="3"/>
  <c r="D61" i="36"/>
  <c r="B189" i="106"/>
  <c r="D189" i="106" s="1"/>
  <c r="K19" i="4"/>
  <c r="B4144" i="106" s="1"/>
  <c r="D4144" i="106" s="1"/>
  <c r="B3575" i="106"/>
  <c r="D3575" i="106" s="1"/>
  <c r="B6023" i="106"/>
  <c r="D6023" i="106" s="1"/>
  <c r="K368" i="29"/>
  <c r="B3681" i="106" s="1"/>
  <c r="D3681" i="106" s="1"/>
  <c r="B3569" i="106"/>
  <c r="D3569" i="106" s="1"/>
  <c r="K8" i="4"/>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B3567" i="106"/>
  <c r="D3567" i="106" s="1"/>
  <c r="K41" i="3"/>
  <c r="B6230" i="106" l="1"/>
  <c r="D6230" i="106" s="1"/>
  <c r="J78" i="4"/>
  <c r="B284" i="106"/>
  <c r="D284" i="106" s="1"/>
  <c r="D55" i="36"/>
  <c r="B124" i="106"/>
  <c r="D124" i="106" s="1"/>
  <c r="D45" i="36"/>
  <c r="B3576" i="106"/>
  <c r="D3576" i="106" s="1"/>
  <c r="K78" i="4"/>
  <c r="B3568" i="106"/>
  <c r="D3568" i="106" s="1"/>
  <c r="D52" i="36"/>
  <c r="B6263" i="106" l="1"/>
  <c r="D6263" i="106" s="1"/>
  <c r="J81" i="4"/>
  <c r="B3588" i="106"/>
  <c r="D3588" i="106" s="1"/>
  <c r="K81" i="4"/>
  <c r="B6266" i="106" l="1"/>
  <c r="D6266" i="106" s="1"/>
  <c r="J82" i="4"/>
  <c r="D64" i="36"/>
  <c r="K82" i="4"/>
  <c r="B3591" i="106"/>
  <c r="D3591" i="106" s="1"/>
  <c r="D65" i="36"/>
  <c r="J20" i="118" l="1"/>
  <c r="B6274" i="106"/>
  <c r="D6274" i="106" s="1"/>
  <c r="J83" i="4"/>
  <c r="B6283" i="106" s="1"/>
  <c r="D6283" i="106" s="1"/>
  <c r="K83" i="4"/>
  <c r="B6284" i="106" s="1"/>
  <c r="D6284" i="106" s="1"/>
  <c r="B6275" i="106"/>
  <c r="D6275" i="106" s="1"/>
  <c r="O17" i="118" l="1"/>
  <c r="O20" i="118" s="1"/>
  <c r="K20" i="118"/>
  <c r="B6104" i="106" l="1"/>
  <c r="D6104" i="106" s="1"/>
  <c r="B2663" i="106"/>
  <c r="D2663" i="106" s="1"/>
  <c r="B6325" i="106"/>
  <c r="D6325" i="106" s="1"/>
  <c r="B5883" i="106"/>
  <c r="D5883" i="106" s="1"/>
  <c r="B6335" i="106"/>
  <c r="D6335" i="106" s="1"/>
  <c r="B6345" i="106"/>
  <c r="D6345" i="106" s="1"/>
  <c r="B7731" i="106"/>
  <c r="D7731" i="106" s="1"/>
  <c r="B5884" i="106"/>
  <c r="D5884" i="106" s="1"/>
  <c r="B7637" i="106"/>
  <c r="D7637" i="106" s="1"/>
  <c r="B5885" i="106"/>
  <c r="D5885"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19" i="106"/>
  <c r="D1519" i="106" s="1"/>
  <c r="B1531" i="106"/>
  <c r="D1531" i="106" s="1"/>
  <c r="B1537" i="106"/>
  <c r="D1537" i="106" s="1"/>
  <c r="B1543" i="106"/>
  <c r="D1543" i="106" s="1"/>
  <c r="B1549" i="106"/>
  <c r="D1549" i="106" s="1"/>
  <c r="B7099" i="106"/>
  <c r="D7099" i="106" s="1"/>
  <c r="B7100" i="106"/>
  <c r="D7100" i="106" s="1"/>
  <c r="B7105" i="106"/>
  <c r="D7105" i="106" s="1"/>
  <c r="B7108" i="106"/>
  <c r="D7108" i="106" s="1"/>
  <c r="B7110" i="106"/>
  <c r="D7110" i="106" s="1"/>
  <c r="B619" i="106"/>
  <c r="D619" i="106" s="1"/>
  <c r="B620" i="106"/>
  <c r="D620" i="106" s="1"/>
  <c r="B3534" i="106"/>
  <c r="D3534"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6118" i="106"/>
  <c r="D6118" i="106" s="1"/>
  <c r="B202" i="106"/>
  <c r="D202" i="106" s="1"/>
  <c r="B199" i="106"/>
  <c r="D199" i="106" s="1"/>
  <c r="B3493" i="106" l="1"/>
  <c r="D3493" i="106" s="1"/>
  <c r="I48" i="4"/>
  <c r="B2106" i="106" s="1"/>
  <c r="D2106" i="106" s="1"/>
  <c r="H184" i="5"/>
  <c r="B5908" i="106" s="1"/>
  <c r="D5908" i="106" s="1"/>
  <c r="B5907" i="106"/>
  <c r="D5907" i="106" s="1"/>
  <c r="B5879" i="106"/>
  <c r="D5879" i="106" s="1"/>
  <c r="B9" i="7"/>
  <c r="B5871" i="106"/>
  <c r="D5871" i="106" s="1"/>
  <c r="E38" i="4"/>
  <c r="B6286" i="106" s="1"/>
  <c r="D6286" i="106" s="1"/>
  <c r="B6245" i="106"/>
  <c r="D6245" i="106" s="1"/>
  <c r="B6295" i="106"/>
  <c r="D6295" i="106" s="1"/>
  <c r="D73" i="36"/>
  <c r="B7753" i="106"/>
  <c r="D7753" i="106" s="1"/>
  <c r="H44" i="4"/>
  <c r="I47" i="4"/>
  <c r="H172" i="5"/>
  <c r="B5899" i="106" s="1"/>
  <c r="D5899" i="106" s="1"/>
  <c r="B6371" i="106"/>
  <c r="D6371" i="106" s="1"/>
  <c r="B4365" i="106"/>
  <c r="D4365" i="106" s="1"/>
  <c r="H178" i="5"/>
  <c r="B7043" i="106"/>
  <c r="D7043" i="106" s="1"/>
  <c r="H34" i="3"/>
  <c r="B211" i="106" s="1"/>
  <c r="D211" i="106" s="1"/>
  <c r="B6130" i="106"/>
  <c r="D6130" i="106" s="1"/>
  <c r="B5874" i="106"/>
  <c r="D5874" i="106" s="1"/>
  <c r="H18" i="5"/>
  <c r="B5878" i="106" s="1"/>
  <c r="D5878" i="106" s="1"/>
  <c r="B5882" i="106"/>
  <c r="D5882" i="106" s="1"/>
  <c r="H108" i="5"/>
  <c r="B5886" i="106" s="1"/>
  <c r="D5886" i="106" s="1"/>
  <c r="E37" i="4"/>
  <c r="B6242" i="106"/>
  <c r="D6242" i="106" s="1"/>
  <c r="B6619" i="106"/>
  <c r="D6619" i="106" s="1"/>
  <c r="H259" i="5"/>
  <c r="H121" i="5"/>
  <c r="B5887" i="106"/>
  <c r="D5887" i="106" s="1"/>
  <c r="B14" i="7"/>
  <c r="B6299" i="106"/>
  <c r="D6299" i="106" s="1"/>
  <c r="B618" i="106"/>
  <c r="D618" i="106" s="1"/>
  <c r="D68" i="36"/>
  <c r="B2848" i="106"/>
  <c r="D2848" i="106" s="1"/>
  <c r="H76" i="4"/>
  <c r="B3298" i="106" s="1"/>
  <c r="D3298" i="106" s="1"/>
  <c r="B2769" i="106"/>
  <c r="D2769" i="106" s="1"/>
  <c r="D72" i="36"/>
  <c r="K301" i="29"/>
  <c r="B1555" i="106" s="1"/>
  <c r="D1555" i="106" s="1"/>
  <c r="B1525" i="106"/>
  <c r="D1525" i="106" s="1"/>
  <c r="B1522" i="106"/>
  <c r="D1522" i="106" s="1"/>
  <c r="C303" i="29"/>
  <c r="B1528" i="106"/>
  <c r="D1528" i="106" s="1"/>
  <c r="D303" i="29"/>
  <c r="E303" i="29"/>
  <c r="B1535" i="106" s="1"/>
  <c r="D1535" i="106" s="1"/>
  <c r="B1534" i="106"/>
  <c r="D1534" i="106" s="1"/>
  <c r="B1540" i="106"/>
  <c r="D1540" i="106" s="1"/>
  <c r="F303" i="29"/>
  <c r="B1546" i="106"/>
  <c r="D1546" i="106" s="1"/>
  <c r="G303" i="29"/>
  <c r="B1552" i="106"/>
  <c r="D1552" i="106" s="1"/>
  <c r="H303" i="29"/>
  <c r="B1553" i="106" s="1"/>
  <c r="D1553" i="106" s="1"/>
  <c r="B7101" i="106"/>
  <c r="D7101" i="106" s="1"/>
  <c r="I303" i="29"/>
  <c r="L303" i="29"/>
  <c r="J303" i="29"/>
  <c r="K302" i="29"/>
  <c r="B7102" i="106"/>
  <c r="D7102" i="106" s="1"/>
  <c r="L310" i="29"/>
  <c r="B7106" i="106"/>
  <c r="D7106" i="106" s="1"/>
  <c r="K306" i="29"/>
  <c r="B7107" i="106" s="1"/>
  <c r="D7107" i="106" s="1"/>
  <c r="K307" i="29"/>
  <c r="B4099" i="106" s="1"/>
  <c r="D4099" i="106" s="1"/>
  <c r="B7109" i="106"/>
  <c r="D7109" i="106" s="1"/>
  <c r="B7111" i="106"/>
  <c r="D7111" i="106" s="1"/>
  <c r="K308" i="29"/>
  <c r="B4100" i="106" s="1"/>
  <c r="D4100" i="106" s="1"/>
  <c r="E310" i="29"/>
  <c r="B7112" i="106"/>
  <c r="D7112" i="106" s="1"/>
  <c r="H310" i="29"/>
  <c r="K309" i="29"/>
  <c r="B7113" i="106"/>
  <c r="D7113" i="106" s="1"/>
  <c r="B1687" i="106"/>
  <c r="D1687" i="106" s="1"/>
  <c r="B3296" i="106" l="1"/>
  <c r="D3296" i="106" s="1"/>
  <c r="H77" i="4"/>
  <c r="B3299" i="106" s="1"/>
  <c r="D3299" i="106" s="1"/>
  <c r="B1751" i="106"/>
  <c r="D1751" i="106" s="1"/>
  <c r="D9" i="7"/>
  <c r="B5872" i="106"/>
  <c r="D5872" i="106" s="1"/>
  <c r="B18" i="7"/>
  <c r="B19" i="7" s="1"/>
  <c r="B1759" i="106" s="1"/>
  <c r="D1759" i="106" s="1"/>
  <c r="B6285" i="106"/>
  <c r="D6285" i="106" s="1"/>
  <c r="E44" i="4"/>
  <c r="B4950" i="106"/>
  <c r="D4950" i="106" s="1"/>
  <c r="B1754" i="106"/>
  <c r="D1754" i="106" s="1"/>
  <c r="D14" i="7"/>
  <c r="B1770" i="106" s="1"/>
  <c r="D1770" i="106" s="1"/>
  <c r="B5893" i="106"/>
  <c r="D5893" i="106" s="1"/>
  <c r="H173" i="5"/>
  <c r="B3425" i="106"/>
  <c r="D3425" i="106" s="1"/>
  <c r="H13" i="3"/>
  <c r="B203" i="106" s="1"/>
  <c r="D203" i="106" s="1"/>
  <c r="D39" i="36"/>
  <c r="H273" i="5"/>
  <c r="B4441" i="106" s="1"/>
  <c r="D4441" i="106" s="1"/>
  <c r="B6838" i="106"/>
  <c r="D6838" i="106" s="1"/>
  <c r="I76" i="4"/>
  <c r="B2105" i="106"/>
  <c r="D2105" i="106" s="1"/>
  <c r="H12" i="5"/>
  <c r="C312" i="29"/>
  <c r="B1524" i="106" s="1"/>
  <c r="D1524" i="106" s="1"/>
  <c r="B1523" i="106"/>
  <c r="D1523" i="106" s="1"/>
  <c r="B1529" i="106"/>
  <c r="D1529" i="106" s="1"/>
  <c r="D312" i="29"/>
  <c r="B1530" i="106" s="1"/>
  <c r="D1530" i="106" s="1"/>
  <c r="B1541" i="106"/>
  <c r="D1541" i="106" s="1"/>
  <c r="F312" i="29"/>
  <c r="B1542" i="106" s="1"/>
  <c r="D1542" i="106" s="1"/>
  <c r="B1547" i="106"/>
  <c r="D1547" i="106" s="1"/>
  <c r="G312" i="29"/>
  <c r="B1548" i="106" s="1"/>
  <c r="D1548" i="106" s="1"/>
  <c r="B7103" i="106"/>
  <c r="D7103" i="106" s="1"/>
  <c r="I312" i="29"/>
  <c r="B1558" i="106"/>
  <c r="D1558" i="106" s="1"/>
  <c r="K303" i="29"/>
  <c r="B7104" i="106"/>
  <c r="D7104" i="106" s="1"/>
  <c r="J312" i="29"/>
  <c r="B7117" i="106" s="1"/>
  <c r="D7117" i="106" s="1"/>
  <c r="L312" i="29"/>
  <c r="B7114" i="106"/>
  <c r="D7114" i="106" s="1"/>
  <c r="E312" i="29"/>
  <c r="B1536" i="106" s="1"/>
  <c r="D1536" i="106" s="1"/>
  <c r="B3717" i="106"/>
  <c r="D3717" i="106" s="1"/>
  <c r="K310" i="29"/>
  <c r="B7115" i="106"/>
  <c r="D7115" i="106" s="1"/>
  <c r="H312" i="29"/>
  <c r="B1554" i="106" s="1"/>
  <c r="D1554" i="106" s="1"/>
  <c r="I77" i="4" l="1"/>
  <c r="B3318" i="106"/>
  <c r="D3318" i="106" s="1"/>
  <c r="H274" i="5"/>
  <c r="B5880" i="106"/>
  <c r="D5880" i="106" s="1"/>
  <c r="H67" i="5"/>
  <c r="B5881" i="106" s="1"/>
  <c r="D5881" i="106" s="1"/>
  <c r="B1767" i="106"/>
  <c r="D1767" i="106" s="1"/>
  <c r="E77" i="4"/>
  <c r="B3274" i="106"/>
  <c r="D3274" i="106" s="1"/>
  <c r="B5873" i="106"/>
  <c r="D5873" i="106" s="1"/>
  <c r="H6" i="4"/>
  <c r="B2656" i="106" s="1"/>
  <c r="D2656" i="106" s="1"/>
  <c r="B5906" i="106"/>
  <c r="D5906" i="106" s="1"/>
  <c r="D18" i="7"/>
  <c r="B4105" i="106" s="1"/>
  <c r="D4105" i="106" s="1"/>
  <c r="B4103" i="106"/>
  <c r="D4103" i="106" s="1"/>
  <c r="B7116" i="106"/>
  <c r="D7116" i="106" s="1"/>
  <c r="F17" i="11"/>
  <c r="B1559" i="106"/>
  <c r="D1559" i="106" s="1"/>
  <c r="H13" i="4"/>
  <c r="B2659" i="106" s="1"/>
  <c r="D2659" i="106" s="1"/>
  <c r="B2102" i="106"/>
  <c r="D2102" i="106" s="1"/>
  <c r="K312" i="29"/>
  <c r="H15" i="4"/>
  <c r="H109" i="5" l="1"/>
  <c r="D19" i="7"/>
  <c r="B1775" i="106" s="1"/>
  <c r="D1775" i="106" s="1"/>
  <c r="B3277" i="106"/>
  <c r="D3277" i="106" s="1"/>
  <c r="E78" i="4"/>
  <c r="H4" i="4"/>
  <c r="B6025" i="106"/>
  <c r="D6025" i="106" s="1"/>
  <c r="H275" i="5"/>
  <c r="B5915" i="106" s="1"/>
  <c r="D5915" i="106" s="1"/>
  <c r="H7" i="4"/>
  <c r="B5914" i="106"/>
  <c r="D5914" i="106" s="1"/>
  <c r="B3319" i="106"/>
  <c r="D3319" i="106" s="1"/>
  <c r="I78" i="4"/>
  <c r="I17" i="11"/>
  <c r="B7624" i="106"/>
  <c r="D7624" i="106" s="1"/>
  <c r="B2660" i="106"/>
  <c r="D2660" i="106" s="1"/>
  <c r="H17" i="4"/>
  <c r="B1560" i="106"/>
  <c r="D1560" i="106" s="1"/>
  <c r="K313" i="29" l="1"/>
  <c r="B1561" i="106" s="1"/>
  <c r="D1561" i="106" s="1"/>
  <c r="B2657" i="106"/>
  <c r="D2657" i="106" s="1"/>
  <c r="D10" i="171"/>
  <c r="D19" i="171" s="1"/>
  <c r="D32" i="171" s="1"/>
  <c r="D49" i="171" s="1"/>
  <c r="B2655" i="106"/>
  <c r="D2655" i="106" s="1"/>
  <c r="H8" i="4"/>
  <c r="H20" i="4" s="1"/>
  <c r="B3278" i="106"/>
  <c r="D3278" i="106" s="1"/>
  <c r="E81" i="4"/>
  <c r="I81" i="4"/>
  <c r="B3320" i="106"/>
  <c r="D3320" i="106" s="1"/>
  <c r="I18" i="11"/>
  <c r="B7625" i="106"/>
  <c r="D7625" i="106" s="1"/>
  <c r="H19" i="4"/>
  <c r="B4141" i="106" s="1"/>
  <c r="D4141" i="106" s="1"/>
  <c r="B2661" i="106"/>
  <c r="D2661" i="106" s="1"/>
  <c r="B1658" i="106" l="1"/>
  <c r="D1658" i="106" s="1"/>
  <c r="E82" i="4"/>
  <c r="D59" i="36"/>
  <c r="D63" i="36"/>
  <c r="B3323" i="106"/>
  <c r="D3323" i="106" s="1"/>
  <c r="I82" i="4"/>
  <c r="E11" i="146"/>
  <c r="F11" i="146" s="1"/>
  <c r="J16" i="37"/>
  <c r="B4269" i="106" s="1"/>
  <c r="D4269" i="106" s="1"/>
  <c r="H12" i="118"/>
  <c r="K12" i="118" s="1"/>
  <c r="O11" i="118" s="1"/>
  <c r="O13" i="118" s="1"/>
  <c r="O35" i="118" s="1"/>
  <c r="O37" i="118" s="1"/>
  <c r="B2658" i="106"/>
  <c r="D2658" i="106" s="1"/>
  <c r="H10" i="4"/>
  <c r="B4127" i="106" s="1"/>
  <c r="D4127" i="106" s="1"/>
  <c r="B7631" i="106"/>
  <c r="D7631" i="106" s="1"/>
  <c r="F180" i="34"/>
  <c r="F181" i="34" s="1"/>
  <c r="F183" i="34" s="1"/>
  <c r="D76" i="36"/>
  <c r="H41" i="3"/>
  <c r="B212" i="106"/>
  <c r="D212" i="106" s="1"/>
  <c r="H78" i="4"/>
  <c r="B2662" i="106"/>
  <c r="D2662" i="106" s="1"/>
  <c r="B6273" i="106" l="1"/>
  <c r="D6273" i="106" s="1"/>
  <c r="I83" i="4"/>
  <c r="B6282" i="106" s="1"/>
  <c r="D6282" i="106" s="1"/>
  <c r="D29" i="36"/>
  <c r="J24" i="24" s="1"/>
  <c r="C12" i="146"/>
  <c r="E83" i="4"/>
  <c r="B6278" i="106" s="1"/>
  <c r="D6278" i="106" s="1"/>
  <c r="B6269" i="106"/>
  <c r="D6269" i="106" s="1"/>
  <c r="B3300" i="106"/>
  <c r="D3300" i="106" s="1"/>
  <c r="H81" i="4"/>
  <c r="B213" i="106"/>
  <c r="D213" i="106" s="1"/>
  <c r="D49" i="36"/>
  <c r="B1700" i="106" l="1"/>
  <c r="D1700" i="106" s="1"/>
  <c r="H82" i="4"/>
  <c r="D62" i="36"/>
  <c r="H83" i="4" l="1"/>
  <c r="B6281" i="106" s="1"/>
  <c r="D6281" i="106" s="1"/>
  <c r="B6272" i="106"/>
  <c r="D6272"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<sst xmlns="http://schemas.openxmlformats.org/spreadsheetml/2006/main" count="5125" uniqueCount="2144">
  <si>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</si>
  <si>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</si>
  <si>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</si>
  <si>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</si>
  <si>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</si>
  <si>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</si>
  <si>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</si>
  <si>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</si>
  <si>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</si>
  <si>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</si>
  <si>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</si>
  <si>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</si>
  <si>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</si>
  <si>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</si>
  <si>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</si>
  <si>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</si>
  <si>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</si>
  <si>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</si>
  <si>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</si>
  <si>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</si>
  <si>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</si>
  <si>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</si>
  <si>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</si>
  <si>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</si>
  <si>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</si>
  <si>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</si>
  <si>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</si>
  <si>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</si>
  <si>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</si>
  <si>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</si>
  <si>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</si>
  <si>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</si>
  <si>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</si>
  <si>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</si>
  <si>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</si>
  <si>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</si>
  <si>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</si>
  <si>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</si>
  <si>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</si>
  <si>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</si>
  <si>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</si>
  <si>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</si>
  <si>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</si>
  <si>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</si>
  <si>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</si>
  <si>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</si>
  <si>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</si>
  <si>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</si>
  <si>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</si>
  <si>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</si>
  <si>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</si>
  <si>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</si>
  <si>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</si>
  <si>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</si>
  <si>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</si>
  <si>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</si>
  <si>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</si>
  <si>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</si>
  <si>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</si>
  <si>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</si>
  <si>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</si>
  <si>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</si>
  <si>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</si>
  <si>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</si>
  <si>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</si>
  <si>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</si>
  <si>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</si>
  <si>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</si>
  <si>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</si>
  <si>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</si>
  <si>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</si>
  <si>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</si>
  <si>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</si>
  <si>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</si>
  <si>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</si>
  <si>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</si>
  <si>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</si>
  <si>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</si>
  <si>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</si>
  <si>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</si>
  <si>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</si>
  <si>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</si>
  <si>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</si>
  <si>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</si>
  <si>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</si>
  <si>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</si>
  <si>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</si>
  <si>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</si>
  <si>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</si>
  <si>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</si>
  <si>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</si>
  <si>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</si>
  <si>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</si>
  <si>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</si>
  <si>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</si>
  <si>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</si>
  <si>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</si>
  <si>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</si>
  <si>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</si>
  <si>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</si>
  <si>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</si>
  <si>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</si>
  <si>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</si>
  <si>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</si>
  <si>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</si>
  <si>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</si>
  <si>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</si>
  <si>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</si>
  <si>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</si>
  <si>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</si>
  <si>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</si>
  <si>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</si>
  <si>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</si>
  <si>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</si>
  <si>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</si>
  <si>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</si>
  <si>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</si>
  <si>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</si>
  <si>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</si>
  <si>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</si>
  <si>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</si>
  <si>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</si>
  <si>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</si>
  <si>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</si>
  <si>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</si>
  <si>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</si>
  <si>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</si>
  <si>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</si>
  <si>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</si>
  <si>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</si>
  <si>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</si>
  <si>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</si>
  <si>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</si>
  <si>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</si>
  <si>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</si>
  <si>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</si>
  <si>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</si>
  <si>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</si>
  <si>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</si>
  <si>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</si>
  <si>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</si>
  <si>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</si>
  <si>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</si>
  <si>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</si>
  <si>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</si>
  <si>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</si>
  <si>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</si>
  <si>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</si>
  <si>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</si>
  <si>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</si>
  <si>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</si>
  <si>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</si>
  <si>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</si>
  <si>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</si>
  <si>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</si>
  <si>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</si>
  <si>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</si>
  <si>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</si>
  <si>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</si>
  <si>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</si>
  <si>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</si>
  <si>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</si>
  <si>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</si>
  <si>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</si>
  <si>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</si>
  <si>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</si>
  <si>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</si>
  <si>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</si>
  <si>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</si>
  <si>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</si>
  <si>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</si>
  <si>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</si>
  <si>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</si>
  <si>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</si>
  <si>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</si>
  <si>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</si>
  <si>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</si>
  <si>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</si>
  <si>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</si>
  <si>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</si>
  <si>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</si>
  <si>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</si>
  <si>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</si>
  <si>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</si>
  <si>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</si>
  <si>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</si>
  <si>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</si>
  <si>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</si>
  <si>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</si>
  <si>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</si>
  <si>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</si>
  <si>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</si>
  <si>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</si>
  <si>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</si>
  <si>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</si>
  <si>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</si>
  <si>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</si>
  <si>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</si>
  <si>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</si>
  <si>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</si>
  <si>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</si>
  <si>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</si>
  <si>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</si>
  <si>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</si>
  <si>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</si>
  <si>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</si>
  <si>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</si>
  <si>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</si>
  <si>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</si>
  <si>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</si>
  <si>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</si>
  <si>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</si>
  <si>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</si>
  <si>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</si>
  <si>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</si>
  <si>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</si>
  <si>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</si>
  <si>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</si>
  <si>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</si>
  <si>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</si>
  <si>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</si>
  <si>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</si>
  <si>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</si>
  <si>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</si>
  <si>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</si>
  <si>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</si>
  <si>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</si>
  <si>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</si>
  <si>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</si>
  <si>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</si>
  <si>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</si>
  <si>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</si>
  <si>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</si>
  <si>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</si>
  <si>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</si>
  <si>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</si>
  <si>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</si>
  <si>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</si>
  <si>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</si>
  <si>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</si>
  <si>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</si>
  <si>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</si>
  <si>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</si>
  <si>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</si>
  <si>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</si>
  <si>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</si>
  <si>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</si>
  <si>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</si>
  <si>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</si>
  <si>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</si>
  <si>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</si>
  <si>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</si>
  <si>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</si>
  <si>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</si>
  <si>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</si>
  <si>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</si>
  <si>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</si>
  <si>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</si>
  <si>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</si>
  <si>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</si>
  <si>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</si>
  <si>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</si>
  <si>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</si>
  <si>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</si>
  <si>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</si>
  <si>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</si>
  <si>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</si>
  <si>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</si>
  <si>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</si>
  <si>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</si>
  <si>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</si>
  <si>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</si>
  <si>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</si>
  <si>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</si>
  <si>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</si>
  <si>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</si>
  <si>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</si>
  <si>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</si>
  <si>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</si>
  <si>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</si>
  <si>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</si>
  <si>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</si>
  <si>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</si>
  <si>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</si>
  <si>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</si>
  <si>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</si>
  <si>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</si>
  <si>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</si>
  <si>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</si>
  <si>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</si>
  <si>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</si>
  <si>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</si>
  <si>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</si>
  <si>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</si>
  <si>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</si>
  <si>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</si>
  <si>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</si>
  <si>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</si>
  <si>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</si>
  <si>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</si>
  <si>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</si>
  <si>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</si>
  <si>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</si>
  <si>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</si>
  <si>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</si>
  <si>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</si>
  <si>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</si>
  <si>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</si>
  <si>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</si>
  <si>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</si>
  <si>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</si>
  <si>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</si>
  <si>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</si>
  <si>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</si>
  <si>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</si>
  <si>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</si>
  <si>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</si>
  <si>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</si>
  <si>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</si>
  <si>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</si>
  <si>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</si>
  <si>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</si>
  <si>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</si>
  <si>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</si>
  <si>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</si>
  <si>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</si>
  <si>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</si>
  <si>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</si>
  <si>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</si>
  <si>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</si>
  <si>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</si>
  <si>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</si>
  <si>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</si>
  <si>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</si>
  <si>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</si>
  <si>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</si>
  <si>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</si>
  <si>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</si>
  <si>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</si>
  <si>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</si>
  <si>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</si>
  <si>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</si>
  <si>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</si>
  <si>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</si>
  <si>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</si>
  <si>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</si>
  <si>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</si>
  <si>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</si>
  <si>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</si>
  <si>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</si>
  <si>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</si>
  <si>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</si>
  <si>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</si>
  <si>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</si>
  <si>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</si>
  <si>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</si>
  <si>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</si>
  <si>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</si>
  <si>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</si>
  <si>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</si>
  <si>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</si>
  <si>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</si>
  <si>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</si>
  <si>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</si>
  <si>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</si>
  <si>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</si>
  <si>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</si>
  <si>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</si>
  <si>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</si>
  <si>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</si>
  <si>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</si>
  <si>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</si>
  <si>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</si>
  <si>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</si>
  <si>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</si>
  <si>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</si>
  <si>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</si>
  <si>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</si>
  <si>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</si>
  <si>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</si>
  <si>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</si>
  <si>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</si>
  <si>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</si>
  <si>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</si>
  <si>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</si>
  <si>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</si>
  <si>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</si>
  <si>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</si>
  <si>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</si>
  <si>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</si>
  <si>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</si>
  <si>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</si>
  <si>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</si>
  <si>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</si>
  <si>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</si>
  <si>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</si>
  <si>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</si>
  <si>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</si>
  <si>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</si>
  <si>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</si>
  <si>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</si>
  <si>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</si>
  <si>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</si>
  <si>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</si>
  <si>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</si>
  <si>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</si>
  <si>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</si>
  <si>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</si>
  <si>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</si>
  <si>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</si>
  <si>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</si>
  <si>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</si>
  <si>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</si>
  <si>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</si>
  <si>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</si>
  <si>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</si>
  <si>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</si>
  <si>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</si>
  <si>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</si>
  <si>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</si>
  <si>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</si>
  <si>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</si>
  <si>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</si>
  <si>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</si>
  <si>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</si>
  <si>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</si>
  <si>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</si>
  <si>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</si>
  <si>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</si>
  <si>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</si>
  <si>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</si>
  <si>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</si>
  <si>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</si>
  <si>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</si>
  <si>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</si>
  <si>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</si>
  <si>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</si>
  <si>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</si>
  <si>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</si>
  <si>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</si>
  <si>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</si>
  <si>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</si>
  <si>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</si>
  <si>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</si>
  <si>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</si>
  <si>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</si>
  <si>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</si>
  <si>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</si>
  <si>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</si>
  <si>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</si>
  <si>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</si>
  <si>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</si>
  <si>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</si>
  <si>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</si>
  <si>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</si>
  <si>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</si>
  <si>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</si>
  <si>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</si>
  <si>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</si>
  <si>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</si>
  <si>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</si>
  <si>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</si>
  <si>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</si>
  <si>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</si>
  <si>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</si>
  <si>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</si>
  <si>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</si>
  <si>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</si>
  <si>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</si>
  <si>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</si>
  <si>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</si>
  <si>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</si>
  <si>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</si>
  <si>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</si>
  <si>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</si>
  <si>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</si>
  <si>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</si>
  <si>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</si>
  <si>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</si>
  <si>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</si>
  <si>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</si>
  <si>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</si>
  <si>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</si>
  <si>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</si>
  <si>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</si>
  <si>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</si>
  <si>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</si>
  <si>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</si>
  <si>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</si>
  <si>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</si>
  <si>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</si>
  <si>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</si>
  <si>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</si>
  <si>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</si>
  <si>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</si>
  <si>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</si>
  <si>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</si>
  <si>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</si>
  <si>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</si>
  <si>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</si>
  <si>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</si>
  <si>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</si>
  <si>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</si>
  <si>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</si>
  <si>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</si>
  <si>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</si>
  <si>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</si>
  <si>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</si>
  <si>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</si>
  <si>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</si>
  <si>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</si>
  <si>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</si>
  <si>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</si>
  <si>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</si>
  <si>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</si>
  <si>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</si>
  <si>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</si>
  <si>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</si>
  <si>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</si>
  <si>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</si>
  <si>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</si>
  <si>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</si>
  <si>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</si>
  <si>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</si>
  <si>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</si>
  <si>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</si>
  <si>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</si>
  <si>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</si>
  <si>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</si>
  <si>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</si>
  <si>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</si>
  <si>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</si>
  <si>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</si>
  <si>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</si>
  <si>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</si>
  <si>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</si>
  <si>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</si>
  <si>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</si>
  <si>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</si>
  <si>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</si>
  <si>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</si>
  <si>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</si>
  <si>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</si>
  <si>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</si>
  <si>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</si>
  <si>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</si>
  <si>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</si>
  <si>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</si>
  <si>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</si>
  <si>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</si>
  <si>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</si>
  <si>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</si>
  <si>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</si>
  <si>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</si>
  <si>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</si>
  <si>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</si>
  <si>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</si>
  <si>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</si>
  <si>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</si>
  <si>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</si>
  <si>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</si>
  <si>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</si>
  <si>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</si>
  <si>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</si>
  <si>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</si>
  <si>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</si>
  <si>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</si>
  <si>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</si>
  <si>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</si>
  <si>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</si>
  <si>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</si>
  <si>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</si>
  <si>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</si>
  <si>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</si>
  <si>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</si>
  <si>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</si>
  <si>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</si>
  <si>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</si>
  <si>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</si>
  <si>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</si>
  <si>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</si>
  <si>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</si>
  <si>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</si>
  <si>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</si>
  <si>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</si>
  <si>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</si>
  <si>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</si>
  <si>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</si>
  <si>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</si>
  <si>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</si>
  <si>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</si>
  <si>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</si>
  <si>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</si>
  <si>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</si>
  <si>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</si>
  <si>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</si>
  <si>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</si>
  <si>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</si>
  <si>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</si>
  <si>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</si>
  <si>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</si>
  <si>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</si>
  <si>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</si>
  <si>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</si>
  <si>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</si>
  <si>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</si>
  <si>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</si>
  <si>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</si>
  <si>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</si>
  <si>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</si>
  <si>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</si>
  <si>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</si>
  <si>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</si>
  <si>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</si>
  <si>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</si>
  <si>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</si>
  <si>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</si>
  <si>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</si>
  <si>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</si>
  <si>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</si>
  <si>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</si>
  <si>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</si>
  <si>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</si>
  <si>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</si>
  <si>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</si>
  <si>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</si>
  <si>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</si>
  <si>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</si>
  <si>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</si>
  <si>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</si>
  <si>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</si>
  <si>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</si>
  <si>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</si>
  <si>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</si>
  <si>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</si>
  <si>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</si>
  <si>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</si>
  <si>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</si>
  <si>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</si>
  <si>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</si>
  <si>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</si>
  <si>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</si>
  <si>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</si>
  <si>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</si>
  <si>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</si>
  <si>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</si>
  <si>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</si>
  <si>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</si>
  <si>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</si>
  <si>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</si>
  <si>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</si>
  <si>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</si>
  <si>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</si>
  <si>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</si>
  <si>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</si>
  <si>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</si>
  <si>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</si>
  <si>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</si>
  <si>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</si>
  <si>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</si>
  <si>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</si>
  <si>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</si>
  <si>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</si>
  <si>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</si>
  <si>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</si>
  <si>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</si>
  <si>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</si>
  <si>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</si>
  <si>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</si>
  <si>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</si>
  <si>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</si>
  <si>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</si>
  <si>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</si>
  <si>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</si>
  <si>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</si>
  <si>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</si>
  <si>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</si>
  <si>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</si>
  <si>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</si>
  <si>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</si>
  <si>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</si>
  <si>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</si>
  <si>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</si>
  <si>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</si>
  <si>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</si>
  <si>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</si>
  <si>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</si>
  <si>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</si>
  <si>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</si>
  <si>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</si>
  <si>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</si>
  <si>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</si>
  <si>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</si>
  <si>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</si>
  <si>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</si>
  <si>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</si>
  <si>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</si>
  <si>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</si>
  <si>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</si>
  <si>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</si>
  <si>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</si>
  <si>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</si>
  <si>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</si>
  <si>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</si>
  <si>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</si>
  <si>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</si>
  <si>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</si>
  <si>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</si>
  <si>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</si>
  <si>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</si>
  <si>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</si>
  <si>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</si>
  <si>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</si>
  <si>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</si>
  <si>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</si>
  <si>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</si>
  <si>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</si>
  <si>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</si>
  <si>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</si>
  <si>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</si>
  <si>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</si>
  <si>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</si>
  <si>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</si>
  <si>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</si>
  <si>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</si>
  <si>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</si>
  <si>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</si>
  <si>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</si>
  <si>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</si>
  <si>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</si>
  <si>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</si>
  <si>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</si>
  <si>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</si>
  <si>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</si>
  <si>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</si>
  <si>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</si>
  <si>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</si>
  <si>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</si>
  <si>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</si>
  <si>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</si>
  <si>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</si>
  <si>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</si>
  <si>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</si>
  <si>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</si>
  <si>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</si>
  <si>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</si>
  <si>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</si>
  <si>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</si>
  <si>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</si>
  <si>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</si>
  <si>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</si>
  <si>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</si>
  <si>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</si>
  <si>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</si>
  <si>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</si>
  <si>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</si>
  <si>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</si>
  <si>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</si>
  <si>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</si>
  <si>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</si>
  <si>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</si>
  <si>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</si>
  <si>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</si>
  <si>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</si>
  <si>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</si>
  <si>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</si>
  <si>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</si>
  <si>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</si>
  <si>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</si>
  <si>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</si>
  <si>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</si>
  <si>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</si>
  <si>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</si>
  <si>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</si>
  <si>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</si>
  <si>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</si>
  <si>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</si>
  <si>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</si>
  <si>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</si>
  <si>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</si>
  <si>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</si>
  <si>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</si>
  <si>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</si>
  <si>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</si>
  <si>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</si>
  <si>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</si>
  <si>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</si>
  <si>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</si>
  <si>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</si>
  <si>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</si>
  <si>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</si>
  <si>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</si>
  <si>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</si>
  <si>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</si>
  <si>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</si>
  <si>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</si>
  <si>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</si>
  <si>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</si>
  <si>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</si>
  <si>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</si>
  <si>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</si>
  <si>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</si>
  <si>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</si>
  <si>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</si>
  <si>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</si>
  <si>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</si>
  <si>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</si>
  <si>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</si>
  <si>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</si>
  <si>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</si>
  <si>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</si>
  <si>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</si>
  <si>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</si>
  <si>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</si>
  <si>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</si>
  <si>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</si>
  <si>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</si>
  <si>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</si>
  <si>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</si>
  <si>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</si>
  <si>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</si>
  <si>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</si>
  <si>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</si>
  <si>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</si>
  <si>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</si>
  <si>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</si>
  <si>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</si>
  <si>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</si>
  <si>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</si>
  <si>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</si>
  <si>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</si>
  <si>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</si>
  <si>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</si>
  <si>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</si>
  <si>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</si>
  <si>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</si>
  <si>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</si>
  <si>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</si>
  <si>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</si>
  <si>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</si>
  <si>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</si>
  <si>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</si>
  <si>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</si>
  <si>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</si>
  <si>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</si>
  <si>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</si>
  <si>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</si>
  <si>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</si>
  <si>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</si>
  <si>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</si>
  <si>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</si>
  <si>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</si>
  <si>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</si>
  <si>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</si>
  <si>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</si>
  <si>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</si>
  <si>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</si>
  <si>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</si>
  <si>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</si>
  <si>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</si>
  <si>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</si>
  <si>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</si>
  <si>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</si>
  <si>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</si>
  <si>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</si>
  <si>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</si>
  <si>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</si>
  <si>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</si>
  <si>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</si>
  <si>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</si>
  <si>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</si>
  <si>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</si>
  <si>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</si>
  <si>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</si>
  <si>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</si>
  <si>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</si>
  <si>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</si>
  <si>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</si>
  <si>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</si>
  <si>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</si>
  <si>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</si>
  <si>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</si>
  <si>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</si>
  <si>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</si>
  <si>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</si>
  <si>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</si>
  <si>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</si>
  <si>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</si>
  <si>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</si>
  <si>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</si>
  <si>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</si>
  <si>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</si>
  <si>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</si>
  <si>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</si>
  <si>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</si>
  <si>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</si>
  <si>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</si>
  <si>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</si>
  <si>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</si>
  <si>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</si>
  <si>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</si>
  <si>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</si>
  <si>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</si>
  <si>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</si>
  <si>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</si>
  <si>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</si>
  <si>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</si>
  <si>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</si>
  <si>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</si>
  <si>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</si>
  <si>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</si>
  <si>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</si>
  <si>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</si>
  <si>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</si>
  <si>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</si>
  <si>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</si>
  <si>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</si>
  <si>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</si>
  <si>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</si>
  <si>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</si>
  <si>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</si>
  <si>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</si>
  <si>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</si>
  <si>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</si>
  <si>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</si>
  <si>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</si>
  <si>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</si>
  <si>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</si>
  <si>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</si>
  <si>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</si>
  <si>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</si>
  <si>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</si>
  <si>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</si>
  <si>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</si>
  <si>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</si>
  <si>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</si>
  <si>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</si>
  <si>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</si>
  <si>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</si>
  <si>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</si>
  <si>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</si>
  <si>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</si>
  <si>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</si>
  <si>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</si>
  <si>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</si>
  <si>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</si>
  <si>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</si>
  <si>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</si>
  <si>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</si>
  <si>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</si>
  <si>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</si>
  <si>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</si>
  <si>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</si>
  <si>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</si>
  <si>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</si>
  <si>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</si>
  <si>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</si>
  <si>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</si>
  <si>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</si>
  <si>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</si>
  <si>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</si>
  <si>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</si>
  <si>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</si>
  <si>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</si>
  <si>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</si>
  <si>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</si>
  <si>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</si>
  <si>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</si>
  <si>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</si>
  <si>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</si>
  <si>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</si>
  <si>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</si>
  <si>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</si>
  <si>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</si>
  <si>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</si>
  <si>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</si>
  <si>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</si>
  <si>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</si>
  <si>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</si>
  <si>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</si>
  <si>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</si>
  <si>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</si>
  <si>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</si>
  <si>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</si>
  <si>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</si>
  <si>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</si>
  <si>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</si>
  <si>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</si>
  <si>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</si>
  <si>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</si>
  <si>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</si>
  <si>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</si>
  <si>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</si>
  <si>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</si>
  <si>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</si>
  <si>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</si>
  <si>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</si>
  <si>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</si>
  <si>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</si>
  <si>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</si>
  <si>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</si>
  <si>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</si>
  <si>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</si>
  <si>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</si>
  <si>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</si>
  <si>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</si>
  <si>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</si>
  <si>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</si>
  <si>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</si>
  <si>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</si>
  <si>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</si>
  <si>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</si>
  <si>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</si>
  <si>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</si>
  <si>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</si>
  <si>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</si>
  <si>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</si>
  <si>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</si>
  <si>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</si>
  <si>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</si>
  <si>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</si>
  <si>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</si>
  <si>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</si>
  <si>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</si>
  <si>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</si>
  <si>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</si>
  <si>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</si>
  <si>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</si>
  <si>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</si>
  <si>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</si>
  <si>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</si>
  <si>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</si>
  <si>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</si>
  <si>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</si>
  <si>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</si>
  <si>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</si>
  <si>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</si>
  <si>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</si>
  <si>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</si>
  <si>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</si>
  <si>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</si>
  <si>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</si>
  <si>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</si>
  <si>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</si>
  <si>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</si>
  <si>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</si>
  <si>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</si>
  <si>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</si>
  <si>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</si>
  <si>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</si>
  <si>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</si>
  <si>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</si>
  <si>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</si>
  <si>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</si>
  <si>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</si>
  <si>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</si>
  <si>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</si>
  <si>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</si>
  <si>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</si>
  <si>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</si>
  <si>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</si>
  <si>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</si>
  <si>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</si>
  <si>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</si>
  <si>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</si>
  <si>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</si>
  <si>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</si>
  <si>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</si>
  <si>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</si>
  <si>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</si>
  <si>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</si>
  <si>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</si>
  <si>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</si>
  <si>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</si>
  <si>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</si>
  <si>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</si>
  <si>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</si>
  <si>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</si>
  <si>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</si>
  <si>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</si>
  <si>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</si>
  <si>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</si>
  <si>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</si>
  <si>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</si>
  <si>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</si>
  <si>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</si>
  <si>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</si>
  <si>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</si>
  <si>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</si>
  <si>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</si>
  <si>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</si>
  <si>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</si>
  <si>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</si>
  <si>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</si>
  <si>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</si>
  <si>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</si>
  <si>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</si>
  <si>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</si>
  <si>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</si>
  <si>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</si>
  <si>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</si>
  <si>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</si>
  <si>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</si>
  <si>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</si>
  <si>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</si>
  <si>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</si>
  <si>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</si>
  <si>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</si>
  <si>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</si>
  <si>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</si>
  <si>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</si>
  <si>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</si>
  <si>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</si>
  <si>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</si>
  <si>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</si>
  <si>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</si>
  <si>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</si>
  <si>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</si>
  <si>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</si>
  <si>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</si>
  <si>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</si>
  <si>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</si>
  <si>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</si>
  <si>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</si>
  <si>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</si>
  <si>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</si>
  <si>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</si>
  <si>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</si>
  <si>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</si>
  <si>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</si>
  <si>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</si>
  <si>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</si>
  <si>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</si>
  <si>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</si>
  <si>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</si>
  <si>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</si>
  <si>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</si>
  <si>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</si>
  <si>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</si>
  <si>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</si>
  <si>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</si>
  <si>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</si>
  <si>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</si>
  <si>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</si>
  <si>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</si>
  <si>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</si>
  <si>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</si>
  <si>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</si>
  <si>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</si>
  <si>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</si>
  <si>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</si>
  <si>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</si>
  <si>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</si>
  <si>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</si>
  <si>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</si>
  <si>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</si>
  <si>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</si>
  <si>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</si>
  <si>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</si>
  <si>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</si>
  <si>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</si>
  <si>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</si>
  <si>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</si>
  <si>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</si>
  <si>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</si>
  <si>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</si>
  <si>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</si>
  <si>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</si>
  <si>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</si>
  <si>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</si>
  <si>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</si>
  <si>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</si>
  <si>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</si>
  <si>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</si>
  <si>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</si>
  <si>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</si>
  <si>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</si>
  <si>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</si>
  <si>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</si>
  <si>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</si>
  <si>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</si>
  <si>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</si>
  <si>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</si>
  <si>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</si>
  <si>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</si>
  <si>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</si>
  <si>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</si>
  <si>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</si>
  <si>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</si>
  <si>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</si>
  <si>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</si>
  <si>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</si>
  <si>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</si>
  <si>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</si>
  <si>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</si>
  <si>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</si>
  <si>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</si>
  <si>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</si>
  <si>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</si>
  <si>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</si>
  <si>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</si>
  <si>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</si>
  <si>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</si>
  <si>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</si>
  <si>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</si>
  <si>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</si>
  <si>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</si>
  <si>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</si>
  <si>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</si>
  <si>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</si>
  <si>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</si>
  <si>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</si>
  <si>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</si>
  <si>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</si>
  <si>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</si>
  <si>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</si>
  <si>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</si>
  <si>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</si>
  <si>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</si>
  <si>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</si>
  <si>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</si>
  <si>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</si>
  <si>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</si>
  <si>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</si>
  <si>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</si>
  <si>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</si>
  <si>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</si>
  <si>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</si>
  <si>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</si>
  <si>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</si>
  <si>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</si>
  <si>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</si>
  <si>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</si>
  <si>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</si>
  <si>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</si>
  <si>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</si>
  <si>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</si>
  <si>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</si>
  <si>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</si>
  <si>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</si>
  <si>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</si>
  <si>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</si>
  <si>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</si>
  <si>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</si>
  <si>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</si>
  <si>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</si>
  <si>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</si>
  <si>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</si>
  <si>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</si>
  <si>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</si>
  <si>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</si>
  <si>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</si>
  <si>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</si>
  <si>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</si>
  <si>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</si>
  <si>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</si>
  <si>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</si>
  <si>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</si>
  <si>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</si>
  <si>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</si>
  <si>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</si>
  <si>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</si>
  <si>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</si>
  <si>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</si>
  <si>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</si>
  <si>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</si>
  <si>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</si>
  <si>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</si>
  <si>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</si>
  <si>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</si>
  <si>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</si>
  <si>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</si>
  <si>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</si>
  <si>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</si>
  <si>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</si>
  <si>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</si>
  <si>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</si>
  <si>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</si>
  <si>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</si>
  <si>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</si>
  <si>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</si>
  <si>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</si>
  <si>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</si>
  <si>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</si>
  <si>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</si>
  <si>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</si>
  <si>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</si>
  <si>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</si>
  <si>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</si>
  <si>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</si>
  <si>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</si>
  <si>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</si>
  <si>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</si>
  <si>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</si>
  <si>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</si>
  <si>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</si>
  <si>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</si>
  <si>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</si>
  <si>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</si>
  <si>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</si>
  <si>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</si>
  <si>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</si>
  <si>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</si>
  <si>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</si>
  <si>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</si>
  <si>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</si>
  <si>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</si>
  <si>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</si>
  <si>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</si>
  <si>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</si>
  <si>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</si>
  <si>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</si>
  <si>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</si>
  <si>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</si>
  <si>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</si>
  <si>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</si>
  <si>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</si>
  <si>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</si>
  <si>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</si>
  <si>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</si>
  <si>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</si>
  <si>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</si>
  <si>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</si>
  <si>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</si>
  <si>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</si>
  <si>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</si>
  <si>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</si>
  <si>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</si>
  <si>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</si>
  <si>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</si>
  <si>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</si>
  <si>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</si>
  <si>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</si>
  <si>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</si>
  <si>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</si>
  <si>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</si>
  <si>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</si>
  <si>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</si>
  <si>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</si>
  <si>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</si>
  <si>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</si>
  <si>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</si>
  <si>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</si>
  <si>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</si>
  <si>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</si>
  <si>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</si>
  <si>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</si>
  <si>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</si>
  <si>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</si>
  <si>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</si>
  <si>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</si>
  <si>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</si>
  <si>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</si>
  <si>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</si>
  <si>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</si>
  <si>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</si>
  <si>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</si>
  <si>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</si>
  <si>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</si>
  <si>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</si>
  <si>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</si>
  <si>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</si>
  <si>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</si>
  <si>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</si>
  <si>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</si>
  <si>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</si>
  <si>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</si>
  <si>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</si>
  <si>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</si>
  <si>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</si>
  <si>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</si>
  <si>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</si>
  <si>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</si>
  <si>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</si>
  <si>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</si>
  <si>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</si>
  <si>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</si>
  <si>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</si>
  <si>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</si>
  <si>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</si>
  <si>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</si>
  <si>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</si>
  <si>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</si>
  <si>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</si>
  <si>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</si>
  <si>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</si>
  <si>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</si>
  <si>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</si>
  <si>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</si>
  <si>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</si>
  <si>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</si>
  <si>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</si>
  <si>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</si>
  <si>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</si>
  <si>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</si>
  <si>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</si>
  <si>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</si>
  <si>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</si>
  <si>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</si>
  <si>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</si>
  <si>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</si>
  <si>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</si>
  <si>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</si>
  <si>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</si>
  <si>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</si>
  <si>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</si>
  <si>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</si>
  <si>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</si>
  <si>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</si>
  <si>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</si>
  <si>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</si>
  <si>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</si>
  <si>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</si>
  <si>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</si>
  <si>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</si>
  <si>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</si>
  <si>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</si>
  <si>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</si>
  <si>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</si>
  <si>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</si>
  <si>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</si>
  <si>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</si>
  <si>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</si>
  <si>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</si>
  <si>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</si>
  <si>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</si>
  <si>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</si>
  <si>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</si>
  <si>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</si>
  <si>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</si>
  <si>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</si>
  <si>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</si>
  <si>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</si>
  <si>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</si>
  <si>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</si>
  <si>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</si>
  <si>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</si>
  <si>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</si>
  <si>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</si>
  <si>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</si>
  <si>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</si>
  <si>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</si>
  <si>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</si>
  <si>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</si>
  <si>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</si>
  <si>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</si>
  <si>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</si>
  <si>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</si>
  <si>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</si>
  <si>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</si>
  <si>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</si>
  <si>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</si>
  <si>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</si>
  <si>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</si>
  <si>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</si>
  <si>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</si>
  <si>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</si>
  <si>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</si>
  <si>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</si>
  <si>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</si>
  <si>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</si>
  <si>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</si>
  <si>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</si>
  <si>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</si>
  <si>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</si>
  <si>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</si>
  <si>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</si>
  <si>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</si>
  <si>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</si>
  <si>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</si>
  <si>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</si>
  <si>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</si>
  <si>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</si>
  <si>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</si>
  <si>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</si>
  <si>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</si>
  <si>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</si>
  <si>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</si>
  <si>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</si>
  <si>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</si>
  <si>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</si>
  <si>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</si>
  <si>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</si>
  <si>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</si>
  <si>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</si>
  <si>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</si>
  <si>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</si>
  <si>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</si>
  <si>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</si>
  <si>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</si>
  <si>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</si>
  <si>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</si>
  <si>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</si>
  <si>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</si>
  <si>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</si>
  <si>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</si>
  <si>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</si>
  <si>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</si>
  <si>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</si>
  <si>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</si>
  <si>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</si>
  <si>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</si>
  <si>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</si>
  <si>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</si>
  <si>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</si>
  <si>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</si>
  <si>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</si>
  <si>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</si>
  <si>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</si>
  <si>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</si>
  <si>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</si>
  <si>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</si>
  <si>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</si>
  <si>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</si>
  <si>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</si>
  <si>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</si>
  <si>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</si>
  <si>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</si>
  <si>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</si>
  <si>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</si>
  <si>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</si>
  <si>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</si>
  <si>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</si>
  <si>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</si>
  <si>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</si>
  <si>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</si>
  <si>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</si>
  <si>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</si>
  <si>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</si>
  <si>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</si>
  <si>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</si>
  <si>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</si>
  <si>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</si>
  <si>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</si>
  <si>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</si>
  <si>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</si>
  <si>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</si>
  <si>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</si>
  <si>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</si>
  <si>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</si>
  <si>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</si>
  <si>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</si>
  <si>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</si>
  <si>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</si>
  <si>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</si>
  <si>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</si>
  <si>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</si>
  <si>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</si>
  <si>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</si>
  <si>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</si>
  <si>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</si>
  <si>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</si>
  <si>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</si>
  <si>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</si>
  <si>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</si>
  <si>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</si>
  <si>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</si>
  <si>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</si>
  <si>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</si>
  <si>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</si>
  <si>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</si>
  <si>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</si>
  <si>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</si>
  <si>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</si>
  <si>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</si>
  <si>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</si>
  <si>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</si>
  <si>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</si>
  <si>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</si>
  <si>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</si>
  <si>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</si>
  <si>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</si>
  <si>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</si>
  <si>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</si>
  <si>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</si>
  <si>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</si>
  <si>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</si>
  <si>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</si>
  <si>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</si>
  <si>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</si>
  <si>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</si>
  <si>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</si>
  <si>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</si>
  <si>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</si>
  <si>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</si>
  <si>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</si>
  <si>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</si>
  <si>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</si>
  <si>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</si>
  <si>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</si>
  <si>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</si>
  <si>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</si>
  <si>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</si>
  <si>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</si>
  <si>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</si>
  <si>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</si>
  <si>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</si>
  <si>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</si>
  <si>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</si>
  <si>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</si>
  <si>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</si>
  <si>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</si>
  <si>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</si>
  <si>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</si>
  <si>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</si>
  <si>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</si>
  <si>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</si>
  <si>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</si>
  <si>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</si>
  <si>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</si>
  <si>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</si>
  <si>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</si>
  <si>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</si>
  <si>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</si>
  <si>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</si>
  <si>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</si>
  <si>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</si>
  <si>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</si>
  <si>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</si>
  <si>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</si>
  <si>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</si>
  <si>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</si>
  <si>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</si>
  <si>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</si>
  <si>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</si>
  <si>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</si>
  <si>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</si>
  <si>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</si>
  <si>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</si>
  <si>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</si>
  <si>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</si>
  <si>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</si>
  <si>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</si>
  <si>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</si>
  <si>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</si>
  <si>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</si>
  <si>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</si>
  <si>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</si>
  <si>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</si>
  <si>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</si>
  <si>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</si>
  <si>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</si>
  <si>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</si>
  <si>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</si>
  <si>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</si>
  <si>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</si>
  <si>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</si>
  <si>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</si>
  <si>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</si>
  <si>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</si>
  <si>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</si>
  <si>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</si>
  <si>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</si>
  <si>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</si>
  <si>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</si>
  <si>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</si>
  <si>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</si>
  <si>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</si>
  <si>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</si>
  <si>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</si>
  <si>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</si>
  <si>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</si>
  <si>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</si>
  <si>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</si>
  <si>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</si>
  <si>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</si>
  <si>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</si>
  <si>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</si>
  <si>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</si>
  <si>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</si>
  <si>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</si>
  <si>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</si>
  <si>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</si>
  <si>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</si>
  <si>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</si>
  <si>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</si>
  <si>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</si>
  <si>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</si>
  <si>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</si>
  <si>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</si>
  <si>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</si>
  <si>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</si>
  <si>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</si>
  <si>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</si>
  <si>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</si>
  <si>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</si>
  <si>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</si>
  <si>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</si>
  <si>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</si>
  <si>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</si>
  <si>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</si>
  <si>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</si>
  <si>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</si>
  <si>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</si>
  <si>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</si>
  <si>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</si>
  <si>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</si>
  <si>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</si>
  <si>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</si>
  <si>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</si>
  <si>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</si>
  <si>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</si>
  <si>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</si>
  <si>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</si>
  <si>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</si>
  <si>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</si>
  <si>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</si>
  <si>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</si>
  <si>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</si>
  <si>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</si>
  <si>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</si>
  <si>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</si>
  <si>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</si>
  <si>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</si>
  <si>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</si>
  <si>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</si>
  <si>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</si>
  <si>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</si>
  <si>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</si>
  <si>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</si>
  <si>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</si>
  <si>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</si>
  <si>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</si>
  <si>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</si>
  <si>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</si>
  <si>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</si>
  <si>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</si>
  <si>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</si>
  <si>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</si>
  <si>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</si>
  <si>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</si>
  <si>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</si>
  <si>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</si>
  <si>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</si>
  <si>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</si>
  <si>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</si>
  <si>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</si>
  <si>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</si>
  <si>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</si>
  <si>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</si>
  <si>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</si>
  <si>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</si>
  <si>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</si>
  <si>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</si>
  <si>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</si>
  <si>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</si>
  <si>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</si>
  <si>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</si>
  <si>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</si>
  <si>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</si>
  <si>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</si>
  <si>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</si>
  <si>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</si>
  <si>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</si>
  <si>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</si>
  <si>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</si>
  <si>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</si>
  <si>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</si>
  <si>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</si>
  <si>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</si>
  <si>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</si>
  <si>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</si>
  <si>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</si>
  <si>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</si>
  <si>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</si>
  <si>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</si>
  <si>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</si>
  <si>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</si>
  <si>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</si>
  <si>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</si>
  <si>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</si>
  <si>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</si>
  <si>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</si>
  <si>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</si>
  <si>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</si>
  <si>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</si>
  <si>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</si>
  <si>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</si>
  <si>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</si>
  <si>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</si>
  <si>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</si>
  <si>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</si>
  <si>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</si>
  <si>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</si>
  <si>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</si>
  <si>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</si>
  <si>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</si>
  <si>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</si>
  <si>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</si>
  <si>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</si>
  <si>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</si>
  <si>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</si>
  <si>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</si>
  <si>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</si>
  <si>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</si>
  <si>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</si>
  <si>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</si>
  <si>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</si>
  <si>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</si>
  <si>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</si>
  <si>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</si>
  <si>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</si>
  <si>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</si>
  <si>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</si>
  <si>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</si>
  <si>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</si>
  <si>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</si>
  <si>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</si>
  <si>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</si>
  <si>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</si>
  <si>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</si>
  <si>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</si>
  <si>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</si>
  <si>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</si>
  <si>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</si>
  <si>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</si>
  <si>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</si>
  <si>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</si>
  <si>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</si>
  <si>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</si>
  <si>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</si>
  <si>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</si>
  <si>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</si>
  <si>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</si>
  <si>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</si>
  <si>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</si>
  <si>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</si>
  <si>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</si>
  <si>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</si>
  <si>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</si>
  <si>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</si>
  <si>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</si>
  <si>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</si>
  <si>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</si>
  <si>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</si>
  <si>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</si>
  <si>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</si>
  <si>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</si>
  <si>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</si>
  <si>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</si>
  <si>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</si>
  <si>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</si>
  <si>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</si>
  <si>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</si>
  <si>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</si>
  <si>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</si>
  <si>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</si>
  <si>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</si>
  <si>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</si>
  <si>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</si>
  <si>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</si>
  <si>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</si>
  <si>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</si>
  <si>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</si>
  <si>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</si>
  <si>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</si>
  <si>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</si>
  <si>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</si>
  <si>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</si>
  <si>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</si>
  <si>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</si>
  <si>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</si>
  <si>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</si>
  <si>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</si>
  <si>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</si>
  <si>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</si>
  <si>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</si>
  <si>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</si>
  <si>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</si>
  <si>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</si>
  <si>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</si>
  <si>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</si>
  <si>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</si>
  <si>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</si>
  <si>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</si>
  <si>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</si>
  <si>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</si>
  <si>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</si>
  <si>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</si>
  <si>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</si>
  <si>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</si>
  <si>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</si>
  <si>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</si>
  <si>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</si>
  <si>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</si>
  <si>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</si>
  <si>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</si>
  <si>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</si>
  <si>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</si>
  <si>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</si>
  <si>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</si>
  <si>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</si>
  <si>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</si>
  <si>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</si>
  <si>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</si>
  <si>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</si>
  <si>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</si>
  <si>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</si>
  <si>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</si>
  <si>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</si>
  <si>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</si>
  <si>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</si>
  <si>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</si>
  <si>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</si>
  <si>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</si>
  <si>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</si>
  <si>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</si>
  <si>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</si>
  <si>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</si>
  <si>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</si>
  <si>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</si>
  <si>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</si>
  <si>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</si>
  <si>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</si>
  <si>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</si>
  <si>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</si>
  <si>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</si>
  <si>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</si>
  <si>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</si>
  <si>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</si>
  <si>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</si>
  <si>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</si>
  <si>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</si>
  <si>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</si>
  <si>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</si>
  <si>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</si>
  <si>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</si>
  <si>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</si>
  <si>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</si>
  <si>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</si>
  <si>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</si>
  <si>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</si>
  <si>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</si>
  <si>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</si>
  <si>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</si>
  <si>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</si>
  <si>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</si>
  <si>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</si>
  <si>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</si>
  <si>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</si>
  <si>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</si>
  <si>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</si>
  <si>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</si>
  <si>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</si>
  <si>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</si>
  <si>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</si>
  <si>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</si>
  <si>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</si>
  <si>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</si>
  <si>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</si>
  <si>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</si>
  <si>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</si>
  <si>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</si>
  <si>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</si>
  <si>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</si>
  <si>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</si>
  <si>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</si>
  <si>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</si>
  <si>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</si>
  <si>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</si>
  <si>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</si>
  <si>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</si>
  <si>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</si>
  <si>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</si>
  <si>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</si>
  <si>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</si>
  <si>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</si>
  <si>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</si>
  <si>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</si>
  <si>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</si>
  <si>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</si>
  <si>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</si>
  <si>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</si>
  <si>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</si>
  <si>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</si>
  <si>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</si>
  <si>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</si>
  <si>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</si>
  <si>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</si>
  <si>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</si>
  <si>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</si>
  <si>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</si>
  <si>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</si>
  <si>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</si>
  <si>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</si>
  <si>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</si>
  <si>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</si>
  <si>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</si>
  <si>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</si>
  <si>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</si>
  <si>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</si>
  <si>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</si>
  <si>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</si>
  <si>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</si>
  <si>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</si>
  <si>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</si>
  <si>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</si>
  <si>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</si>
  <si>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</si>
  <si>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</si>
  <si>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</si>
  <si>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</si>
  <si>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</si>
  <si>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</si>
  <si>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</si>
  <si>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</si>
  <si>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</si>
  <si>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</si>
  <si>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</si>
  <si>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</si>
  <si>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</si>
  <si>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</si>
  <si>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</si>
  <si>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</si>
  <si>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</si>
  <si>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</si>
  <si>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</si>
  <si>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</si>
  <si>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</si>
  <si>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</si>
  <si>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</si>
  <si>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</si>
  <si>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</si>
  <si>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</si>
  <si>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</si>
  <si>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</si>
  <si>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</si>
  <si>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</si>
  <si>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</si>
  <si>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</si>
  <si>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</si>
  <si>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</si>
  <si>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</si>
  <si>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</si>
  <si>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</si>
  <si>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</si>
  <si>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</si>
  <si>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</si>
  <si>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</si>
  <si>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</si>
  <si>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</si>
  <si>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</si>
  <si>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</si>
  <si>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</si>
  <si>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</si>
  <si>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</si>
  <si>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</si>
  <si>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</si>
  <si>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</si>
  <si>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</si>
  <si>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</si>
  <si>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</si>
  <si>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</si>
  <si>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</si>
  <si>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</si>
  <si>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</si>
  <si>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</si>
  <si>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</si>
  <si>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</si>
  <si>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</si>
  <si>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</si>
  <si>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</si>
  <si>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</si>
  <si>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</si>
  <si>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</si>
  <si>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</si>
  <si>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</si>
  <si>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</si>
  <si>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</si>
  <si>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</si>
  <si>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</si>
  <si>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</si>
  <si>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</si>
  <si>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</si>
  <si>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</si>
  <si>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</si>
  <si>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</si>
  <si>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</si>
  <si>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</si>
  <si>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</si>
  <si>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</si>
  <si>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</si>
  <si>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</si>
  <si>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</si>
  <si>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</si>
  <si>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</si>
  <si>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Whiteside</t>
  </si>
  <si>
    <t>520 Fifth Avenue</t>
  </si>
  <si>
    <t>Erie</t>
  </si>
  <si>
    <t>309-659-2239</t>
  </si>
  <si>
    <t>309-659-2230</t>
  </si>
  <si>
    <t>Russell J. Rumbold II, CPA</t>
  </si>
  <si>
    <t>rrumbold@gorenzcpa.com</t>
  </si>
  <si>
    <t>Refunding Bonds</t>
  </si>
  <si>
    <t>2017-001</t>
  </si>
  <si>
    <t>2017-002</t>
  </si>
  <si>
    <t>Lacks expertise to prepare financial statements</t>
  </si>
  <si>
    <t>Lack of Segregation of Duties</t>
  </si>
  <si>
    <t>x</t>
  </si>
  <si>
    <t>Black Hawk College - Dual Credit Program</t>
  </si>
  <si>
    <t>Bi-County Special Ed Cooperative</t>
  </si>
  <si>
    <t>Whiteside ROE (paper bid)</t>
  </si>
  <si>
    <t>Whiteside Area Career Center</t>
  </si>
  <si>
    <t>Prophetstown (shared sports)</t>
  </si>
  <si>
    <t>Riverdale, Fulton, Morrison, Prophetstown, West Carroll, Eastland, Annawan, Sherrard</t>
  </si>
  <si>
    <t>Food Services - Mercer County, Wethersfield, Colona, Our Lady of Grace, Quad City Area Children's Food Program</t>
  </si>
  <si>
    <t>Unresolved - See Finding 2018-001</t>
  </si>
  <si>
    <t>Unresolved - See Finding 2018-002</t>
  </si>
  <si>
    <t>The opinion is adverse due to the use of the Regulatory Basis of Accounting.</t>
  </si>
  <si>
    <t>In accordance with prescribed definitions in AU-C 265, it is a strong indication of a material weakness in internal control if an entity lacks sufficient controls over the period-end financial reporting process.  The standard provides guidance regarding the extent to which the auditor may be involved in drafting an entity's financial statements.</t>
  </si>
  <si>
    <t>The District prepares interim financial reports using software specifically designed for school district financial reporting.  These interim reports are reviewed and approved by the District's Board of Education.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</si>
  <si>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</si>
  <si>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</si>
  <si>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 relate to full disclosure financial reporting.  Preparation of full disclosure year end financial statements is not an assigned function for District accounting staff.</t>
  </si>
  <si>
    <t>The District should review the additional cost is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</si>
  <si>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also accepted the additional risk associated with the auditor drafting the year-end financial statements including the notes to the financial statements. Management will review, approve and take responsibility for the financial statements.</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</si>
  <si>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</si>
  <si>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</si>
  <si>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two individuals.</t>
  </si>
  <si>
    <t>Certain individuals have the ability to complete and record accounting functions which ideally would be segregated.</t>
  </si>
  <si>
    <t>The Board of Education has determined that two individuals is sufficient to preform the required duties.</t>
  </si>
  <si>
    <t>The Board should take steps it considers necessary to limit the risks that a lack of segregation of duties presents; such as but not limited to hiring additional staff.</t>
  </si>
  <si>
    <t>The District will take the auditor's recommendation under consideration.</t>
  </si>
  <si>
    <t>066-005027</t>
  </si>
  <si>
    <t>Part C - #20 - See Findings 2018-001 &amp; 2018-002</t>
  </si>
  <si>
    <t>Cebt Certificates</t>
  </si>
  <si>
    <t>Debt Certificates</t>
  </si>
  <si>
    <t xml:space="preserve">Page 24 - Line 22 - Issuance of Debt Certificates                                 </t>
  </si>
  <si>
    <t xml:space="preserve">Page 10 - Line 74 - Hot Lunch Sales                                       </t>
  </si>
  <si>
    <t xml:space="preserve">Page 10 - Line 91 - Sale of Industrial Art Supplies                                        </t>
  </si>
  <si>
    <t xml:space="preserve">Page 11 - Line 107 - Ed Fund - Health Insurance, Revolving Fund Reimbursements, Activity Fund Reimbursements                          </t>
  </si>
  <si>
    <t xml:space="preserve">Page 11 - Line 107 - O&amp;M Fund - Building Rental, Insurance Proceeds                                         </t>
  </si>
  <si>
    <t xml:space="preserve">Page 12 - Line 171 - Library Grant                                                      </t>
  </si>
  <si>
    <t xml:space="preserve">Page 15 - Line 41 - Crossing Guard salaries, PE Supplies, Yearbooks, Resale items                                   </t>
  </si>
  <si>
    <t xml:space="preserve">Page 18 - Line 171 - Bank Charges                                      </t>
  </si>
  <si>
    <t xml:space="preserve">Page 19 - Line 237 - Crossing Guard employer paid benefits                                     </t>
  </si>
  <si>
    <t>None</t>
  </si>
  <si>
    <t xml:space="preserve">Pg 29, Line 80 "PLEASE ENTER CONTRACTS PAID IN THE CURRENT YEAR"                                               </t>
  </si>
  <si>
    <t xml:space="preserve">For the current fiscal year under audit, the district did not have any qualifying contracts                                          </t>
  </si>
  <si>
    <t xml:space="preserve">exceeding the $25,000 limit.                                  </t>
  </si>
  <si>
    <t>mfelesena@ecusd.info</t>
  </si>
  <si>
    <t>Marty Felesena</t>
  </si>
  <si>
    <t>see embedded PDF version</t>
  </si>
  <si>
    <t>Erie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</si>
</sst>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99" fillId="0" borderId="105" xfId="18" applyFont="1" applyBorder="1" applyAlignment="1" applyProtection="1">
      <alignment wrapText="1"/>
      <protection locked="0"/>
    </xf>
    <xf numFmtId="179" fontId="56" fillId="0" borderId="0" xfId="3" applyNumberFormat="1" applyFont="1" applyBorder="1" applyAlignment="1" applyProtection="1">
      <alignment horizontal="center"/>
      <protection locked="0"/>
    </xf>
    <xf numFmtId="0" fontId="56" fillId="0" borderId="0" xfId="3" applyFont="1" applyBorder="1" applyAlignment="1" applyProtection="1">
      <alignment horizontal="center"/>
      <protection locked="0"/>
    </xf>
    <xf numFmtId="0" fontId="53" fillId="0" borderId="0" xfId="3" applyFont="1" applyAlignment="1" applyProtection="1">
      <alignment horizontal="center" vertical="center"/>
    </xf>
    <xf numFmtId="0" fontId="99" fillId="0" borderId="0" xfId="18" applyFont="1" applyAlignment="1"/>
    <xf numFmtId="0" fontId="102" fillId="0" borderId="0" xfId="18" applyFont="1" applyAlignment="1"/>
    <xf numFmtId="0" fontId="1" fillId="0" borderId="158"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2" fillId="0" borderId="96" xfId="18" applyFont="1" applyBorder="1" applyAlignment="1" applyProtection="1">
      <alignment vertical="top"/>
      <protection locked="0"/>
    </xf>
    <xf numFmtId="0" fontId="3" fillId="0" borderId="0" xfId="18" applyFont="1" applyBorder="1" applyAlignment="1" applyProtection="1">
      <alignment vertical="top"/>
      <protection locked="0"/>
    </xf>
    <xf numFmtId="0" fontId="3" fillId="0" borderId="97" xfId="18" applyFont="1" applyBorder="1" applyAlignment="1" applyProtection="1">
      <alignment vertical="top"/>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77" fillId="0" borderId="96" xfId="18" applyFont="1" applyBorder="1" applyAlignment="1" applyProtection="1">
      <alignment vertical="top"/>
      <protection locked="0"/>
    </xf>
    <xf numFmtId="0" fontId="77" fillId="0" borderId="0" xfId="18" applyFont="1" applyBorder="1" applyAlignment="1" applyProtection="1">
      <alignment vertical="top"/>
      <protection locked="0"/>
    </xf>
    <xf numFmtId="0" fontId="77" fillId="0" borderId="97" xfId="18" applyFont="1" applyBorder="1" applyAlignment="1" applyProtection="1">
      <alignment vertical="top"/>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CF3590C-B506-465F-A28D-A717FA2445C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EF077661-D70B-4C50-888D-FCE10EC5854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3" t="s">
        <v>425</v>
      </c>
      <c r="J1" s="2004"/>
      <c r="K1" s="2004"/>
      <c r="L1" s="2004"/>
      <c r="M1" s="2004"/>
      <c r="N1" s="2004"/>
      <c r="O1" s="2004"/>
      <c r="P1" s="2004"/>
      <c r="Q1" s="2004"/>
      <c r="R1" s="2004"/>
      <c r="S1" s="2004"/>
    </row>
    <row r="2" spans="1:28" ht="12" customHeight="1" x14ac:dyDescent="0.2">
      <c r="A2" s="47" t="s">
        <v>1684</v>
      </c>
      <c r="D2" s="48"/>
      <c r="I2" s="2005" t="s">
        <v>1036</v>
      </c>
      <c r="J2" s="2004"/>
      <c r="K2" s="2004"/>
      <c r="L2" s="2004"/>
      <c r="M2" s="2004"/>
      <c r="N2" s="2004"/>
      <c r="O2" s="2004"/>
      <c r="P2" s="2004"/>
      <c r="Q2" s="2004"/>
      <c r="R2" s="2004"/>
      <c r="S2" s="2004"/>
    </row>
    <row r="3" spans="1:28" ht="12" customHeight="1" x14ac:dyDescent="0.2">
      <c r="A3" s="155" t="s">
        <v>1685</v>
      </c>
      <c r="B3" s="156"/>
      <c r="C3" s="156"/>
      <c r="D3" s="157"/>
      <c r="I3" s="2005" t="s">
        <v>54</v>
      </c>
      <c r="J3" s="2004"/>
      <c r="K3" s="2004"/>
      <c r="L3" s="2004"/>
      <c r="M3" s="2004"/>
      <c r="N3" s="2004"/>
      <c r="O3" s="2004"/>
      <c r="P3" s="2004"/>
      <c r="Q3" s="2004"/>
      <c r="R3" s="2004"/>
      <c r="S3" s="2004"/>
    </row>
    <row r="4" spans="1:28" ht="12" customHeight="1" x14ac:dyDescent="0.2">
      <c r="A4" s="37"/>
      <c r="I4" s="2005" t="s">
        <v>545</v>
      </c>
      <c r="J4" s="2004"/>
      <c r="K4" s="2004"/>
      <c r="L4" s="2004"/>
      <c r="M4" s="2004"/>
      <c r="N4" s="2004"/>
      <c r="O4" s="2004"/>
      <c r="P4" s="2004"/>
      <c r="Q4" s="2004"/>
      <c r="R4" s="2004"/>
      <c r="S4" s="2004"/>
    </row>
    <row r="5" spans="1:28" ht="14.1" customHeight="1" x14ac:dyDescent="0.2">
      <c r="B5" s="104" t="s">
        <v>2077</v>
      </c>
      <c r="C5" s="26" t="s">
        <v>966</v>
      </c>
      <c r="D5" s="84"/>
      <c r="E5" s="84"/>
      <c r="H5" s="38"/>
      <c r="I5" s="2013" t="s">
        <v>701</v>
      </c>
      <c r="J5" s="2012"/>
      <c r="K5" s="2012"/>
      <c r="L5" s="2012"/>
      <c r="M5" s="2012"/>
      <c r="N5" s="2012"/>
      <c r="O5" s="2012"/>
      <c r="P5" s="2012"/>
      <c r="Q5" s="2012"/>
      <c r="R5" s="2012"/>
      <c r="S5" s="2012"/>
    </row>
    <row r="6" spans="1:28" ht="14.1" customHeight="1" x14ac:dyDescent="0.2">
      <c r="B6" s="104"/>
      <c r="C6" s="26" t="s">
        <v>967</v>
      </c>
      <c r="D6" s="84"/>
      <c r="E6" s="84"/>
      <c r="I6" s="2011" t="s">
        <v>938</v>
      </c>
      <c r="J6" s="2012"/>
      <c r="K6" s="2012"/>
      <c r="L6" s="2012"/>
      <c r="M6" s="2012"/>
      <c r="N6" s="2012"/>
      <c r="O6" s="2012"/>
      <c r="P6" s="2012"/>
      <c r="Q6" s="2012"/>
      <c r="R6" s="2012"/>
      <c r="S6" s="2012"/>
    </row>
    <row r="7" spans="1:28" ht="12.2" customHeight="1" x14ac:dyDescent="0.2">
      <c r="I7" s="2006">
        <v>43281</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695</v>
      </c>
      <c r="J9" s="2009"/>
      <c r="K9" s="2009"/>
      <c r="L9" s="2009"/>
      <c r="M9" s="2009"/>
      <c r="N9" s="2009"/>
      <c r="O9" s="2009"/>
      <c r="P9" s="2009"/>
      <c r="Q9" s="2009"/>
      <c r="R9" s="2009"/>
      <c r="S9" s="2010"/>
      <c r="T9" s="2024" t="s">
        <v>554</v>
      </c>
      <c r="U9" s="2025"/>
      <c r="V9" s="2025"/>
      <c r="W9" s="2025"/>
      <c r="X9" s="2025"/>
      <c r="Y9" s="2025"/>
      <c r="Z9" s="2025"/>
      <c r="AA9" s="2026"/>
    </row>
    <row r="10" spans="1:28" ht="13.5" customHeight="1" x14ac:dyDescent="0.2">
      <c r="A10" s="2031" t="s">
        <v>696</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1012</v>
      </c>
      <c r="B11" s="2035"/>
      <c r="C11" s="2035"/>
      <c r="D11" s="2035"/>
      <c r="E11" s="2035"/>
      <c r="F11" s="2035"/>
      <c r="G11" s="2035"/>
      <c r="H11" s="2036"/>
      <c r="I11" s="27"/>
      <c r="J11" s="74"/>
      <c r="K11" s="27"/>
      <c r="O11" s="148" t="s">
        <v>2077</v>
      </c>
      <c r="P11" s="100" t="s">
        <v>210</v>
      </c>
      <c r="Q11" s="30"/>
      <c r="R11" s="28"/>
      <c r="S11" s="27"/>
      <c r="T11" s="2028"/>
      <c r="U11" s="2029"/>
      <c r="V11" s="2029"/>
      <c r="W11" s="2029"/>
      <c r="X11" s="2029"/>
      <c r="Y11" s="2029"/>
      <c r="Z11" s="2029"/>
      <c r="AA11" s="203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8">
        <v>47098001026</v>
      </c>
      <c r="B13" s="2039"/>
      <c r="C13" s="2039"/>
      <c r="D13" s="2039"/>
      <c r="E13" s="2039"/>
      <c r="F13" s="2039"/>
      <c r="G13" s="2039"/>
      <c r="H13" s="2040"/>
      <c r="I13" s="31"/>
      <c r="J13" s="30"/>
      <c r="K13" s="28"/>
      <c r="L13" s="30"/>
      <c r="M13" s="30"/>
      <c r="N13" s="30"/>
      <c r="O13" s="30"/>
      <c r="P13" s="30"/>
      <c r="Q13" s="30"/>
      <c r="R13" s="30"/>
      <c r="S13" s="30"/>
      <c r="T13" s="2043" t="s">
        <v>2078</v>
      </c>
      <c r="U13" s="2044"/>
      <c r="V13" s="2044"/>
      <c r="W13" s="2044"/>
      <c r="X13" s="2044"/>
      <c r="Y13" s="2045"/>
      <c r="Z13" s="2045"/>
      <c r="AA13" s="204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7" t="s">
        <v>2086</v>
      </c>
      <c r="B15" s="2041"/>
      <c r="C15" s="2041"/>
      <c r="D15" s="2041"/>
      <c r="E15" s="2041"/>
      <c r="F15" s="2041"/>
      <c r="G15" s="2041"/>
      <c r="H15" s="2042"/>
      <c r="T15" s="2047" t="s">
        <v>2091</v>
      </c>
      <c r="U15" s="1991"/>
      <c r="V15" s="1991"/>
      <c r="W15" s="1991"/>
      <c r="X15" s="1991"/>
      <c r="Y15" s="2048"/>
      <c r="Z15" s="2048"/>
      <c r="AA15" s="204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7" t="s">
        <v>2143</v>
      </c>
      <c r="B17" s="1998"/>
      <c r="C17" s="1998"/>
      <c r="D17" s="1998"/>
      <c r="E17" s="1998"/>
      <c r="F17" s="1998"/>
      <c r="G17" s="1998"/>
      <c r="H17" s="2023"/>
      <c r="T17" s="2054" t="s">
        <v>2079</v>
      </c>
      <c r="U17" s="2055"/>
      <c r="V17" s="2055"/>
      <c r="W17" s="2055"/>
      <c r="X17" s="2055"/>
      <c r="Y17" s="2055"/>
      <c r="Z17" s="2055"/>
      <c r="AA17" s="2056"/>
    </row>
    <row r="18" spans="1:27" ht="13.5" customHeight="1" x14ac:dyDescent="0.2">
      <c r="A18" s="85" t="s">
        <v>551</v>
      </c>
      <c r="B18" s="76"/>
      <c r="C18" s="72"/>
      <c r="D18" s="76"/>
      <c r="E18" s="76"/>
      <c r="F18" s="76"/>
      <c r="G18" s="76"/>
      <c r="H18" s="56"/>
      <c r="I18" s="2022" t="s">
        <v>697</v>
      </c>
      <c r="J18" s="1973"/>
      <c r="K18" s="1973"/>
      <c r="L18" s="1973"/>
      <c r="M18" s="1973"/>
      <c r="N18" s="1973"/>
      <c r="O18" s="1973"/>
      <c r="P18" s="1973"/>
      <c r="Q18" s="1973"/>
      <c r="R18" s="1973"/>
      <c r="S18" s="1974"/>
      <c r="T18" s="85" t="s">
        <v>735</v>
      </c>
      <c r="U18" s="51"/>
      <c r="V18" s="72"/>
      <c r="W18" s="50"/>
      <c r="X18" s="85" t="s">
        <v>284</v>
      </c>
      <c r="Y18" s="81"/>
      <c r="Z18" s="159" t="s">
        <v>698</v>
      </c>
      <c r="AA18" s="46"/>
    </row>
    <row r="19" spans="1:27" ht="13.5" customHeight="1" x14ac:dyDescent="0.2">
      <c r="A19" s="2037" t="s">
        <v>2087</v>
      </c>
      <c r="B19" s="1983"/>
      <c r="C19" s="1983"/>
      <c r="D19" s="1983"/>
      <c r="E19" s="1983"/>
      <c r="F19" s="1983"/>
      <c r="G19" s="1983"/>
      <c r="H19" s="1963"/>
      <c r="I19" s="30"/>
      <c r="J19" s="99"/>
      <c r="K19" s="40"/>
      <c r="L19" s="38"/>
      <c r="M19" s="112" t="s">
        <v>333</v>
      </c>
      <c r="P19" s="27"/>
      <c r="Q19" s="27"/>
      <c r="R19" s="27"/>
      <c r="S19" s="31"/>
      <c r="T19" s="2037" t="s">
        <v>2080</v>
      </c>
      <c r="U19" s="1962"/>
      <c r="V19" s="1962"/>
      <c r="W19" s="1963"/>
      <c r="X19" s="2052" t="s">
        <v>2081</v>
      </c>
      <c r="Y19" s="2053"/>
      <c r="Z19" s="2050">
        <v>61614</v>
      </c>
      <c r="AA19" s="205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1" t="s">
        <v>2088</v>
      </c>
      <c r="B21" s="1962"/>
      <c r="C21" s="1962"/>
      <c r="D21" s="1962"/>
      <c r="E21" s="1962"/>
      <c r="F21" s="1962"/>
      <c r="G21" s="1962"/>
      <c r="H21" s="1963"/>
      <c r="I21" s="2017" t="s">
        <v>699</v>
      </c>
      <c r="J21" s="2012"/>
      <c r="K21" s="2012"/>
      <c r="L21" s="2012"/>
      <c r="M21" s="2012"/>
      <c r="N21" s="2012"/>
      <c r="O21" s="2012"/>
      <c r="P21" s="2012"/>
      <c r="Q21" s="2012"/>
      <c r="R21" s="2012"/>
      <c r="S21" s="2018"/>
      <c r="T21" s="2061" t="s">
        <v>2082</v>
      </c>
      <c r="U21" s="2062"/>
      <c r="V21" s="2062"/>
      <c r="W21" s="2062"/>
      <c r="X21" s="2067" t="s">
        <v>2083</v>
      </c>
      <c r="Y21" s="2068"/>
      <c r="Z21" s="2068"/>
      <c r="AA21" s="2069"/>
    </row>
    <row r="22" spans="1:27" ht="13.5" customHeight="1" x14ac:dyDescent="0.2">
      <c r="A22" s="87" t="s">
        <v>552</v>
      </c>
      <c r="B22" s="59"/>
      <c r="C22" s="59"/>
      <c r="D22" s="59"/>
      <c r="E22" s="59"/>
      <c r="F22" s="59"/>
      <c r="G22" s="59"/>
      <c r="H22" s="60"/>
      <c r="I22" s="2019" t="s">
        <v>1504</v>
      </c>
      <c r="J22" s="2020"/>
      <c r="K22" s="2020"/>
      <c r="L22" s="2020"/>
      <c r="M22" s="2020"/>
      <c r="N22" s="2020"/>
      <c r="O22" s="2020"/>
      <c r="P22" s="2020"/>
      <c r="Q22" s="2020"/>
      <c r="R22" s="2020"/>
      <c r="S22" s="2021"/>
      <c r="T22" s="85" t="s">
        <v>1596</v>
      </c>
      <c r="U22" s="51"/>
      <c r="V22" s="72"/>
      <c r="W22" s="51"/>
      <c r="X22" s="160" t="s">
        <v>1385</v>
      </c>
      <c r="Z22" s="45"/>
      <c r="AA22" s="46"/>
    </row>
    <row r="23" spans="1:27" ht="13.5" customHeight="1" x14ac:dyDescent="0.2">
      <c r="A23" s="2014" t="s">
        <v>2140</v>
      </c>
      <c r="B23" s="2015"/>
      <c r="C23" s="2015"/>
      <c r="D23" s="2015"/>
      <c r="E23" s="2015"/>
      <c r="F23" s="2015"/>
      <c r="G23" s="2015"/>
      <c r="H23" s="2016"/>
      <c r="T23" s="1997" t="s">
        <v>2123</v>
      </c>
      <c r="U23" s="2060"/>
      <c r="V23" s="2060"/>
      <c r="W23" s="2060"/>
      <c r="X23" s="2064">
        <v>44530</v>
      </c>
      <c r="Y23" s="2065"/>
      <c r="Z23" s="2065"/>
      <c r="AA23" s="2066"/>
    </row>
    <row r="24" spans="1:27" ht="14.1" customHeight="1" x14ac:dyDescent="0.2">
      <c r="A24" s="88" t="s">
        <v>698</v>
      </c>
      <c r="B24" s="49"/>
      <c r="C24" s="49"/>
      <c r="D24" s="49"/>
      <c r="E24" s="49"/>
      <c r="F24" s="49"/>
      <c r="G24" s="49"/>
      <c r="H24" s="61"/>
      <c r="J24" s="1984">
        <f>IF(B5="x",IF(AUDITCHECK!D29="AFR form Incomplete.","",IF(AUDITCHECK!D29="Deficit reduction plan is required.","School District must complete a deficit reduction plan in the 2018-2019 Budget",)),"")</f>
        <v>0</v>
      </c>
      <c r="K24" s="1984"/>
      <c r="L24" s="1984"/>
      <c r="M24" s="1984"/>
      <c r="N24" s="1984"/>
      <c r="O24" s="1984"/>
      <c r="P24" s="1984"/>
      <c r="Q24" s="1984"/>
      <c r="R24" s="1984"/>
      <c r="S24" s="1985"/>
      <c r="T24" s="105" t="s">
        <v>552</v>
      </c>
      <c r="U24" s="106"/>
      <c r="V24" s="106"/>
      <c r="W24" s="106"/>
      <c r="X24" s="107"/>
      <c r="Y24" s="107"/>
      <c r="Z24" s="107"/>
      <c r="AA24" s="108"/>
    </row>
    <row r="25" spans="1:27" ht="14.1" customHeight="1" x14ac:dyDescent="0.2">
      <c r="A25" s="1961">
        <v>61250</v>
      </c>
      <c r="B25" s="1962"/>
      <c r="C25" s="1962"/>
      <c r="D25" s="1962"/>
      <c r="E25" s="1962"/>
      <c r="F25" s="1962"/>
      <c r="G25" s="1962"/>
      <c r="H25" s="1963"/>
      <c r="I25" s="113"/>
      <c r="J25" s="1986"/>
      <c r="K25" s="1986"/>
      <c r="L25" s="1986"/>
      <c r="M25" s="1986"/>
      <c r="N25" s="1986"/>
      <c r="O25" s="1986"/>
      <c r="P25" s="1986"/>
      <c r="Q25" s="1986"/>
      <c r="R25" s="1986"/>
      <c r="S25" s="1987"/>
      <c r="T25" s="2057" t="s">
        <v>2092</v>
      </c>
      <c r="U25" s="2058"/>
      <c r="V25" s="2058"/>
      <c r="W25" s="2058"/>
      <c r="X25" s="2058"/>
      <c r="Y25" s="2058"/>
      <c r="Z25" s="2058"/>
      <c r="AA25" s="20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2" t="s">
        <v>1591</v>
      </c>
      <c r="J27" s="1973"/>
      <c r="K27" s="1973"/>
      <c r="L27" s="1973"/>
      <c r="M27" s="1973"/>
      <c r="N27" s="1973"/>
      <c r="O27" s="1973"/>
      <c r="P27" s="1973"/>
      <c r="Q27" s="1973"/>
      <c r="R27" s="1973"/>
      <c r="S27" s="197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3"/>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7" t="s">
        <v>2141</v>
      </c>
      <c r="B38" s="1998"/>
      <c r="C38" s="1998"/>
      <c r="D38" s="1998"/>
      <c r="E38" s="1998"/>
      <c r="F38" s="1962"/>
      <c r="G38" s="1962"/>
      <c r="H38" s="1963"/>
      <c r="I38" s="1990"/>
      <c r="J38" s="1991"/>
      <c r="K38" s="1991"/>
      <c r="L38" s="1991"/>
      <c r="M38" s="1991"/>
      <c r="N38" s="1991"/>
      <c r="O38" s="1991"/>
      <c r="P38" s="1992"/>
      <c r="Q38" s="1992"/>
      <c r="R38" s="1992"/>
      <c r="S38" s="1993"/>
      <c r="T38" s="2047"/>
      <c r="U38" s="1991"/>
      <c r="V38" s="1991"/>
      <c r="W38" s="1991"/>
      <c r="X38" s="1992"/>
      <c r="Y38" s="1992"/>
      <c r="Z38" s="1992"/>
      <c r="AA38" s="1993"/>
    </row>
    <row r="39" spans="1:27" ht="12" customHeight="1" x14ac:dyDescent="0.2">
      <c r="A39" s="1967" t="s">
        <v>552</v>
      </c>
      <c r="B39" s="1968"/>
      <c r="C39" s="72"/>
      <c r="D39" s="69"/>
      <c r="E39" s="69"/>
      <c r="F39" s="79"/>
      <c r="G39" s="69"/>
      <c r="H39" s="56"/>
      <c r="I39" s="1967" t="s">
        <v>552</v>
      </c>
      <c r="J39" s="1968"/>
      <c r="K39" s="1968"/>
      <c r="L39" s="1968"/>
      <c r="M39" s="1968"/>
      <c r="N39" s="67"/>
      <c r="O39" s="72"/>
      <c r="P39" s="72"/>
      <c r="Q39" s="78"/>
      <c r="R39" s="72"/>
      <c r="S39" s="56"/>
      <c r="T39" s="72" t="s">
        <v>552</v>
      </c>
      <c r="U39" s="51"/>
      <c r="V39" s="72"/>
      <c r="W39" s="50"/>
      <c r="X39" s="78"/>
      <c r="Y39" s="45"/>
      <c r="Z39" s="45"/>
      <c r="AA39" s="46"/>
    </row>
    <row r="40" spans="1:27" ht="13.5" customHeight="1" x14ac:dyDescent="0.2">
      <c r="A40" s="1975" t="s">
        <v>2140</v>
      </c>
      <c r="B40" s="1976"/>
      <c r="C40" s="1977"/>
      <c r="D40" s="1977"/>
      <c r="E40" s="1977"/>
      <c r="F40" s="1978"/>
      <c r="G40" s="1978"/>
      <c r="H40" s="1979"/>
      <c r="I40" s="2000"/>
      <c r="J40" s="2001"/>
      <c r="K40" s="2001"/>
      <c r="L40" s="2001"/>
      <c r="M40" s="2001"/>
      <c r="N40" s="2001"/>
      <c r="O40" s="2001"/>
      <c r="P40" s="2001"/>
      <c r="Q40" s="2001"/>
      <c r="R40" s="2001"/>
      <c r="S40" s="2002"/>
      <c r="T40" s="2000"/>
      <c r="U40" s="2063"/>
      <c r="V40" s="2001"/>
      <c r="W40" s="2001"/>
      <c r="X40" s="2001"/>
      <c r="Y40" s="2001"/>
      <c r="Z40" s="2001"/>
      <c r="AA40" s="200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9" t="s">
        <v>2089</v>
      </c>
      <c r="B42" s="1981"/>
      <c r="C42" s="1982"/>
      <c r="D42" s="1980" t="s">
        <v>2090</v>
      </c>
      <c r="E42" s="1981"/>
      <c r="F42" s="1981"/>
      <c r="G42" s="1981"/>
      <c r="H42" s="1982"/>
      <c r="I42" s="1964"/>
      <c r="J42" s="1965"/>
      <c r="K42" s="1965"/>
      <c r="L42" s="1965"/>
      <c r="M42" s="1965"/>
      <c r="N42" s="1965"/>
      <c r="O42" s="1966"/>
      <c r="P42" s="1999"/>
      <c r="Q42" s="1965"/>
      <c r="R42" s="1965"/>
      <c r="S42" s="1966"/>
      <c r="T42" s="1964"/>
      <c r="U42" s="1965"/>
      <c r="V42" s="1965"/>
      <c r="W42" s="1966"/>
      <c r="X42" s="1999"/>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3" t="s">
        <v>1905</v>
      </c>
      <c r="B2" s="1548" t="s">
        <v>2037</v>
      </c>
      <c r="C2" s="713" t="s">
        <v>1910</v>
      </c>
      <c r="D2" s="713" t="s">
        <v>1911</v>
      </c>
      <c r="E2" s="713" t="s">
        <v>1912</v>
      </c>
      <c r="F2" s="713" t="s">
        <v>1913</v>
      </c>
    </row>
    <row r="3" spans="1:6" ht="12" customHeight="1" x14ac:dyDescent="0.2">
      <c r="A3" s="2204"/>
      <c r="B3" s="1545"/>
      <c r="C3" s="1546"/>
      <c r="D3" s="1547" t="s">
        <v>274</v>
      </c>
      <c r="E3" s="1546"/>
      <c r="F3" s="1547" t="s">
        <v>275</v>
      </c>
    </row>
    <row r="4" spans="1:6" ht="13.7" customHeight="1" x14ac:dyDescent="0.2">
      <c r="A4" s="714" t="s">
        <v>1217</v>
      </c>
      <c r="B4" s="1769">
        <f>'Revenues 9-14'!C5</f>
        <v>8901112</v>
      </c>
      <c r="C4" s="1544">
        <v>6424245</v>
      </c>
      <c r="D4" s="1772">
        <f>B4-C4</f>
        <v>2476867</v>
      </c>
      <c r="E4" s="1544">
        <v>7397676</v>
      </c>
      <c r="F4" s="1772">
        <f>E4-C4</f>
        <v>973431</v>
      </c>
    </row>
    <row r="5" spans="1:6" ht="13.7" customHeight="1" x14ac:dyDescent="0.2">
      <c r="A5" s="714" t="s">
        <v>925</v>
      </c>
      <c r="B5" s="1770">
        <f>'Revenues 9-14'!D5</f>
        <v>2139900</v>
      </c>
      <c r="C5" s="583">
        <v>1606061</v>
      </c>
      <c r="D5" s="1773">
        <f t="shared" ref="D5:D18" si="0">B5-C5</f>
        <v>533839</v>
      </c>
      <c r="E5" s="583">
        <v>1849419</v>
      </c>
      <c r="F5" s="1773">
        <f>E5-C5</f>
        <v>243358</v>
      </c>
    </row>
    <row r="6" spans="1:6" ht="13.7" customHeight="1" x14ac:dyDescent="0.2">
      <c r="A6" s="714" t="s">
        <v>431</v>
      </c>
      <c r="B6" s="1770">
        <f>'Revenues 9-14'!E5</f>
        <v>0</v>
      </c>
      <c r="C6" s="583">
        <v>0</v>
      </c>
      <c r="D6" s="1773">
        <f t="shared" si="0"/>
        <v>0</v>
      </c>
      <c r="E6" s="583">
        <v>0</v>
      </c>
      <c r="F6" s="1773">
        <f t="shared" ref="F6:F18" si="1">E6-C6</f>
        <v>0</v>
      </c>
    </row>
    <row r="7" spans="1:6" ht="13.7" customHeight="1" x14ac:dyDescent="0.2">
      <c r="A7" s="714" t="s">
        <v>157</v>
      </c>
      <c r="B7" s="1770">
        <f>'Revenues 9-14'!F5</f>
        <v>837136</v>
      </c>
      <c r="C7" s="583">
        <v>589424</v>
      </c>
      <c r="D7" s="1773">
        <f t="shared" si="0"/>
        <v>247712</v>
      </c>
      <c r="E7" s="583">
        <v>678737</v>
      </c>
      <c r="F7" s="1773">
        <f t="shared" si="1"/>
        <v>89313</v>
      </c>
    </row>
    <row r="8" spans="1:6" ht="13.7" customHeight="1" x14ac:dyDescent="0.2">
      <c r="A8" s="714" t="s">
        <v>1241</v>
      </c>
      <c r="B8" s="1770">
        <f>'Revenues 9-14'!G5</f>
        <v>27566</v>
      </c>
      <c r="C8" s="583">
        <v>0</v>
      </c>
      <c r="D8" s="1773">
        <f t="shared" si="0"/>
        <v>27566</v>
      </c>
      <c r="E8" s="583">
        <v>0</v>
      </c>
      <c r="F8" s="1773">
        <f t="shared" si="1"/>
        <v>0</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222630</v>
      </c>
      <c r="C10" s="583">
        <v>160606</v>
      </c>
      <c r="D10" s="1773">
        <f t="shared" si="0"/>
        <v>62024</v>
      </c>
      <c r="E10" s="583">
        <v>184942</v>
      </c>
      <c r="F10" s="1773">
        <f t="shared" si="1"/>
        <v>24336</v>
      </c>
    </row>
    <row r="11" spans="1:6" x14ac:dyDescent="0.2">
      <c r="A11" s="714" t="s">
        <v>429</v>
      </c>
      <c r="B11" s="1770">
        <f>'Revenues 9-14'!J5</f>
        <v>27566</v>
      </c>
      <c r="C11" s="583">
        <v>0</v>
      </c>
      <c r="D11" s="1773">
        <f t="shared" si="0"/>
        <v>27566</v>
      </c>
      <c r="E11" s="583">
        <v>0</v>
      </c>
      <c r="F11" s="1773">
        <f t="shared" si="1"/>
        <v>0</v>
      </c>
    </row>
    <row r="12" spans="1:6" ht="13.7" customHeight="1" x14ac:dyDescent="0.2">
      <c r="A12" s="714" t="s">
        <v>159</v>
      </c>
      <c r="B12" s="1770">
        <f>'Revenues 9-14'!K5</f>
        <v>27566</v>
      </c>
      <c r="C12" s="583">
        <v>0</v>
      </c>
      <c r="D12" s="1773">
        <f t="shared" si="0"/>
        <v>27566</v>
      </c>
      <c r="E12" s="583">
        <v>0</v>
      </c>
      <c r="F12" s="1773">
        <f t="shared" si="1"/>
        <v>0</v>
      </c>
    </row>
    <row r="13" spans="1:6" ht="13.7" customHeight="1" x14ac:dyDescent="0.2">
      <c r="A13" s="714" t="s">
        <v>993</v>
      </c>
      <c r="B13" s="1770">
        <f>SUM('Revenues 9-14'!C6:D6)</f>
        <v>0</v>
      </c>
      <c r="C13" s="583">
        <v>0</v>
      </c>
      <c r="D13" s="1773">
        <f t="shared" si="0"/>
        <v>0</v>
      </c>
      <c r="E13" s="583">
        <v>0</v>
      </c>
      <c r="F13" s="1773">
        <f t="shared" si="1"/>
        <v>0</v>
      </c>
    </row>
    <row r="14" spans="1:6" ht="13.7" customHeight="1" x14ac:dyDescent="0.2">
      <c r="A14" s="714" t="s">
        <v>430</v>
      </c>
      <c r="B14" s="1770">
        <f>SUM('Revenues 9-14'!C7:D7,'Revenues 9-14'!F7:H7)</f>
        <v>49644</v>
      </c>
      <c r="C14" s="583">
        <v>0</v>
      </c>
      <c r="D14" s="1773">
        <f t="shared" si="0"/>
        <v>49644</v>
      </c>
      <c r="E14" s="583">
        <v>0</v>
      </c>
      <c r="F14" s="1773">
        <f t="shared" si="1"/>
        <v>0</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27566</v>
      </c>
      <c r="C16" s="583">
        <v>0</v>
      </c>
      <c r="D16" s="1773">
        <f t="shared" si="0"/>
        <v>27566</v>
      </c>
      <c r="E16" s="583">
        <v>0</v>
      </c>
      <c r="F16" s="1773">
        <f t="shared" si="1"/>
        <v>0</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12260686</v>
      </c>
      <c r="C19" s="1771">
        <f>SUM(C4:C18)</f>
        <v>8780336</v>
      </c>
      <c r="D19" s="1771">
        <f>SUM(D4:D18)</f>
        <v>3480350</v>
      </c>
      <c r="E19" s="1771">
        <f>SUM(E4:E18)</f>
        <v>10110774</v>
      </c>
      <c r="F19" s="1771">
        <f>SUM(F4:F18)</f>
        <v>1330438</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650</v>
      </c>
      <c r="B1" s="2223"/>
      <c r="C1" s="720"/>
    </row>
    <row r="2" spans="1:7" ht="33.75" x14ac:dyDescent="0.2">
      <c r="A2" s="2230" t="s">
        <v>1905</v>
      </c>
      <c r="B2" s="2231"/>
      <c r="C2" s="1907" t="s">
        <v>2038</v>
      </c>
      <c r="D2" s="722" t="s">
        <v>2045</v>
      </c>
      <c r="E2" s="722" t="s">
        <v>2046</v>
      </c>
      <c r="F2" s="1907" t="s">
        <v>2039</v>
      </c>
    </row>
    <row r="3" spans="1:7" ht="15.75" customHeight="1" x14ac:dyDescent="0.2">
      <c r="A3" s="2232" t="s">
        <v>1176</v>
      </c>
      <c r="B3" s="2233"/>
      <c r="C3" s="2226"/>
      <c r="D3" s="2227"/>
      <c r="E3" s="2227"/>
      <c r="F3" s="2228"/>
    </row>
    <row r="4" spans="1:7" ht="12.75" customHeight="1" thickBot="1" x14ac:dyDescent="0.25">
      <c r="A4" s="2220" t="s">
        <v>651</v>
      </c>
      <c r="B4" s="2221"/>
      <c r="C4" s="579"/>
      <c r="D4" s="579"/>
      <c r="E4" s="579"/>
      <c r="F4" s="1775">
        <f>SUM(C4+D4)-E4</f>
        <v>0</v>
      </c>
    </row>
    <row r="5" spans="1:7" ht="15.75" customHeight="1" thickTop="1" x14ac:dyDescent="0.2">
      <c r="A5" s="2224" t="s">
        <v>1172</v>
      </c>
      <c r="B5" s="2219"/>
      <c r="C5" s="2213"/>
      <c r="D5" s="2214"/>
      <c r="E5" s="2214"/>
      <c r="F5" s="2215"/>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6" t="s">
        <v>652</v>
      </c>
      <c r="B15" s="2217"/>
      <c r="C15" s="1775">
        <f>SUM(C6:C14)</f>
        <v>0</v>
      </c>
      <c r="D15" s="1775">
        <f>SUM(D6:D14)</f>
        <v>0</v>
      </c>
      <c r="E15" s="1775">
        <f>SUM(E6:E14)</f>
        <v>0</v>
      </c>
      <c r="F15" s="1775">
        <f>SUM(F6:F14)</f>
        <v>0</v>
      </c>
      <c r="G15" s="550"/>
    </row>
    <row r="16" spans="1:7" s="202" customFormat="1" ht="15.75" customHeight="1" thickTop="1" x14ac:dyDescent="0.2">
      <c r="A16" s="2229" t="s">
        <v>1173</v>
      </c>
      <c r="B16" s="2219"/>
      <c r="C16" s="2213"/>
      <c r="D16" s="2214"/>
      <c r="E16" s="2214"/>
      <c r="F16" s="2215"/>
    </row>
    <row r="17" spans="1:11" ht="12.75" customHeight="1" thickBot="1" x14ac:dyDescent="0.25">
      <c r="A17" s="2211" t="s">
        <v>66</v>
      </c>
      <c r="B17" s="2212"/>
      <c r="C17" s="725"/>
      <c r="D17" s="583"/>
      <c r="E17" s="725"/>
      <c r="F17" s="1775">
        <f>SUM(C17+D17)-E17</f>
        <v>0</v>
      </c>
    </row>
    <row r="18" spans="1:11" ht="12.75" customHeight="1" thickTop="1" thickBot="1" x14ac:dyDescent="0.25">
      <c r="A18" s="2211" t="s">
        <v>6</v>
      </c>
      <c r="B18" s="2212"/>
      <c r="C18" s="725"/>
      <c r="D18" s="583"/>
      <c r="E18" s="725"/>
      <c r="F18" s="1775">
        <f>SUM(C18+D18)-E18</f>
        <v>0</v>
      </c>
    </row>
    <row r="19" spans="1:11" ht="12.75" customHeight="1" thickTop="1" thickBot="1" x14ac:dyDescent="0.25">
      <c r="A19" s="2211" t="s">
        <v>406</v>
      </c>
      <c r="B19" s="2212"/>
      <c r="C19" s="725"/>
      <c r="D19" s="583"/>
      <c r="E19" s="725"/>
      <c r="F19" s="1775">
        <f>SUM(C19+D19)-E19</f>
        <v>0</v>
      </c>
    </row>
    <row r="20" spans="1:11" ht="12.75" customHeight="1" thickTop="1" thickBot="1" x14ac:dyDescent="0.25">
      <c r="A20" s="2211" t="s">
        <v>468</v>
      </c>
      <c r="B20" s="2212"/>
      <c r="C20" s="725"/>
      <c r="D20" s="583"/>
      <c r="E20" s="725"/>
      <c r="F20" s="1775">
        <f>SUM(C20+D20)-E20</f>
        <v>0</v>
      </c>
    </row>
    <row r="21" spans="1:11" ht="14.25" thickTop="1" thickBot="1" x14ac:dyDescent="0.25">
      <c r="A21" s="2216" t="s">
        <v>653</v>
      </c>
      <c r="B21" s="2217"/>
      <c r="C21" s="1775">
        <f>SUM(C17:C20)</f>
        <v>0</v>
      </c>
      <c r="D21" s="1775">
        <f>SUM(D17:D20)</f>
        <v>0</v>
      </c>
      <c r="E21" s="1775">
        <f>SUM(E17:E20)</f>
        <v>0</v>
      </c>
      <c r="F21" s="1775">
        <f>SUM(F17:F20)</f>
        <v>0</v>
      </c>
      <c r="G21" s="550"/>
    </row>
    <row r="22" spans="1:11" ht="15.75" customHeight="1" thickTop="1" x14ac:dyDescent="0.2">
      <c r="A22" s="2218" t="s">
        <v>1174</v>
      </c>
      <c r="B22" s="2219"/>
      <c r="C22" s="2213"/>
      <c r="D22" s="2214"/>
      <c r="E22" s="2214"/>
      <c r="F22" s="2215"/>
    </row>
    <row r="23" spans="1:11" ht="13.5" thickBot="1" x14ac:dyDescent="0.25">
      <c r="A23" s="2220" t="s">
        <v>654</v>
      </c>
      <c r="B23" s="2221"/>
      <c r="C23" s="579"/>
      <c r="D23" s="579"/>
      <c r="E23" s="579"/>
      <c r="F23" s="1775">
        <f>SUM(C23+D23)-E23</f>
        <v>0</v>
      </c>
      <c r="G23" s="550"/>
    </row>
    <row r="24" spans="1:11" ht="15.75" customHeight="1" thickTop="1" x14ac:dyDescent="0.2">
      <c r="A24" s="2218" t="s">
        <v>1175</v>
      </c>
      <c r="B24" s="2219"/>
      <c r="C24" s="2213"/>
      <c r="D24" s="2214"/>
      <c r="E24" s="2214"/>
      <c r="F24" s="2215"/>
    </row>
    <row r="25" spans="1:11" ht="13.5" thickBot="1" x14ac:dyDescent="0.25">
      <c r="A25" s="2220" t="s">
        <v>655</v>
      </c>
      <c r="B25" s="2221"/>
      <c r="C25" s="579"/>
      <c r="D25" s="579"/>
      <c r="E25" s="579"/>
      <c r="F25" s="1775">
        <f>SUM(C25+D25)-E25</f>
        <v>0</v>
      </c>
      <c r="G25" s="550"/>
    </row>
    <row r="26" spans="1:11" ht="15.75" customHeight="1" thickTop="1" x14ac:dyDescent="0.2">
      <c r="A26" s="2224" t="s">
        <v>678</v>
      </c>
      <c r="B26" s="2219"/>
      <c r="C26" s="726"/>
      <c r="D26" s="726"/>
      <c r="E26" s="726"/>
      <c r="F26" s="727"/>
    </row>
    <row r="27" spans="1:11" ht="13.5" thickBot="1" x14ac:dyDescent="0.25">
      <c r="A27" s="2216" t="s">
        <v>1130</v>
      </c>
      <c r="B27" s="2217"/>
      <c r="C27" s="583"/>
      <c r="D27" s="583"/>
      <c r="E27" s="583"/>
      <c r="F27" s="1775">
        <f>SUM(C27+D27)-E27</f>
        <v>0</v>
      </c>
      <c r="G27" s="550"/>
    </row>
    <row r="28" spans="1:11" ht="7.5" customHeight="1" thickTop="1" x14ac:dyDescent="0.2">
      <c r="A28" s="592"/>
    </row>
    <row r="29" spans="1:11" ht="23.25" customHeight="1" x14ac:dyDescent="0.2">
      <c r="A29" s="2222" t="s">
        <v>603</v>
      </c>
      <c r="B29" s="2223"/>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2093</v>
      </c>
      <c r="B31" s="732">
        <v>37865</v>
      </c>
      <c r="C31" s="733">
        <v>4605000</v>
      </c>
      <c r="D31" s="734">
        <v>3</v>
      </c>
      <c r="E31" s="733"/>
      <c r="F31" s="733"/>
      <c r="G31" s="733"/>
      <c r="H31" s="733"/>
      <c r="I31" s="1776">
        <f>((E31+F31)-H31)+G31</f>
        <v>0</v>
      </c>
      <c r="J31" s="733">
        <v>-355118</v>
      </c>
      <c r="K31" s="735"/>
    </row>
    <row r="32" spans="1:11" ht="12" customHeight="1" x14ac:dyDescent="0.2">
      <c r="A32" s="731" t="s">
        <v>2125</v>
      </c>
      <c r="B32" s="732">
        <v>43087</v>
      </c>
      <c r="C32" s="733">
        <v>3226147</v>
      </c>
      <c r="D32" s="734">
        <v>7</v>
      </c>
      <c r="E32" s="733"/>
      <c r="F32" s="733"/>
      <c r="G32" s="733">
        <v>3226147</v>
      </c>
      <c r="H32" s="733">
        <v>519502</v>
      </c>
      <c r="I32" s="1776">
        <f>((E32+F32)-H32)+G32</f>
        <v>2706645</v>
      </c>
      <c r="J32" s="733">
        <f>I32</f>
        <v>2706645</v>
      </c>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7831147</v>
      </c>
      <c r="D49" s="744"/>
      <c r="E49" s="1776">
        <f t="shared" ref="E49:J49" si="2">SUM(E31:E48)</f>
        <v>0</v>
      </c>
      <c r="F49" s="1776">
        <f t="shared" si="2"/>
        <v>0</v>
      </c>
      <c r="G49" s="1776">
        <f t="shared" si="2"/>
        <v>3226147</v>
      </c>
      <c r="H49" s="1776">
        <f t="shared" si="2"/>
        <v>519502</v>
      </c>
      <c r="I49" s="1776">
        <f t="shared" si="2"/>
        <v>2706645</v>
      </c>
      <c r="J49" s="1776">
        <f t="shared" si="2"/>
        <v>2351527</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05" t="s">
        <v>605</v>
      </c>
      <c r="C52" s="2206"/>
      <c r="D52" s="2206"/>
      <c r="E52" s="748" t="s">
        <v>900</v>
      </c>
      <c r="F52" s="2207" t="s">
        <v>2126</v>
      </c>
      <c r="G52" s="2208"/>
      <c r="H52" s="735"/>
      <c r="I52" s="735"/>
      <c r="J52" s="745"/>
    </row>
    <row r="53" spans="1:11" ht="11.25" customHeight="1" x14ac:dyDescent="0.2">
      <c r="A53" s="749" t="s">
        <v>969</v>
      </c>
      <c r="B53" s="750" t="s">
        <v>1008</v>
      </c>
      <c r="C53" s="745"/>
      <c r="D53" s="736"/>
      <c r="E53" s="748" t="s">
        <v>518</v>
      </c>
      <c r="F53" s="2209"/>
      <c r="G53" s="2210"/>
      <c r="H53" s="735"/>
      <c r="I53" s="735"/>
      <c r="J53" s="745"/>
    </row>
    <row r="54" spans="1:11" ht="11.25" customHeight="1" x14ac:dyDescent="0.2">
      <c r="A54" s="751" t="s">
        <v>970</v>
      </c>
      <c r="B54" s="746" t="s">
        <v>1009</v>
      </c>
      <c r="C54" s="745"/>
      <c r="D54" s="736"/>
      <c r="E54" s="748" t="s">
        <v>519</v>
      </c>
      <c r="F54" s="2209"/>
      <c r="G54" s="2210"/>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911</v>
      </c>
      <c r="B1" s="2235"/>
      <c r="C1" s="2235"/>
      <c r="D1" s="2235"/>
      <c r="E1" s="2235"/>
      <c r="F1" s="2235"/>
      <c r="G1" s="2236"/>
      <c r="H1" s="1550"/>
      <c r="I1" s="759"/>
      <c r="J1" s="433"/>
    </row>
    <row r="2" spans="1:11" ht="26.25" x14ac:dyDescent="0.2">
      <c r="A2" s="2253" t="s">
        <v>1776</v>
      </c>
      <c r="B2" s="2254"/>
      <c r="C2" s="2254"/>
      <c r="D2" s="2254"/>
      <c r="E2" s="2255"/>
      <c r="F2" s="760" t="s">
        <v>960</v>
      </c>
      <c r="G2" s="761" t="s">
        <v>1773</v>
      </c>
      <c r="H2" s="761" t="s">
        <v>430</v>
      </c>
      <c r="I2" s="761" t="s">
        <v>1220</v>
      </c>
      <c r="J2" s="761" t="s">
        <v>1919</v>
      </c>
      <c r="K2" s="761" t="s">
        <v>140</v>
      </c>
    </row>
    <row r="3" spans="1:11" x14ac:dyDescent="0.2">
      <c r="A3" s="2256" t="s">
        <v>1698</v>
      </c>
      <c r="B3" s="2257"/>
      <c r="C3" s="2257"/>
      <c r="D3" s="2257"/>
      <c r="E3" s="2258"/>
      <c r="F3" s="762"/>
      <c r="G3" s="763"/>
      <c r="H3" s="763"/>
      <c r="I3" s="763"/>
      <c r="J3" s="764">
        <v>475856</v>
      </c>
      <c r="K3" s="764"/>
    </row>
    <row r="4" spans="1:11" x14ac:dyDescent="0.2">
      <c r="A4" s="2259" t="s">
        <v>387</v>
      </c>
      <c r="B4" s="2260"/>
      <c r="C4" s="2260"/>
      <c r="D4" s="2260"/>
      <c r="E4" s="2206"/>
      <c r="F4" s="765"/>
      <c r="G4" s="766"/>
      <c r="H4" s="767"/>
      <c r="I4" s="766"/>
      <c r="J4" s="768"/>
      <c r="K4" s="768"/>
    </row>
    <row r="5" spans="1:11" x14ac:dyDescent="0.2">
      <c r="A5" s="2237" t="s">
        <v>1129</v>
      </c>
      <c r="B5" s="2238"/>
      <c r="C5" s="2238"/>
      <c r="D5" s="2238"/>
      <c r="E5" s="2239"/>
      <c r="F5" s="769" t="s">
        <v>903</v>
      </c>
      <c r="G5" s="770"/>
      <c r="H5" s="763">
        <v>49644</v>
      </c>
      <c r="I5" s="771"/>
      <c r="J5" s="772"/>
      <c r="K5" s="772"/>
    </row>
    <row r="6" spans="1:11" x14ac:dyDescent="0.2">
      <c r="A6" s="773" t="s">
        <v>744</v>
      </c>
      <c r="B6" s="774"/>
      <c r="C6" s="774"/>
      <c r="D6" s="774"/>
      <c r="E6" s="775"/>
      <c r="F6" s="776" t="s">
        <v>904</v>
      </c>
      <c r="G6" s="763"/>
      <c r="H6" s="763">
        <v>37</v>
      </c>
      <c r="I6" s="763"/>
      <c r="J6" s="764">
        <v>6098</v>
      </c>
      <c r="K6" s="764"/>
    </row>
    <row r="7" spans="1:11" x14ac:dyDescent="0.2">
      <c r="A7" s="777" t="s">
        <v>264</v>
      </c>
      <c r="B7" s="778"/>
      <c r="C7" s="778"/>
      <c r="D7" s="778"/>
      <c r="E7" s="779"/>
      <c r="F7" s="769" t="s">
        <v>905</v>
      </c>
      <c r="G7" s="766"/>
      <c r="H7" s="766"/>
      <c r="I7" s="766"/>
      <c r="J7" s="780"/>
      <c r="K7" s="764">
        <v>1700</v>
      </c>
    </row>
    <row r="8" spans="1:11" x14ac:dyDescent="0.2">
      <c r="A8" s="777" t="s">
        <v>363</v>
      </c>
      <c r="B8" s="778"/>
      <c r="C8" s="778"/>
      <c r="D8" s="778"/>
      <c r="E8" s="779"/>
      <c r="F8" s="769" t="s">
        <v>906</v>
      </c>
      <c r="G8" s="781"/>
      <c r="H8" s="781"/>
      <c r="I8" s="781"/>
      <c r="J8" s="764">
        <v>311371</v>
      </c>
      <c r="K8" s="768"/>
    </row>
    <row r="9" spans="1:11" x14ac:dyDescent="0.2">
      <c r="A9" s="777" t="s">
        <v>140</v>
      </c>
      <c r="B9" s="778"/>
      <c r="C9" s="778"/>
      <c r="D9" s="778"/>
      <c r="E9" s="779"/>
      <c r="F9" s="776" t="s">
        <v>908</v>
      </c>
      <c r="G9" s="781"/>
      <c r="H9" s="770"/>
      <c r="I9" s="770"/>
      <c r="J9" s="780"/>
      <c r="K9" s="764">
        <v>9411</v>
      </c>
    </row>
    <row r="10" spans="1:11" x14ac:dyDescent="0.2">
      <c r="A10" s="2237" t="s">
        <v>1920</v>
      </c>
      <c r="B10" s="2238"/>
      <c r="C10" s="2238"/>
      <c r="D10" s="2238"/>
      <c r="E10" s="2240"/>
      <c r="F10" s="782" t="s">
        <v>917</v>
      </c>
      <c r="G10" s="781"/>
      <c r="H10" s="783"/>
      <c r="I10" s="763"/>
      <c r="J10" s="764"/>
      <c r="K10" s="764"/>
    </row>
    <row r="11" spans="1:11" x14ac:dyDescent="0.2">
      <c r="A11" s="2237" t="s">
        <v>162</v>
      </c>
      <c r="B11" s="2238"/>
      <c r="C11" s="2238"/>
      <c r="D11" s="2238"/>
      <c r="E11" s="2239"/>
      <c r="F11" s="769" t="s">
        <v>907</v>
      </c>
      <c r="G11" s="770"/>
      <c r="H11" s="763"/>
      <c r="I11" s="763"/>
      <c r="J11" s="764"/>
      <c r="K11" s="772"/>
    </row>
    <row r="12" spans="1:11" ht="13.5" thickBot="1" x14ac:dyDescent="0.25">
      <c r="A12" s="2264" t="s">
        <v>961</v>
      </c>
      <c r="B12" s="2265"/>
      <c r="C12" s="2265"/>
      <c r="D12" s="2265"/>
      <c r="E12" s="2266"/>
      <c r="F12" s="1777"/>
      <c r="G12" s="1778">
        <f>SUM(G5:G11)</f>
        <v>0</v>
      </c>
      <c r="H12" s="1778">
        <f>SUM(H5:H11)</f>
        <v>49681</v>
      </c>
      <c r="I12" s="1778">
        <f>SUM(I5:I11)</f>
        <v>0</v>
      </c>
      <c r="J12" s="1778">
        <f>SUM(J5:J11)</f>
        <v>317469</v>
      </c>
      <c r="K12" s="1778">
        <f>SUM(K5:K11)</f>
        <v>11111</v>
      </c>
    </row>
    <row r="13" spans="1:11" ht="13.5" thickTop="1" x14ac:dyDescent="0.2">
      <c r="A13" s="2261" t="s">
        <v>388</v>
      </c>
      <c r="B13" s="2262"/>
      <c r="C13" s="2262"/>
      <c r="D13" s="2262"/>
      <c r="E13" s="2263"/>
      <c r="F13" s="784"/>
      <c r="G13" s="785"/>
      <c r="H13" s="786"/>
      <c r="I13" s="787"/>
      <c r="J13" s="787"/>
      <c r="K13" s="787"/>
    </row>
    <row r="14" spans="1:11" x14ac:dyDescent="0.2">
      <c r="A14" s="2244" t="s">
        <v>476</v>
      </c>
      <c r="B14" s="2244"/>
      <c r="C14" s="2244"/>
      <c r="D14" s="2244"/>
      <c r="E14" s="2245"/>
      <c r="F14" s="788" t="s">
        <v>909</v>
      </c>
      <c r="G14" s="781"/>
      <c r="H14" s="763">
        <v>49681</v>
      </c>
      <c r="I14" s="770"/>
      <c r="J14" s="772"/>
      <c r="K14" s="764">
        <v>11111</v>
      </c>
    </row>
    <row r="15" spans="1:11" x14ac:dyDescent="0.2">
      <c r="A15" s="2238" t="s">
        <v>4</v>
      </c>
      <c r="B15" s="2238"/>
      <c r="C15" s="2238"/>
      <c r="D15" s="2238"/>
      <c r="E15" s="2239"/>
      <c r="F15" s="788" t="s">
        <v>910</v>
      </c>
      <c r="G15" s="770"/>
      <c r="H15" s="763"/>
      <c r="I15" s="763"/>
      <c r="J15" s="764"/>
      <c r="K15" s="764"/>
    </row>
    <row r="16" spans="1:11" x14ac:dyDescent="0.2">
      <c r="A16" s="2238" t="s">
        <v>316</v>
      </c>
      <c r="B16" s="2238"/>
      <c r="C16" s="2238"/>
      <c r="D16" s="2238"/>
      <c r="E16" s="2239"/>
      <c r="F16" s="788" t="s">
        <v>980</v>
      </c>
      <c r="G16" s="771"/>
      <c r="H16" s="766"/>
      <c r="I16" s="766"/>
      <c r="J16" s="768"/>
      <c r="K16" s="768"/>
    </row>
    <row r="17" spans="1:11" x14ac:dyDescent="0.2">
      <c r="A17" s="2269" t="s">
        <v>992</v>
      </c>
      <c r="B17" s="2269"/>
      <c r="C17" s="2269"/>
      <c r="D17" s="2269"/>
      <c r="E17" s="2270"/>
      <c r="F17" s="789"/>
      <c r="G17" s="790"/>
      <c r="H17" s="791"/>
      <c r="I17" s="791"/>
      <c r="J17" s="792"/>
      <c r="K17" s="793"/>
    </row>
    <row r="18" spans="1:11" x14ac:dyDescent="0.2">
      <c r="A18" s="2248" t="s">
        <v>386</v>
      </c>
      <c r="B18" s="2249"/>
      <c r="C18" s="2249"/>
      <c r="D18" s="2249"/>
      <c r="E18" s="2250"/>
      <c r="F18" s="788" t="s">
        <v>989</v>
      </c>
      <c r="G18" s="781"/>
      <c r="H18" s="781"/>
      <c r="I18" s="781"/>
      <c r="J18" s="764"/>
      <c r="K18" s="794"/>
    </row>
    <row r="19" spans="1:11" ht="21.75" customHeight="1" x14ac:dyDescent="0.2">
      <c r="A19" s="2246" t="s">
        <v>1916</v>
      </c>
      <c r="B19" s="2246"/>
      <c r="C19" s="2246"/>
      <c r="D19" s="2246"/>
      <c r="E19" s="2247"/>
      <c r="F19" s="788" t="s">
        <v>990</v>
      </c>
      <c r="G19" s="781"/>
      <c r="H19" s="781"/>
      <c r="I19" s="781"/>
      <c r="J19" s="764"/>
      <c r="K19" s="794"/>
    </row>
    <row r="20" spans="1:11" x14ac:dyDescent="0.2">
      <c r="A20" s="2248" t="s">
        <v>1921</v>
      </c>
      <c r="B20" s="2249"/>
      <c r="C20" s="2249"/>
      <c r="D20" s="2249"/>
      <c r="E20" s="2250"/>
      <c r="F20" s="788" t="s">
        <v>991</v>
      </c>
      <c r="G20" s="781"/>
      <c r="H20" s="781"/>
      <c r="I20" s="781"/>
      <c r="J20" s="764"/>
      <c r="K20" s="794"/>
    </row>
    <row r="21" spans="1:11" ht="13.5" thickBot="1" x14ac:dyDescent="0.25">
      <c r="A21" s="2267" t="s">
        <v>659</v>
      </c>
      <c r="B21" s="2267"/>
      <c r="C21" s="2267"/>
      <c r="D21" s="2267"/>
      <c r="E21" s="2267"/>
      <c r="F21" s="1779"/>
      <c r="G21" s="791"/>
      <c r="H21" s="795"/>
      <c r="I21" s="795"/>
      <c r="J21" s="1780">
        <f>SUM(J18:J20)</f>
        <v>0</v>
      </c>
      <c r="K21" s="792"/>
    </row>
    <row r="22" spans="1:11" ht="13.5" thickTop="1" x14ac:dyDescent="0.2">
      <c r="A22" s="2238" t="s">
        <v>1922</v>
      </c>
      <c r="B22" s="2238"/>
      <c r="C22" s="2238"/>
      <c r="D22" s="2238"/>
      <c r="E22" s="2239"/>
      <c r="F22" s="788" t="s">
        <v>917</v>
      </c>
      <c r="G22" s="781"/>
      <c r="H22" s="763"/>
      <c r="I22" s="763"/>
      <c r="J22" s="796"/>
      <c r="K22" s="764"/>
    </row>
    <row r="23" spans="1:11" ht="13.5" thickBot="1" x14ac:dyDescent="0.25">
      <c r="A23" s="2268" t="s">
        <v>962</v>
      </c>
      <c r="B23" s="2267"/>
      <c r="C23" s="2267"/>
      <c r="D23" s="2267"/>
      <c r="E23" s="2267"/>
      <c r="F23" s="1781"/>
      <c r="G23" s="1778">
        <f>SUM(G14:G16,G21,G22)</f>
        <v>0</v>
      </c>
      <c r="H23" s="1778">
        <f>SUM(H14:H16,H21,H22)</f>
        <v>49681</v>
      </c>
      <c r="I23" s="1778">
        <f>SUM(I14:I16,I21,I22)</f>
        <v>0</v>
      </c>
      <c r="J23" s="1778">
        <f>SUM(J14:J16,J21,J22)</f>
        <v>0</v>
      </c>
      <c r="K23" s="1778">
        <f>SUM(K14:K16,K21,K22)</f>
        <v>11111</v>
      </c>
    </row>
    <row r="24" spans="1:11" ht="14.25" thickTop="1" thickBot="1" x14ac:dyDescent="0.25">
      <c r="A24" s="2268" t="s">
        <v>2026</v>
      </c>
      <c r="B24" s="2267"/>
      <c r="C24" s="2267"/>
      <c r="D24" s="2267"/>
      <c r="E24" s="2267"/>
      <c r="F24" s="1782"/>
      <c r="G24" s="1783">
        <f>SUM(G3,G12)-G23</f>
        <v>0</v>
      </c>
      <c r="H24" s="1783">
        <f>SUM(H3,H12)-H23</f>
        <v>0</v>
      </c>
      <c r="I24" s="1783">
        <f>SUM(I3,I12)-I23</f>
        <v>0</v>
      </c>
      <c r="J24" s="1783">
        <f>SUM(J3,J12)-J23</f>
        <v>793325</v>
      </c>
      <c r="K24" s="1783">
        <f>SUM(K3,K12)-K23</f>
        <v>0</v>
      </c>
    </row>
    <row r="25" spans="1:11" ht="13.5" thickTop="1" x14ac:dyDescent="0.2">
      <c r="A25" s="797" t="s">
        <v>440</v>
      </c>
      <c r="B25" s="798"/>
      <c r="C25" s="798"/>
      <c r="D25" s="798"/>
      <c r="E25" s="799"/>
      <c r="F25" s="800">
        <v>714</v>
      </c>
      <c r="G25" s="801"/>
      <c r="H25" s="801"/>
      <c r="I25" s="801"/>
      <c r="J25" s="796">
        <v>793325</v>
      </c>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41"/>
      <c r="I31" s="2242"/>
      <c r="J31" s="2242"/>
      <c r="K31" s="2242"/>
    </row>
    <row r="32" spans="1:11" x14ac:dyDescent="0.2">
      <c r="A32" s="808"/>
      <c r="B32" s="237"/>
      <c r="C32" s="237"/>
      <c r="D32" s="237"/>
      <c r="E32" s="804"/>
      <c r="F32" s="810" t="s">
        <v>561</v>
      </c>
      <c r="G32" s="763"/>
      <c r="H32" s="2243"/>
      <c r="I32" s="2242"/>
      <c r="J32" s="2242"/>
      <c r="K32" s="2242"/>
    </row>
    <row r="33" spans="1:11" ht="1.5" customHeight="1" x14ac:dyDescent="0.2">
      <c r="A33" s="811" t="s">
        <v>1231</v>
      </c>
      <c r="B33" s="364"/>
      <c r="C33" s="364"/>
      <c r="D33" s="364"/>
      <c r="E33" s="364"/>
      <c r="F33" s="364"/>
      <c r="G33" s="812"/>
      <c r="H33" s="2243"/>
      <c r="I33" s="2242"/>
      <c r="J33" s="2242"/>
      <c r="K33" s="2242"/>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8" t="s">
        <v>562</v>
      </c>
      <c r="B41" s="2251"/>
      <c r="C41" s="2251"/>
      <c r="D41" s="2251"/>
      <c r="E41" s="2251"/>
      <c r="F41" s="2252"/>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2035</v>
      </c>
      <c r="B1" s="2274"/>
      <c r="C1" s="2275"/>
      <c r="D1" s="825"/>
      <c r="E1" s="826"/>
      <c r="F1" s="826"/>
      <c r="G1" s="827"/>
      <c r="H1" s="828"/>
      <c r="I1" s="829"/>
      <c r="J1" s="2271"/>
      <c r="K1" s="2272"/>
      <c r="L1" s="2272"/>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190042</v>
      </c>
      <c r="D5" s="840">
        <v>0</v>
      </c>
      <c r="E5" s="840">
        <v>0</v>
      </c>
      <c r="F5" s="1780">
        <f>(C5+D5)-E5</f>
        <v>190042</v>
      </c>
      <c r="G5" s="836"/>
      <c r="H5" s="841"/>
      <c r="I5" s="841"/>
      <c r="J5" s="841"/>
      <c r="K5" s="792"/>
      <c r="L5" s="1789">
        <f>F5-K5</f>
        <v>190042</v>
      </c>
    </row>
    <row r="6" spans="1:14" ht="14.25" thickTop="1" thickBot="1" x14ac:dyDescent="0.25">
      <c r="A6" s="777" t="s">
        <v>1179</v>
      </c>
      <c r="B6" s="839">
        <v>222</v>
      </c>
      <c r="C6" s="764">
        <v>0</v>
      </c>
      <c r="D6" s="764">
        <v>0</v>
      </c>
      <c r="E6" s="764">
        <v>0</v>
      </c>
      <c r="F6" s="1780">
        <f>(C6+D6)-E6</f>
        <v>0</v>
      </c>
      <c r="G6" s="836">
        <v>50</v>
      </c>
      <c r="H6" s="764">
        <v>0</v>
      </c>
      <c r="I6" s="764">
        <v>0</v>
      </c>
      <c r="J6" s="764">
        <v>0</v>
      </c>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15170664</v>
      </c>
      <c r="D8" s="843">
        <v>430054</v>
      </c>
      <c r="E8" s="843">
        <v>0</v>
      </c>
      <c r="F8" s="1780">
        <f>(C8+D8)-E8</f>
        <v>15600718</v>
      </c>
      <c r="G8" s="842">
        <v>50</v>
      </c>
      <c r="H8" s="764">
        <v>8224311</v>
      </c>
      <c r="I8" s="764">
        <v>312014</v>
      </c>
      <c r="J8" s="764">
        <v>0</v>
      </c>
      <c r="K8" s="1789">
        <f>(H8+I8)-J8</f>
        <v>8536325</v>
      </c>
      <c r="L8" s="1789">
        <f>F8-K8</f>
        <v>7064393</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6749509</v>
      </c>
      <c r="D10" s="845">
        <v>349134</v>
      </c>
      <c r="E10" s="845">
        <v>0</v>
      </c>
      <c r="F10" s="1784">
        <f>(C10+D10)-E10</f>
        <v>7098643</v>
      </c>
      <c r="G10" s="842">
        <v>20</v>
      </c>
      <c r="H10" s="846">
        <v>3063494</v>
      </c>
      <c r="I10" s="846">
        <v>323620</v>
      </c>
      <c r="J10" s="846">
        <v>0</v>
      </c>
      <c r="K10" s="1789">
        <f>(H10+I10)-J10</f>
        <v>3387114</v>
      </c>
      <c r="L10" s="1789">
        <f>F10-K10</f>
        <v>3711529</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3450711</v>
      </c>
      <c r="D12" s="843">
        <v>276486</v>
      </c>
      <c r="E12" s="843">
        <v>173710</v>
      </c>
      <c r="F12" s="1780">
        <f>(C12+D12)-E12</f>
        <v>3553487</v>
      </c>
      <c r="G12" s="842">
        <v>10</v>
      </c>
      <c r="H12" s="764">
        <v>2068441</v>
      </c>
      <c r="I12" s="764">
        <v>355350</v>
      </c>
      <c r="J12" s="764">
        <v>173710</v>
      </c>
      <c r="K12" s="1789">
        <f>(H12+I12)-J12</f>
        <v>2250081</v>
      </c>
      <c r="L12" s="1789">
        <f>F12-K12</f>
        <v>1303406</v>
      </c>
    </row>
    <row r="13" spans="1:14" ht="14.25" thickTop="1" thickBot="1" x14ac:dyDescent="0.25">
      <c r="A13" s="847" t="s">
        <v>1184</v>
      </c>
      <c r="B13" s="839">
        <v>252</v>
      </c>
      <c r="C13" s="843">
        <v>580504</v>
      </c>
      <c r="D13" s="843">
        <v>21395</v>
      </c>
      <c r="E13" s="843">
        <v>0</v>
      </c>
      <c r="F13" s="1780">
        <f>(C13+D13)-E13</f>
        <v>601899</v>
      </c>
      <c r="G13" s="842">
        <v>5</v>
      </c>
      <c r="H13" s="764">
        <v>515824</v>
      </c>
      <c r="I13" s="764">
        <v>45332</v>
      </c>
      <c r="J13" s="764">
        <v>0</v>
      </c>
      <c r="K13" s="1789">
        <f>(H13+I13)-J13</f>
        <v>561156</v>
      </c>
      <c r="L13" s="1789">
        <f>F13-K13</f>
        <v>40743</v>
      </c>
    </row>
    <row r="14" spans="1:14" ht="14.25" thickTop="1" thickBot="1" x14ac:dyDescent="0.25">
      <c r="A14" s="847" t="s">
        <v>1185</v>
      </c>
      <c r="B14" s="839">
        <v>253</v>
      </c>
      <c r="C14" s="764">
        <v>0</v>
      </c>
      <c r="D14" s="764">
        <v>0</v>
      </c>
      <c r="E14" s="764">
        <v>0</v>
      </c>
      <c r="F14" s="1780">
        <f>(C14+D14)-E14</f>
        <v>0</v>
      </c>
      <c r="G14" s="842">
        <v>3</v>
      </c>
      <c r="H14" s="764">
        <v>0</v>
      </c>
      <c r="I14" s="764">
        <v>0</v>
      </c>
      <c r="J14" s="764">
        <v>0</v>
      </c>
      <c r="K14" s="1789">
        <f>(H14+I14)-J14</f>
        <v>0</v>
      </c>
      <c r="L14" s="1789">
        <f>F14-K14</f>
        <v>0</v>
      </c>
    </row>
    <row r="15" spans="1:14" ht="15" customHeight="1" thickTop="1" thickBot="1" x14ac:dyDescent="0.25">
      <c r="A15" s="1651" t="s">
        <v>549</v>
      </c>
      <c r="B15" s="1650">
        <v>260</v>
      </c>
      <c r="C15" s="843">
        <v>98130</v>
      </c>
      <c r="D15" s="843">
        <v>1631807</v>
      </c>
      <c r="E15" s="843">
        <v>98130</v>
      </c>
      <c r="F15" s="1780">
        <f>(C15+D15)-E15</f>
        <v>1631807</v>
      </c>
      <c r="G15" s="848" t="s">
        <v>917</v>
      </c>
      <c r="H15" s="780"/>
      <c r="I15" s="780"/>
      <c r="J15" s="780"/>
      <c r="K15" s="780"/>
      <c r="L15" s="1789">
        <f>F15-K15</f>
        <v>1631807</v>
      </c>
    </row>
    <row r="16" spans="1:14" ht="15" customHeight="1" thickTop="1" thickBot="1" x14ac:dyDescent="0.25">
      <c r="A16" s="1785" t="s">
        <v>664</v>
      </c>
      <c r="B16" s="1786">
        <v>200</v>
      </c>
      <c r="C16" s="1780">
        <f>SUM(C3,C5:C6,C8:C10,C12:C15)</f>
        <v>26239560</v>
      </c>
      <c r="D16" s="1780">
        <f>SUM(D3,D5:D6,D8:D10,D12:D15)</f>
        <v>2708876</v>
      </c>
      <c r="E16" s="1780">
        <f>SUM(E3,E5:E6,E8:E10,E12:E15)</f>
        <v>271840</v>
      </c>
      <c r="F16" s="1780">
        <f>SUM(F3,F5:F6,F8:F10,F12:F15)</f>
        <v>28676596</v>
      </c>
      <c r="G16" s="842"/>
      <c r="H16" s="1780">
        <f>SUM(H3,H6,H8:H10,H12:H14,)</f>
        <v>13872070</v>
      </c>
      <c r="I16" s="1780">
        <f>SUM(I3,I6,I8:I10,I12:I14,)</f>
        <v>1036316</v>
      </c>
      <c r="J16" s="1780">
        <f>SUM(J3,J6,J8:J10,J12:J14,)</f>
        <v>173710</v>
      </c>
      <c r="K16" s="1780">
        <f>(H16+I16)-J16</f>
        <v>14734676</v>
      </c>
      <c r="L16" s="1780">
        <f>F16-K16</f>
        <v>13941920</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1036316</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G77" sqref="AG7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9" t="s">
        <v>1699</v>
      </c>
      <c r="B1" s="2280"/>
      <c r="C1" s="2280"/>
      <c r="D1" s="2280"/>
      <c r="E1" s="2280"/>
      <c r="F1" s="2281"/>
      <c r="G1" s="854"/>
    </row>
    <row r="2" spans="1:7" ht="15" customHeight="1" thickBot="1" x14ac:dyDescent="0.25">
      <c r="A2" s="2282" t="s">
        <v>498</v>
      </c>
      <c r="B2" s="2283"/>
      <c r="C2" s="2283"/>
      <c r="D2" s="2283"/>
      <c r="E2" s="2283"/>
      <c r="F2" s="2284"/>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10554297</v>
      </c>
      <c r="G8" s="864"/>
    </row>
    <row r="9" spans="1:7" x14ac:dyDescent="0.2">
      <c r="A9" s="868" t="s">
        <v>480</v>
      </c>
      <c r="B9" s="869" t="s">
        <v>1989</v>
      </c>
      <c r="C9" s="870"/>
      <c r="D9" s="868" t="s">
        <v>522</v>
      </c>
      <c r="E9" s="867"/>
      <c r="F9" s="1933">
        <f>'Expenditures 15-22'!K151</f>
        <v>1859710</v>
      </c>
      <c r="G9" s="871"/>
    </row>
    <row r="10" spans="1:7" x14ac:dyDescent="0.2">
      <c r="A10" s="868" t="s">
        <v>520</v>
      </c>
      <c r="B10" s="869" t="s">
        <v>1990</v>
      </c>
      <c r="C10" s="870"/>
      <c r="D10" s="868" t="s">
        <v>522</v>
      </c>
      <c r="E10" s="867"/>
      <c r="F10" s="1933">
        <f>'Expenditures 15-22'!K174</f>
        <v>580862</v>
      </c>
      <c r="G10" s="871"/>
    </row>
    <row r="11" spans="1:7" x14ac:dyDescent="0.2">
      <c r="A11" s="868" t="s">
        <v>481</v>
      </c>
      <c r="B11" s="869" t="s">
        <v>1991</v>
      </c>
      <c r="C11" s="870"/>
      <c r="D11" s="868" t="s">
        <v>522</v>
      </c>
      <c r="E11" s="867"/>
      <c r="F11" s="1933">
        <f>'Expenditures 15-22'!K210</f>
        <v>602299</v>
      </c>
      <c r="G11" s="871"/>
    </row>
    <row r="12" spans="1:7" x14ac:dyDescent="0.2">
      <c r="A12" s="868" t="s">
        <v>482</v>
      </c>
      <c r="B12" s="869" t="s">
        <v>1992</v>
      </c>
      <c r="C12" s="870"/>
      <c r="D12" s="868" t="s">
        <v>522</v>
      </c>
      <c r="E12" s="867"/>
      <c r="F12" s="1933">
        <f>'Expenditures 15-22'!K295</f>
        <v>494172</v>
      </c>
      <c r="G12" s="871"/>
    </row>
    <row r="13" spans="1:7" x14ac:dyDescent="0.2">
      <c r="A13" s="868" t="s">
        <v>108</v>
      </c>
      <c r="B13" s="869" t="s">
        <v>1993</v>
      </c>
      <c r="C13" s="870"/>
      <c r="D13" s="868" t="s">
        <v>522</v>
      </c>
      <c r="E13" s="867"/>
      <c r="F13" s="1933">
        <f>'Expenditures 15-22'!K342</f>
        <v>0</v>
      </c>
      <c r="G13" s="872"/>
    </row>
    <row r="14" spans="1:7" ht="12" customHeight="1" thickBot="1" x14ac:dyDescent="0.25">
      <c r="A14" s="1790"/>
      <c r="B14" s="1791"/>
      <c r="C14" s="1792"/>
      <c r="D14" s="1793" t="s">
        <v>522</v>
      </c>
      <c r="E14" s="1794" t="s">
        <v>1015</v>
      </c>
      <c r="F14" s="1795">
        <f>SUM(F8:F13)</f>
        <v>14091340</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153489</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8533</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176176</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35256</v>
      </c>
      <c r="G52" s="864"/>
    </row>
    <row r="53" spans="1:7" x14ac:dyDescent="0.2">
      <c r="A53" s="868" t="s">
        <v>479</v>
      </c>
      <c r="B53" s="868" t="s">
        <v>1551</v>
      </c>
      <c r="C53" s="888">
        <f>'Expenditures 15-22'!B102</f>
        <v>4000</v>
      </c>
      <c r="D53" s="887" t="str">
        <f>'Expenditures 15-22'!A102</f>
        <v>Total Payments to Other Govt Units</v>
      </c>
      <c r="E53" s="867"/>
      <c r="F53" s="1937">
        <f>'Expenditures 15-22'!K102</f>
        <v>155100</v>
      </c>
      <c r="G53" s="864"/>
    </row>
    <row r="54" spans="1:7" x14ac:dyDescent="0.2">
      <c r="A54" s="868" t="s">
        <v>479</v>
      </c>
      <c r="B54" s="868" t="s">
        <v>1552</v>
      </c>
      <c r="C54" s="888" t="s">
        <v>1039</v>
      </c>
      <c r="D54" s="884" t="s">
        <v>1157</v>
      </c>
      <c r="E54" s="867"/>
      <c r="F54" s="1937">
        <f>'Expenditures 15-22'!G114</f>
        <v>245902</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33608</v>
      </c>
      <c r="G57" s="864"/>
    </row>
    <row r="58" spans="1:7" x14ac:dyDescent="0.2">
      <c r="A58" s="868" t="s">
        <v>480</v>
      </c>
      <c r="B58" s="868" t="s">
        <v>1995</v>
      </c>
      <c r="C58" s="885" t="s">
        <v>1039</v>
      </c>
      <c r="D58" s="884" t="s">
        <v>1157</v>
      </c>
      <c r="E58" s="867"/>
      <c r="F58" s="1939">
        <f>'Expenditures 15-22'!G151</f>
        <v>1114999</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519502</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21395</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9043</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6557</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2479560</v>
      </c>
      <c r="G76" s="864"/>
    </row>
    <row r="77" spans="1:8" s="892" customFormat="1" ht="12" customHeight="1" thickTop="1" thickBot="1" x14ac:dyDescent="0.25">
      <c r="A77" s="1799"/>
      <c r="B77" s="1796"/>
      <c r="C77" s="1792"/>
      <c r="D77" s="1797" t="s">
        <v>2012</v>
      </c>
      <c r="E77" s="1794"/>
      <c r="F77" s="1800">
        <f>(F14-F76)</f>
        <v>11611780</v>
      </c>
      <c r="G77" s="868"/>
    </row>
    <row r="78" spans="1:8" s="892" customFormat="1" ht="12" customHeight="1" thickTop="1" x14ac:dyDescent="0.2">
      <c r="A78" s="1801"/>
      <c r="B78" s="1796"/>
      <c r="C78" s="1792"/>
      <c r="D78" s="1797" t="s">
        <v>2059</v>
      </c>
      <c r="E78" s="1794"/>
      <c r="F78" s="897">
        <v>567.51</v>
      </c>
      <c r="G78" s="898"/>
      <c r="H78" s="868"/>
    </row>
    <row r="79" spans="1:8" s="892" customFormat="1" ht="12" customHeight="1" thickBot="1" x14ac:dyDescent="0.25">
      <c r="A79" s="1802"/>
      <c r="B79" s="1796"/>
      <c r="C79" s="1792"/>
      <c r="D79" s="1797" t="s">
        <v>2013</v>
      </c>
      <c r="E79" s="1794" t="s">
        <v>1015</v>
      </c>
      <c r="F79" s="1803">
        <f>IF(F78&gt;0,F77/F78," Complete Line 78")</f>
        <v>20460.925798664342</v>
      </c>
      <c r="G79" s="868"/>
    </row>
    <row r="80" spans="1:8" s="892" customFormat="1" ht="8.25" customHeight="1" thickTop="1" x14ac:dyDescent="0.2">
      <c r="A80" s="899"/>
      <c r="B80" s="868"/>
      <c r="C80" s="870"/>
      <c r="D80" s="900"/>
      <c r="E80" s="867"/>
      <c r="F80" s="901"/>
      <c r="G80" s="868"/>
    </row>
    <row r="81" spans="1:7" s="892" customFormat="1" ht="12" thickBot="1" x14ac:dyDescent="0.25">
      <c r="A81" s="2276" t="s">
        <v>1167</v>
      </c>
      <c r="B81" s="2277"/>
      <c r="C81" s="2277"/>
      <c r="D81" s="2277"/>
      <c r="E81" s="2277"/>
      <c r="F81" s="2278"/>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131302</v>
      </c>
      <c r="G94" s="911"/>
    </row>
    <row r="95" spans="1:7" x14ac:dyDescent="0.2">
      <c r="A95" s="907" t="s">
        <v>142</v>
      </c>
      <c r="B95" s="907" t="s">
        <v>177</v>
      </c>
      <c r="C95" s="909">
        <v>1700</v>
      </c>
      <c r="D95" s="917" t="str">
        <f>'Revenues 9-14'!A82</f>
        <v>Total District/School Activity Income</v>
      </c>
      <c r="E95" s="905"/>
      <c r="F95" s="1809">
        <f>SUM('Revenues 9-14'!C82,'Revenues 9-14'!D82)</f>
        <v>30156</v>
      </c>
      <c r="G95" s="911"/>
    </row>
    <row r="96" spans="1:7" x14ac:dyDescent="0.2">
      <c r="A96" s="907" t="s">
        <v>479</v>
      </c>
      <c r="B96" s="907" t="s">
        <v>178</v>
      </c>
      <c r="C96" s="909">
        <f>'Revenues 9-14'!B84</f>
        <v>1811</v>
      </c>
      <c r="D96" s="910" t="str">
        <f>'Revenues 9-14'!A84</f>
        <v>Rentals - Regular Textbooks</v>
      </c>
      <c r="E96" s="905"/>
      <c r="F96" s="1809">
        <f>'Revenues 9-14'!C84</f>
        <v>30470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15153</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420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6265</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98183</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3104</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1202</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9411</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355671</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100262</v>
      </c>
      <c r="G129" s="929"/>
    </row>
    <row r="130" spans="1:7" x14ac:dyDescent="0.2">
      <c r="A130" s="926" t="s">
        <v>689</v>
      </c>
      <c r="B130" s="926" t="s">
        <v>804</v>
      </c>
      <c r="C130" s="931">
        <v>4300</v>
      </c>
      <c r="D130" s="932" t="str">
        <f>'Revenues 9-14'!A211</f>
        <v>Total Title I</v>
      </c>
      <c r="E130" s="905"/>
      <c r="F130" s="1809">
        <f>SUM('Revenues 9-14'!C211,'Revenues 9-14'!D211,'Revenues 9-14'!F211,'Revenues 9-14'!G211)</f>
        <v>109955</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77346</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27197</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13604</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19802</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190310.32</v>
      </c>
      <c r="G175" s="926"/>
    </row>
    <row r="176" spans="1:7" x14ac:dyDescent="0.2">
      <c r="A176" s="1942" t="s">
        <v>685</v>
      </c>
      <c r="B176" s="1943" t="s">
        <v>2058</v>
      </c>
      <c r="C176" s="1944">
        <v>3300</v>
      </c>
      <c r="D176" s="1945" t="s">
        <v>2062</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1221313.32</v>
      </c>
    </row>
    <row r="179" spans="1:7" ht="12" customHeight="1" x14ac:dyDescent="0.2">
      <c r="A179" s="1790"/>
      <c r="B179" s="1804"/>
      <c r="C179" s="1805"/>
      <c r="D179" s="1806" t="s">
        <v>2015</v>
      </c>
      <c r="E179" s="1807"/>
      <c r="F179" s="1809">
        <f>'PCTC-OEPP 27-28'!F77-F178</f>
        <v>10390466.68</v>
      </c>
    </row>
    <row r="180" spans="1:7" ht="12" customHeight="1" x14ac:dyDescent="0.2">
      <c r="A180" s="1790"/>
      <c r="B180" s="1804"/>
      <c r="C180" s="1805"/>
      <c r="D180" s="1806" t="s">
        <v>1924</v>
      </c>
      <c r="E180" s="1807"/>
      <c r="F180" s="1809">
        <f>'Cap Outlay Deprec 26'!I18</f>
        <v>1036316</v>
      </c>
    </row>
    <row r="181" spans="1:7" ht="12" customHeight="1" x14ac:dyDescent="0.2">
      <c r="A181" s="1790"/>
      <c r="B181" s="1804"/>
      <c r="C181" s="1805"/>
      <c r="D181" s="1806" t="s">
        <v>2016</v>
      </c>
      <c r="E181" s="1807"/>
      <c r="F181" s="1809">
        <f>F179+F180</f>
        <v>11426782.68</v>
      </c>
    </row>
    <row r="182" spans="1:7" ht="12" customHeight="1" x14ac:dyDescent="0.2">
      <c r="A182" s="1790"/>
      <c r="B182" s="1810"/>
      <c r="C182" s="1805"/>
      <c r="D182" s="1806" t="str">
        <f>D78</f>
        <v>9 Month ADA from District Average Daily Attendance/Prior General State Aid Inquiry 2017-2018</v>
      </c>
      <c r="E182" s="1807"/>
      <c r="F182" s="1811">
        <f>'PCTC-OEPP 27-28'!F78</f>
        <v>567.51</v>
      </c>
      <c r="G182" s="929"/>
    </row>
    <row r="183" spans="1:7" ht="12" customHeight="1" thickBot="1" x14ac:dyDescent="0.25">
      <c r="A183" s="1790"/>
      <c r="B183" s="1810"/>
      <c r="C183" s="1805"/>
      <c r="D183" s="1806" t="s">
        <v>2017</v>
      </c>
      <c r="E183" s="1807" t="s">
        <v>1626</v>
      </c>
      <c r="F183" s="1812">
        <f>F181/F182</f>
        <v>20134.945075857693</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AG77" sqref="AG77"/>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4" t="s">
        <v>1926</v>
      </c>
      <c r="B6" s="1555"/>
      <c r="C6" s="1555"/>
      <c r="D6" s="1555"/>
      <c r="E6" s="1555"/>
      <c r="F6" s="1555"/>
      <c r="G6" s="1556"/>
    </row>
    <row r="7" spans="1:7" ht="30.75" customHeight="1" x14ac:dyDescent="0.25">
      <c r="A7" s="2296" t="s">
        <v>2075</v>
      </c>
      <c r="B7" s="2297"/>
      <c r="C7" s="2297"/>
      <c r="D7" s="2297"/>
      <c r="E7" s="2297"/>
      <c r="F7" s="2297"/>
      <c r="G7" s="2298"/>
    </row>
    <row r="8" spans="1:7" ht="15.75" customHeight="1" x14ac:dyDescent="0.25">
      <c r="A8" s="2299" t="s">
        <v>2024</v>
      </c>
      <c r="B8" s="2300"/>
      <c r="C8" s="2300"/>
      <c r="D8" s="2300"/>
      <c r="E8" s="2300"/>
      <c r="F8" s="2300"/>
      <c r="G8" s="2301"/>
    </row>
    <row r="9" spans="1:7" ht="35.25" customHeight="1" x14ac:dyDescent="0.25">
      <c r="A9" s="2296" t="s">
        <v>2023</v>
      </c>
      <c r="B9" s="2297"/>
      <c r="C9" s="2297"/>
      <c r="D9" s="2297"/>
      <c r="E9" s="2297"/>
      <c r="F9" s="2297"/>
      <c r="G9" s="2298"/>
    </row>
    <row r="10" spans="1:7" ht="15" customHeight="1" x14ac:dyDescent="0.25">
      <c r="A10" s="1557" t="s">
        <v>1927</v>
      </c>
      <c r="B10" s="1558"/>
      <c r="C10" s="1558"/>
      <c r="D10" s="1558"/>
      <c r="E10" s="1558"/>
      <c r="F10" s="1558"/>
      <c r="G10" s="1559"/>
    </row>
    <row r="11" spans="1:7" ht="17.25" customHeight="1" x14ac:dyDescent="0.25">
      <c r="A11" s="2296" t="s">
        <v>1941</v>
      </c>
      <c r="B11" s="2297"/>
      <c r="C11" s="2297"/>
      <c r="D11" s="2297"/>
      <c r="E11" s="2297"/>
      <c r="F11" s="2297"/>
      <c r="G11" s="2298"/>
    </row>
    <row r="12" spans="1:7" ht="15" customHeight="1" x14ac:dyDescent="0.25">
      <c r="A12" s="1557" t="s">
        <v>1932</v>
      </c>
      <c r="B12" s="1558"/>
      <c r="C12" s="1558"/>
      <c r="D12" s="1558"/>
      <c r="E12" s="1558"/>
      <c r="F12" s="1558"/>
      <c r="G12" s="1559"/>
    </row>
    <row r="13" spans="1:7" ht="32.25" customHeight="1" x14ac:dyDescent="0.25">
      <c r="A13" s="2287" t="s">
        <v>1933</v>
      </c>
      <c r="B13" s="2288"/>
      <c r="C13" s="2288"/>
      <c r="D13" s="2288"/>
      <c r="E13" s="2288"/>
      <c r="F13" s="2288"/>
      <c r="G13" s="2289"/>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60" t="s">
        <v>2136</v>
      </c>
      <c r="B17" s="1866"/>
      <c r="C17" s="1676"/>
      <c r="D17" s="1865"/>
      <c r="E17" s="1560">
        <f t="shared" ref="E17:E141" si="1">IF(D17&lt;=25000,D17,IF(D17&gt;25000,25000,0))</f>
        <v>0</v>
      </c>
      <c r="F17" s="1813">
        <f t="shared" si="0"/>
        <v>0</v>
      </c>
      <c r="G17" s="1814">
        <f>IF(F17=0,0,D17-F17)</f>
        <v>0</v>
      </c>
      <c r="H17" s="1667"/>
    </row>
    <row r="18" spans="1:8" hidden="1"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hidden="1" x14ac:dyDescent="0.25">
      <c r="A19" s="1673"/>
      <c r="B19" s="1867"/>
      <c r="C19" s="1676"/>
      <c r="D19" s="1865"/>
      <c r="E19" s="1560">
        <f t="shared" si="2"/>
        <v>0</v>
      </c>
      <c r="F19" s="1813">
        <f t="shared" si="3"/>
        <v>0</v>
      </c>
      <c r="G19" s="1814">
        <f t="shared" si="4"/>
        <v>0</v>
      </c>
    </row>
    <row r="20" spans="1:8" hidden="1" x14ac:dyDescent="0.25">
      <c r="A20" s="1673"/>
      <c r="B20" s="1866"/>
      <c r="C20" s="1676"/>
      <c r="D20" s="1865"/>
      <c r="E20" s="1560">
        <f t="shared" si="2"/>
        <v>0</v>
      </c>
      <c r="F20" s="1813">
        <f t="shared" si="3"/>
        <v>0</v>
      </c>
      <c r="G20" s="1814">
        <f t="shared" si="4"/>
        <v>0</v>
      </c>
    </row>
    <row r="21" spans="1:8" hidden="1" x14ac:dyDescent="0.25">
      <c r="A21" s="1673"/>
      <c r="B21" s="1866"/>
      <c r="C21" s="1676"/>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hidden="1" x14ac:dyDescent="0.25">
      <c r="A23" s="1673"/>
      <c r="B23" s="1866"/>
      <c r="C23" s="1676"/>
      <c r="D23" s="1865"/>
      <c r="E23" s="1560">
        <f t="shared" si="2"/>
        <v>0</v>
      </c>
      <c r="F23" s="1813">
        <f t="shared" si="3"/>
        <v>0</v>
      </c>
      <c r="G23" s="1814">
        <f t="shared" si="4"/>
        <v>0</v>
      </c>
    </row>
    <row r="24" spans="1:8" hidden="1" x14ac:dyDescent="0.25">
      <c r="A24" s="1673"/>
      <c r="B24" s="1867"/>
      <c r="C24" s="1676"/>
      <c r="D24" s="1865"/>
      <c r="E24" s="1560">
        <f t="shared" si="2"/>
        <v>0</v>
      </c>
      <c r="F24" s="1813">
        <f t="shared" si="3"/>
        <v>0</v>
      </c>
      <c r="G24" s="1814">
        <f t="shared" si="4"/>
        <v>0</v>
      </c>
    </row>
    <row r="25" spans="1:8" hidden="1"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2" t="s">
        <v>1778</v>
      </c>
      <c r="B5" s="2303"/>
      <c r="C5" s="2303"/>
      <c r="D5" s="2303"/>
      <c r="E5" s="2303"/>
      <c r="F5" s="2303"/>
      <c r="G5" s="2304"/>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142527</v>
      </c>
      <c r="F10" s="973"/>
      <c r="G10" s="974"/>
      <c r="H10" s="162"/>
      <c r="I10" s="162"/>
    </row>
    <row r="11" spans="1:9" s="667" customFormat="1" ht="22.5" customHeight="1" x14ac:dyDescent="0.2">
      <c r="A11" s="2307" t="s">
        <v>1945</v>
      </c>
      <c r="B11" s="2308"/>
      <c r="C11" s="2308"/>
      <c r="D11" s="2309"/>
      <c r="E11" s="976">
        <v>29977</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7152007</v>
      </c>
      <c r="F19" s="1820"/>
      <c r="G19" s="1822">
        <f>'Expenditures 15-22'!K33-SUM('Expenditures 15-22'!G33,'Expenditures 15-22'!I33)+'Expenditures 15-22'!D229</f>
        <v>7152007</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559206</v>
      </c>
      <c r="F21" s="1823"/>
      <c r="G21" s="1826">
        <f>'Expenditures 15-22'!K42-SUM('Expenditures 15-22'!G42,'Expenditures 15-22'!I42)+'Expenditures 15-22'!K120-SUM('Expenditures 15-22'!G120,'Expenditures 15-22'!I120)+'Expenditures 15-22'!K180-SUM('Expenditures 15-22'!G180,'Expenditures 15-22'!I180)+'Expenditures 15-22'!D238</f>
        <v>559206</v>
      </c>
      <c r="H21" s="986"/>
      <c r="I21" s="162"/>
    </row>
    <row r="22" spans="1:9" s="667" customFormat="1" ht="12" customHeight="1" x14ac:dyDescent="0.2">
      <c r="A22" s="993" t="s">
        <v>585</v>
      </c>
      <c r="B22" s="994"/>
      <c r="C22" s="992">
        <v>2200</v>
      </c>
      <c r="D22" s="1823"/>
      <c r="E22" s="1825">
        <f>'Expenditures 15-22'!K47-SUM('Expenditures 15-22'!G47,'Expenditures 15-22'!I47)+'Expenditures 15-22'!D243</f>
        <v>148639</v>
      </c>
      <c r="F22" s="1823"/>
      <c r="G22" s="1826">
        <f>'Expenditures 15-22'!K47-SUM('Expenditures 15-22'!G47,'Expenditures 15-22'!I47)+'Expenditures 15-22'!D243</f>
        <v>148639</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584709</v>
      </c>
      <c r="F23" s="1823"/>
      <c r="G23" s="1825">
        <f>'Expenditures 15-22'!K53-SUM('Expenditures 15-22'!G53,'Expenditures 15-22'!I53)+'Expenditures 15-22'!D257+'Expenditures 15-22'!K330-SUM('Expenditures 15-22'!G330,'Expenditures 15-22'!I330)</f>
        <v>584709</v>
      </c>
      <c r="H23" s="986"/>
      <c r="I23" s="162"/>
    </row>
    <row r="24" spans="1:9" s="667" customFormat="1" ht="12" customHeight="1" x14ac:dyDescent="0.2">
      <c r="A24" s="993" t="s">
        <v>587</v>
      </c>
      <c r="B24" s="994"/>
      <c r="C24" s="992">
        <v>2400</v>
      </c>
      <c r="D24" s="1823"/>
      <c r="E24" s="1825">
        <f>'Expenditures 15-22'!K57-SUM('Expenditures 15-22'!G57,'Expenditures 15-22'!I57)+'Expenditures 15-22'!D261</f>
        <v>777876</v>
      </c>
      <c r="F24" s="1823"/>
      <c r="G24" s="1826">
        <f>'Expenditures 15-22'!K57-SUM('Expenditures 15-22'!G57,'Expenditures 15-22'!I57)+'Expenditures 15-22'!D261</f>
        <v>777876</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103377</v>
      </c>
      <c r="E27" s="1825">
        <f>E8</f>
        <v>0</v>
      </c>
      <c r="F27" s="1825">
        <f>'Expenditures 15-22'!K60-SUM('Expenditures 15-22'!G60,'Expenditures 15-22'!I60)+'Expenditures 15-22'!D264-E8</f>
        <v>103377</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1278388</v>
      </c>
      <c r="F28" s="1827">
        <f>'Expenditures 15-22'!K61-SUM('Expenditures 15-22'!G61,'Expenditures 15-22'!I61)+'Expenditures 15-22'!K124-SUM('Expenditures 15-22'!G124,'Expenditures 15-22'!I124)+'Expenditures 15-22'!D266-E9</f>
        <v>1278388</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649065</v>
      </c>
      <c r="F29" s="1823"/>
      <c r="G29" s="1826">
        <f>'Expenditures 15-22'!K62-SUM('Expenditures 15-22'!G62,'Expenditures 15-22'!I62)+'Expenditures 15-22'!K125-SUM('Expenditures 15-22'!G125,'Expenditures 15-22'!I125)+'Expenditures 15-22'!K182-SUM('Expenditures 15-22'!G182,'Expenditures 15-22'!I182)+'Expenditures 15-22'!D267</f>
        <v>649065</v>
      </c>
      <c r="H29" s="984"/>
    </row>
    <row r="30" spans="1:9" ht="12" customHeight="1" x14ac:dyDescent="0.2">
      <c r="A30" s="993" t="s">
        <v>102</v>
      </c>
      <c r="B30" s="996"/>
      <c r="C30" s="992">
        <v>2560</v>
      </c>
      <c r="D30" s="1823"/>
      <c r="E30" s="1825">
        <f>'Expenditures 15-22'!K63-SUM('Expenditures 15-22'!G63,'Expenditures 15-22'!I63)+'Expenditures 15-22'!D268-E10</f>
        <v>223002</v>
      </c>
      <c r="F30" s="1823"/>
      <c r="G30" s="1825">
        <f>'Expenditures 15-22'!K63-SUM('Expenditures 15-22'!G63,'Expenditures 15-22'!I63)+'Expenditures 15-22'!D268-E10</f>
        <v>223002</v>
      </c>
    </row>
    <row r="31" spans="1:9" ht="12" customHeight="1" x14ac:dyDescent="0.2">
      <c r="A31" s="993" t="s">
        <v>103</v>
      </c>
      <c r="B31" s="996"/>
      <c r="C31" s="992">
        <v>2570</v>
      </c>
      <c r="D31" s="1825">
        <f>'Expenditures 15-22'!K64-SUM('Expenditures 15-22'!G64,'Expenditures 15-22'!I64)+'Expenditures 15-22'!D269-E12</f>
        <v>2264</v>
      </c>
      <c r="E31" s="1825">
        <f>E12</f>
        <v>0</v>
      </c>
      <c r="F31" s="1825">
        <f>'Expenditures 15-22'!K64-SUM('Expenditures 15-22'!G64,'Expenditures 15-22'!I64)+'Expenditures 15-22'!D269-E12</f>
        <v>2264</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13698</v>
      </c>
      <c r="F34" s="1823"/>
      <c r="G34" s="1825">
        <f>'Expenditures 15-22'!K68-SUM('Expenditures 15-22'!G68,'Expenditures 15-22'!I68)+'Expenditures 15-22'!D273</f>
        <v>13698</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262903</v>
      </c>
      <c r="E36" s="1825">
        <f>E13</f>
        <v>0</v>
      </c>
      <c r="F36" s="1825">
        <f>'Expenditures 15-22'!K70-SUM('Expenditures 15-22'!G70,'Expenditures 15-22'!I70)+'Expenditures 15-22'!D275-E13</f>
        <v>262903</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41813</v>
      </c>
      <c r="F39" s="1823"/>
      <c r="G39" s="1825">
        <f>'Expenditures 15-22'!K75-SUM('Expenditures 15-22'!G75,'Expenditures 15-22'!I75)+'Expenditures 15-22'!K130-SUM('Expenditures 15-22'!G130,'Expenditures 15-22'!I130)+'Expenditures 15-22'!K185-SUM('Expenditures 15-22'!G185,'Expenditures 15-22'!I185)+'Expenditures 15-22'!D280</f>
        <v>41813</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368544</v>
      </c>
      <c r="E41" s="1827">
        <f>SUM(E19:E40)</f>
        <v>11428403</v>
      </c>
      <c r="F41" s="1827">
        <f>SUM(F19:F39)</f>
        <v>1646932</v>
      </c>
      <c r="G41" s="1827">
        <f>SUM(G19:G40)</f>
        <v>10150015</v>
      </c>
    </row>
    <row r="42" spans="1:7" x14ac:dyDescent="0.2">
      <c r="A42" s="986"/>
      <c r="B42" s="162"/>
      <c r="C42" s="1000"/>
      <c r="D42" s="2305" t="s">
        <v>543</v>
      </c>
      <c r="E42" s="2306"/>
      <c r="F42" s="1001" t="s">
        <v>544</v>
      </c>
      <c r="G42" s="1002"/>
    </row>
    <row r="43" spans="1:7" ht="12" customHeight="1" x14ac:dyDescent="0.2">
      <c r="A43" s="986"/>
      <c r="B43" s="162"/>
      <c r="C43" s="1000"/>
      <c r="D43" s="1828" t="s">
        <v>493</v>
      </c>
      <c r="E43" s="1829">
        <f>D41</f>
        <v>368544</v>
      </c>
      <c r="F43" s="1828" t="s">
        <v>495</v>
      </c>
      <c r="G43" s="1829">
        <f>F41</f>
        <v>1646932</v>
      </c>
    </row>
    <row r="44" spans="1:7" ht="12" customHeight="1" x14ac:dyDescent="0.2">
      <c r="A44" s="986"/>
      <c r="B44" s="162"/>
      <c r="C44" s="1000"/>
      <c r="D44" s="1828" t="s">
        <v>494</v>
      </c>
      <c r="E44" s="1829">
        <f>E41</f>
        <v>11428403</v>
      </c>
      <c r="F44" s="1828" t="s">
        <v>494</v>
      </c>
      <c r="G44" s="1829">
        <f>G41</f>
        <v>10150015</v>
      </c>
    </row>
    <row r="45" spans="1:7" ht="12" customHeight="1" x14ac:dyDescent="0.2">
      <c r="A45" s="986"/>
      <c r="B45" s="162"/>
      <c r="C45" s="162"/>
      <c r="D45" s="1830" t="s">
        <v>1063</v>
      </c>
      <c r="E45" s="1831">
        <f>(E43/E44)</f>
        <v>3.2248075256009083E-2</v>
      </c>
      <c r="F45" s="1830" t="s">
        <v>1063</v>
      </c>
      <c r="G45" s="1831">
        <f>(G43/G44)</f>
        <v>0.16225907055309771</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G77" sqref="AG7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7.5703125" style="1901" bestFit="1" customWidth="1"/>
    <col min="9" max="9" width="4" style="1901" bestFit="1" customWidth="1"/>
    <col min="10" max="10" width="2.7109375" style="1901" bestFit="1" customWidth="1"/>
    <col min="11" max="11" width="9" style="1901" customWidth="1"/>
    <col min="12" max="16384" width="9.140625" style="1870"/>
  </cols>
  <sheetData>
    <row r="1" spans="1:10" x14ac:dyDescent="0.2">
      <c r="A1" s="2327" t="s">
        <v>1446</v>
      </c>
      <c r="B1" s="2327"/>
      <c r="C1" s="2327"/>
      <c r="D1" s="2327"/>
      <c r="E1" s="2327"/>
      <c r="F1" s="2327"/>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8" t="s">
        <v>1627</v>
      </c>
      <c r="B5" s="2329"/>
      <c r="C5" s="2330"/>
      <c r="D5" s="2330"/>
      <c r="E5" s="2330"/>
      <c r="F5" s="2330"/>
    </row>
    <row r="6" spans="1:10" ht="12" customHeight="1" x14ac:dyDescent="0.25">
      <c r="A6" s="1873"/>
      <c r="B6" s="1874"/>
      <c r="C6" s="2331" t="str">
        <f>COVER!A17</f>
        <v>Erie CUSD 1</v>
      </c>
      <c r="D6" s="2331"/>
      <c r="E6" s="2331"/>
      <c r="F6" s="1875"/>
    </row>
    <row r="7" spans="1:10" ht="11.25" customHeight="1" thickBot="1" x14ac:dyDescent="0.3">
      <c r="A7" s="1873"/>
      <c r="B7" s="1874"/>
      <c r="C7" s="2332">
        <f>COVER!A13</f>
        <v>47098001026</v>
      </c>
      <c r="D7" s="2332"/>
      <c r="E7" s="2332"/>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2098</v>
      </c>
      <c r="D13" s="1888" t="s">
        <v>2098</v>
      </c>
      <c r="E13" s="1891"/>
      <c r="F13" s="1890" t="s">
        <v>2099</v>
      </c>
      <c r="H13" s="1901">
        <f t="shared" si="0"/>
        <v>5</v>
      </c>
      <c r="I13" s="1901">
        <f t="shared" si="1"/>
        <v>5</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t="s">
        <v>2098</v>
      </c>
      <c r="D16" s="1888" t="s">
        <v>2098</v>
      </c>
      <c r="E16" s="1891"/>
      <c r="F16" s="1954" t="s">
        <v>2104</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2098</v>
      </c>
      <c r="D26" s="1888" t="s">
        <v>2098</v>
      </c>
      <c r="E26" s="1891"/>
      <c r="F26" s="1890" t="s">
        <v>2100</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2098</v>
      </c>
      <c r="D28" s="1888" t="s">
        <v>2098</v>
      </c>
      <c r="E28" s="1891"/>
      <c r="F28" s="1890" t="s">
        <v>2101</v>
      </c>
      <c r="H28" s="1901">
        <f t="shared" si="0"/>
        <v>5</v>
      </c>
      <c r="I28" s="1901">
        <f t="shared" si="1"/>
        <v>5</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2098</v>
      </c>
      <c r="D31" s="1888" t="s">
        <v>2098</v>
      </c>
      <c r="E31" s="1891"/>
      <c r="F31" s="1890" t="s">
        <v>2102</v>
      </c>
      <c r="H31" s="1901">
        <f t="shared" si="0"/>
        <v>5</v>
      </c>
      <c r="I31" s="1901">
        <f t="shared" si="1"/>
        <v>5</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t="s">
        <v>2098</v>
      </c>
      <c r="D33" s="1888" t="s">
        <v>2098</v>
      </c>
      <c r="E33" s="1891"/>
      <c r="F33" s="1890" t="s">
        <v>2103</v>
      </c>
      <c r="H33" s="1901">
        <f t="shared" si="0"/>
        <v>5</v>
      </c>
      <c r="I33" s="1901">
        <f t="shared" si="1"/>
        <v>5</v>
      </c>
      <c r="J33" s="1901">
        <f t="shared" si="2"/>
        <v>0</v>
      </c>
    </row>
    <row r="34" spans="1:11" ht="12" customHeight="1" x14ac:dyDescent="0.25">
      <c r="A34" s="1893"/>
      <c r="B34" s="1893"/>
      <c r="C34" s="1893"/>
      <c r="D34" s="1893"/>
      <c r="E34" s="1893"/>
      <c r="F34" s="1893"/>
      <c r="H34" s="1901">
        <f>SUM(H11:H32)</f>
        <v>25</v>
      </c>
      <c r="I34" s="1901">
        <f>SUM(I11:I32)</f>
        <v>25</v>
      </c>
      <c r="J34" s="1901">
        <f>SUM(J11:J32)</f>
        <v>0</v>
      </c>
      <c r="K34" s="1901">
        <f>SUM(H34:J34)</f>
        <v>50</v>
      </c>
    </row>
    <row r="35" spans="1:11" ht="12" customHeight="1" x14ac:dyDescent="0.2">
      <c r="A35" s="1894" t="s">
        <v>1459</v>
      </c>
      <c r="B35" s="1895"/>
      <c r="C35" s="2333"/>
      <c r="D35" s="2333"/>
      <c r="E35" s="2333"/>
      <c r="F35" s="2334"/>
    </row>
    <row r="36" spans="1:11" s="1958" customFormat="1" ht="12" customHeight="1" x14ac:dyDescent="0.2">
      <c r="A36" s="2324" t="s">
        <v>2105</v>
      </c>
      <c r="B36" s="2325"/>
      <c r="C36" s="2325"/>
      <c r="D36" s="2325"/>
      <c r="E36" s="2325"/>
      <c r="F36" s="2326"/>
      <c r="H36" s="1959"/>
      <c r="I36" s="1959"/>
      <c r="J36" s="1959"/>
      <c r="K36" s="1959"/>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96"/>
      <c r="B39" s="1896"/>
      <c r="C39" s="1896"/>
      <c r="D39" s="1896"/>
      <c r="E39" s="1896"/>
      <c r="F39" s="1896"/>
    </row>
    <row r="40" spans="1:11" s="1893" customFormat="1" ht="12" customHeight="1" x14ac:dyDescent="0.25">
      <c r="A40" s="1897" t="s">
        <v>1458</v>
      </c>
      <c r="B40" s="1898"/>
      <c r="C40" s="2319"/>
      <c r="D40" s="2319"/>
      <c r="E40" s="2319"/>
      <c r="F40" s="2320"/>
      <c r="H40" s="1902"/>
      <c r="I40" s="1902"/>
      <c r="J40" s="1902"/>
      <c r="K40" s="1902"/>
    </row>
    <row r="41" spans="1:11" s="1893" customFormat="1" ht="12" customHeight="1" x14ac:dyDescent="0.25">
      <c r="A41" s="2321"/>
      <c r="B41" s="2322"/>
      <c r="C41" s="2322"/>
      <c r="D41" s="2322"/>
      <c r="E41" s="2322"/>
      <c r="F41" s="2323"/>
      <c r="H41" s="1902"/>
      <c r="I41" s="1902"/>
      <c r="J41" s="1902"/>
      <c r="K41" s="1902"/>
    </row>
    <row r="42" spans="1:11" s="1893" customFormat="1" ht="12" customHeight="1" x14ac:dyDescent="0.25">
      <c r="A42" s="2321"/>
      <c r="B42" s="2322"/>
      <c r="C42" s="2322"/>
      <c r="D42" s="2322"/>
      <c r="E42" s="2322"/>
      <c r="F42" s="2323"/>
      <c r="H42" s="1902"/>
      <c r="I42" s="1902"/>
      <c r="J42" s="1902"/>
      <c r="K42" s="1902"/>
    </row>
    <row r="43" spans="1:11" s="1893" customFormat="1" ht="15" x14ac:dyDescent="0.25">
      <c r="A43" s="2310"/>
      <c r="B43" s="2311"/>
      <c r="C43" s="2311"/>
      <c r="D43" s="2311"/>
      <c r="E43" s="2311"/>
      <c r="F43" s="2312"/>
      <c r="H43" s="1902"/>
      <c r="I43" s="1902"/>
      <c r="J43" s="1902"/>
      <c r="K43" s="1902"/>
    </row>
    <row r="44" spans="1:11" s="1893" customFormat="1" ht="12" hidden="1" customHeight="1" x14ac:dyDescent="0.25">
      <c r="A44" s="2310"/>
      <c r="B44" s="2311"/>
      <c r="C44" s="2311"/>
      <c r="D44" s="2311"/>
      <c r="E44" s="2311"/>
      <c r="F44" s="2312"/>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40" t="str">
        <f>COVER!A17</f>
        <v>Erie CUSD 1</v>
      </c>
      <c r="J6" s="2341"/>
      <c r="Q6" s="1684"/>
    </row>
    <row r="7" spans="1:17" x14ac:dyDescent="0.2">
      <c r="A7" s="2342" t="s">
        <v>924</v>
      </c>
      <c r="B7" s="2343"/>
      <c r="C7" s="2343"/>
      <c r="D7" s="2343"/>
      <c r="E7" s="2344"/>
      <c r="F7" s="1016"/>
      <c r="G7" s="1008"/>
      <c r="H7" s="1015" t="s">
        <v>390</v>
      </c>
      <c r="I7" s="2345">
        <f>COVER!A13</f>
        <v>47098001026</v>
      </c>
      <c r="J7" s="2345"/>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6" t="s">
        <v>502</v>
      </c>
      <c r="B11" s="2347"/>
      <c r="C11" s="2348"/>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293762</v>
      </c>
      <c r="F12" s="1038"/>
      <c r="G12" s="1832">
        <f t="shared" ref="G12:G18" si="0">SUM(E12:F12)</f>
        <v>293762</v>
      </c>
      <c r="H12" s="1039">
        <v>248286</v>
      </c>
      <c r="I12" s="1038"/>
      <c r="J12" s="1832">
        <f t="shared" ref="J12:J18" si="1">SUM(H12:I12)</f>
        <v>248286</v>
      </c>
    </row>
    <row r="13" spans="1:17" ht="15" customHeight="1" x14ac:dyDescent="0.2">
      <c r="A13" s="1034">
        <v>2</v>
      </c>
      <c r="B13" s="1035" t="s">
        <v>44</v>
      </c>
      <c r="C13" s="1036"/>
      <c r="D13" s="1037">
        <v>2330</v>
      </c>
      <c r="E13" s="1832">
        <f>'Expenditures 15-22'!K51</f>
        <v>2101</v>
      </c>
      <c r="F13" s="1038"/>
      <c r="G13" s="1832">
        <f t="shared" si="0"/>
        <v>2101</v>
      </c>
      <c r="H13" s="1039">
        <v>2500</v>
      </c>
      <c r="I13" s="1038"/>
      <c r="J13" s="1832">
        <f t="shared" si="1"/>
        <v>2500</v>
      </c>
    </row>
    <row r="14" spans="1:17" ht="15" customHeight="1" x14ac:dyDescent="0.2">
      <c r="A14" s="1034">
        <v>3</v>
      </c>
      <c r="B14" s="1035" t="s">
        <v>45</v>
      </c>
      <c r="C14" s="1036"/>
      <c r="D14" s="1040">
        <v>2490</v>
      </c>
      <c r="E14" s="1832">
        <f>'Expenditures 15-22'!K56</f>
        <v>0</v>
      </c>
      <c r="F14" s="1038"/>
      <c r="G14" s="1832">
        <f t="shared" si="0"/>
        <v>0</v>
      </c>
      <c r="H14" s="1039">
        <v>0</v>
      </c>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v>0</v>
      </c>
      <c r="I15" s="1039"/>
      <c r="J15" s="1832">
        <f t="shared" si="1"/>
        <v>0</v>
      </c>
    </row>
    <row r="16" spans="1:17" ht="15" customHeight="1" x14ac:dyDescent="0.2">
      <c r="A16" s="1034">
        <v>5</v>
      </c>
      <c r="B16" s="1035" t="s">
        <v>103</v>
      </c>
      <c r="C16" s="1036"/>
      <c r="D16" s="1037">
        <v>2570</v>
      </c>
      <c r="E16" s="1832">
        <f>'Expenditures 15-22'!K64</f>
        <v>2264</v>
      </c>
      <c r="F16" s="1038"/>
      <c r="G16" s="1832">
        <f t="shared" si="0"/>
        <v>2264</v>
      </c>
      <c r="H16" s="1039">
        <v>2000</v>
      </c>
      <c r="I16" s="1038"/>
      <c r="J16" s="1832">
        <f t="shared" si="1"/>
        <v>2000</v>
      </c>
    </row>
    <row r="17" spans="1:10" ht="15" customHeight="1" x14ac:dyDescent="0.2">
      <c r="A17" s="1034">
        <v>6</v>
      </c>
      <c r="B17" s="1035" t="s">
        <v>1120</v>
      </c>
      <c r="C17" s="1036"/>
      <c r="D17" s="1037">
        <v>2610</v>
      </c>
      <c r="E17" s="1832">
        <f>'Expenditures 15-22'!K67</f>
        <v>0</v>
      </c>
      <c r="F17" s="1038"/>
      <c r="G17" s="1832">
        <f t="shared" si="0"/>
        <v>0</v>
      </c>
      <c r="H17" s="1039">
        <v>0</v>
      </c>
      <c r="I17" s="1038"/>
      <c r="J17" s="1832">
        <f t="shared" si="1"/>
        <v>0</v>
      </c>
    </row>
    <row r="18" spans="1:10" ht="22.5" customHeight="1" x14ac:dyDescent="0.2">
      <c r="A18" s="1041">
        <v>7</v>
      </c>
      <c r="B18" s="2349" t="s">
        <v>7</v>
      </c>
      <c r="C18" s="2350"/>
      <c r="D18" s="2351"/>
      <c r="E18" s="1042"/>
      <c r="F18" s="1042"/>
      <c r="G18" s="1833">
        <f t="shared" si="0"/>
        <v>0</v>
      </c>
      <c r="H18" s="1039">
        <v>0</v>
      </c>
      <c r="I18" s="1039"/>
      <c r="J18" s="1832">
        <f t="shared" si="1"/>
        <v>0</v>
      </c>
    </row>
    <row r="19" spans="1:10" ht="12.75" customHeight="1" thickBot="1" x14ac:dyDescent="0.25">
      <c r="A19" s="1034">
        <v>8</v>
      </c>
      <c r="B19" s="1043" t="s">
        <v>1223</v>
      </c>
      <c r="D19" s="1044"/>
      <c r="E19" s="1834">
        <f t="shared" ref="E19:J19" si="2">SUM(E12:E17)-E18</f>
        <v>298127</v>
      </c>
      <c r="F19" s="1834">
        <f t="shared" si="2"/>
        <v>0</v>
      </c>
      <c r="G19" s="1834">
        <f t="shared" si="2"/>
        <v>298127</v>
      </c>
      <c r="H19" s="1834">
        <f t="shared" si="2"/>
        <v>252786</v>
      </c>
      <c r="I19" s="1834">
        <f t="shared" si="2"/>
        <v>0</v>
      </c>
      <c r="J19" s="1834">
        <f t="shared" si="2"/>
        <v>252786</v>
      </c>
    </row>
    <row r="20" spans="1:10" ht="13.5" thickTop="1" x14ac:dyDescent="0.2">
      <c r="A20" s="1034">
        <v>9</v>
      </c>
      <c r="B20" s="2352" t="s">
        <v>1703</v>
      </c>
      <c r="C20" s="2352"/>
      <c r="D20" s="2353"/>
      <c r="E20" s="1045"/>
      <c r="F20" s="1045"/>
      <c r="G20" s="1045"/>
      <c r="H20" s="1045"/>
      <c r="I20" s="1045"/>
      <c r="J20" s="1835">
        <f>IF(AND(G19&gt;0,J19&gt;0),(((J19-G19)/G19)),"Enter Budget Data")</f>
        <v>-0.15208619145531937</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8"/>
      <c r="D26" s="2358"/>
      <c r="E26" s="1049"/>
      <c r="F26" s="2357"/>
      <c r="G26" s="2357"/>
    </row>
    <row r="27" spans="1:10" x14ac:dyDescent="0.2">
      <c r="B27" s="1046"/>
      <c r="C27" s="1050" t="s">
        <v>1093</v>
      </c>
      <c r="D27" s="1051"/>
      <c r="E27" s="1052"/>
      <c r="F27" s="2354" t="s">
        <v>1589</v>
      </c>
      <c r="G27" s="2354"/>
    </row>
    <row r="28" spans="1:10" ht="28.5" customHeight="1" x14ac:dyDescent="0.2">
      <c r="B28" s="1046"/>
      <c r="C28" s="2356"/>
      <c r="D28" s="2356"/>
      <c r="E28" s="1053"/>
      <c r="F28" s="2356"/>
      <c r="G28" s="2356"/>
    </row>
    <row r="29" spans="1:10" x14ac:dyDescent="0.2">
      <c r="B29" s="1046"/>
      <c r="C29" s="1054" t="s">
        <v>1642</v>
      </c>
      <c r="E29" s="1055"/>
      <c r="F29" s="2355" t="s">
        <v>1590</v>
      </c>
      <c r="G29" s="2355"/>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1"/>
    </row>
    <row r="36" spans="1:10" ht="13.5" customHeight="1" x14ac:dyDescent="0.2">
      <c r="B36" s="1060"/>
      <c r="C36" s="2339" t="s">
        <v>1944</v>
      </c>
      <c r="D36" s="2338"/>
      <c r="E36" s="2338"/>
      <c r="F36" s="2338"/>
      <c r="G36" s="2338"/>
      <c r="H36" s="2338"/>
      <c r="I36" s="2338"/>
      <c r="J36" s="1062"/>
    </row>
    <row r="37" spans="1:10" ht="22.5" customHeight="1" x14ac:dyDescent="0.2">
      <c r="C37" s="2338"/>
      <c r="D37" s="2338"/>
      <c r="E37" s="2338"/>
      <c r="F37" s="2338"/>
      <c r="G37" s="2338"/>
      <c r="H37" s="2338"/>
      <c r="I37" s="2338"/>
      <c r="J37" s="1062"/>
    </row>
    <row r="38" spans="1:10" ht="7.5" customHeight="1" x14ac:dyDescent="0.2">
      <c r="C38" s="1061"/>
      <c r="D38" s="1063"/>
      <c r="E38" s="1064"/>
      <c r="F38" s="1065"/>
      <c r="G38" s="1064"/>
    </row>
    <row r="39" spans="1:10" ht="13.5" customHeight="1" x14ac:dyDescent="0.2">
      <c r="B39" s="1060"/>
      <c r="C39" s="2335" t="s">
        <v>937</v>
      </c>
      <c r="D39" s="2336"/>
      <c r="E39" s="2336"/>
      <c r="F39" s="2336"/>
      <c r="G39" s="2336"/>
      <c r="H39" s="2336"/>
      <c r="I39" s="2336"/>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2127</v>
      </c>
    </row>
    <row r="6" spans="1:2" x14ac:dyDescent="0.2">
      <c r="A6" s="1067">
        <v>2</v>
      </c>
      <c r="B6" s="329" t="s">
        <v>2128</v>
      </c>
    </row>
    <row r="7" spans="1:2" x14ac:dyDescent="0.2">
      <c r="A7" s="1067">
        <v>3</v>
      </c>
      <c r="B7" s="329" t="s">
        <v>2129</v>
      </c>
    </row>
    <row r="8" spans="1:2" x14ac:dyDescent="0.2">
      <c r="A8" s="1067">
        <v>4</v>
      </c>
      <c r="B8" s="329" t="s">
        <v>2130</v>
      </c>
    </row>
    <row r="9" spans="1:2" x14ac:dyDescent="0.2">
      <c r="A9" s="1067">
        <v>5</v>
      </c>
      <c r="B9" s="329" t="s">
        <v>2131</v>
      </c>
    </row>
    <row r="10" spans="1:2" x14ac:dyDescent="0.2">
      <c r="A10" s="1067">
        <v>6</v>
      </c>
      <c r="B10" s="329" t="s">
        <v>2132</v>
      </c>
    </row>
    <row r="11" spans="1:2" x14ac:dyDescent="0.2">
      <c r="A11" s="1067">
        <v>7</v>
      </c>
      <c r="B11" s="329" t="s">
        <v>2133</v>
      </c>
    </row>
    <row r="12" spans="1:2" x14ac:dyDescent="0.2">
      <c r="A12" s="1067">
        <v>8</v>
      </c>
      <c r="B12" s="329" t="s">
        <v>2134</v>
      </c>
    </row>
    <row r="13" spans="1:2" x14ac:dyDescent="0.2">
      <c r="A13" s="1067">
        <v>9</v>
      </c>
      <c r="B13" s="329" t="s">
        <v>2135</v>
      </c>
    </row>
    <row r="14" spans="1:2" x14ac:dyDescent="0.2">
      <c r="A14" s="1067">
        <v>10</v>
      </c>
      <c r="B14" s="329" t="s">
        <v>2137</v>
      </c>
    </row>
    <row r="15" spans="1:2" x14ac:dyDescent="0.2">
      <c r="A15" s="1067"/>
      <c r="B15" s="329" t="s">
        <v>2138</v>
      </c>
    </row>
    <row r="16" spans="1:2" x14ac:dyDescent="0.2">
      <c r="A16" s="1067"/>
      <c r="B16" s="329" t="s">
        <v>2139</v>
      </c>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Erie CUSD 1</v>
      </c>
    </row>
    <row r="65" spans="2:2" x14ac:dyDescent="0.2">
      <c r="B65" s="1069">
        <f>COVER!A13</f>
        <v>47098001026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9" t="s">
        <v>1784</v>
      </c>
      <c r="B18" s="235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1790</v>
      </c>
      <c r="B1" s="2361"/>
      <c r="C1" s="2361"/>
      <c r="D1" s="2361"/>
      <c r="E1" s="2361"/>
      <c r="F1" s="2362"/>
    </row>
    <row r="2" spans="1:8" ht="45" customHeight="1" x14ac:dyDescent="0.2">
      <c r="A2" s="2370" t="s">
        <v>1791</v>
      </c>
      <c r="B2" s="2371"/>
      <c r="C2" s="2371"/>
      <c r="D2" s="2371"/>
      <c r="E2" s="2371"/>
      <c r="F2" s="2372"/>
      <c r="G2" s="1073"/>
      <c r="H2" s="1073"/>
    </row>
    <row r="3" spans="1:8" ht="57" customHeight="1" x14ac:dyDescent="0.2">
      <c r="A3" s="2373" t="s">
        <v>1786</v>
      </c>
      <c r="B3" s="2374"/>
      <c r="C3" s="2374"/>
      <c r="D3" s="2374"/>
      <c r="E3" s="2374"/>
      <c r="F3" s="2375"/>
      <c r="G3" s="1073"/>
      <c r="H3" s="1073"/>
    </row>
    <row r="4" spans="1:8" ht="14.25" customHeight="1" x14ac:dyDescent="0.2">
      <c r="A4" s="2379" t="s">
        <v>2056</v>
      </c>
      <c r="B4" s="2380"/>
      <c r="C4" s="2380"/>
      <c r="D4" s="2380"/>
      <c r="E4" s="2380"/>
      <c r="F4" s="2381"/>
      <c r="G4" s="1073"/>
      <c r="H4" s="1073"/>
    </row>
    <row r="5" spans="1:8" ht="14.25" customHeight="1" x14ac:dyDescent="0.2">
      <c r="A5" s="2382" t="s">
        <v>2057</v>
      </c>
      <c r="B5" s="2383"/>
      <c r="C5" s="2383"/>
      <c r="D5" s="2383"/>
      <c r="E5" s="2383"/>
      <c r="F5" s="2384"/>
      <c r="G5" s="1073"/>
      <c r="H5" s="1073"/>
    </row>
    <row r="6" spans="1:8" s="1074" customFormat="1" ht="41.25" customHeight="1" x14ac:dyDescent="0.2">
      <c r="A6" s="2376" t="s">
        <v>1792</v>
      </c>
      <c r="B6" s="2377"/>
      <c r="C6" s="2377"/>
      <c r="D6" s="2377"/>
      <c r="E6" s="2377"/>
      <c r="F6" s="2378"/>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13302138</v>
      </c>
      <c r="C8" s="1836">
        <f>'Acct Summary 7-8'!D8</f>
        <v>2214955</v>
      </c>
      <c r="D8" s="1836">
        <f>'Acct Summary 7-8'!F8</f>
        <v>1217899</v>
      </c>
      <c r="E8" s="1836">
        <f>'Acct Summary 7-8'!I8</f>
        <v>251310</v>
      </c>
      <c r="F8" s="1836">
        <f>SUM(B8:E8)</f>
        <v>16986302</v>
      </c>
    </row>
    <row r="9" spans="1:8" s="1078" customFormat="1" ht="14.25" customHeight="1" thickBot="1" x14ac:dyDescent="0.25">
      <c r="A9" s="1077" t="s">
        <v>1436</v>
      </c>
      <c r="B9" s="1837">
        <f>'Acct Summary 7-8'!C17</f>
        <v>10554297</v>
      </c>
      <c r="C9" s="1837">
        <f>'Acct Summary 7-8'!D17</f>
        <v>1859710</v>
      </c>
      <c r="D9" s="1837">
        <f>'Acct Summary 7-8'!F17</f>
        <v>602299</v>
      </c>
      <c r="E9" s="1836"/>
      <c r="F9" s="1836">
        <f>SUM(B9:E9)</f>
        <v>13016306</v>
      </c>
    </row>
    <row r="10" spans="1:8" s="1078" customFormat="1" ht="14.25" thickTop="1" thickBot="1" x14ac:dyDescent="0.25">
      <c r="A10" s="1079" t="s">
        <v>1437</v>
      </c>
      <c r="B10" s="1838">
        <f>(B8-B9)</f>
        <v>2747841</v>
      </c>
      <c r="C10" s="1838">
        <f>(C8-C9)</f>
        <v>355245</v>
      </c>
      <c r="D10" s="1838">
        <f>(D8-D9)</f>
        <v>615600</v>
      </c>
      <c r="E10" s="1837">
        <f>(E8-E9)</f>
        <v>251310</v>
      </c>
      <c r="F10" s="1839">
        <f>SUM(F8-F9)</f>
        <v>3969996</v>
      </c>
    </row>
    <row r="11" spans="1:8" s="1078" customFormat="1" ht="14.25" thickTop="1" thickBot="1" x14ac:dyDescent="0.25">
      <c r="A11" s="1080" t="s">
        <v>1785</v>
      </c>
      <c r="B11" s="1840">
        <f>'Acct Summary 7-8'!C81</f>
        <v>6005663</v>
      </c>
      <c r="C11" s="1840">
        <f>'Acct Summary 7-8'!D81</f>
        <v>4434216</v>
      </c>
      <c r="D11" s="1840">
        <f>'Acct Summary 7-8'!F81</f>
        <v>1378905</v>
      </c>
      <c r="E11" s="1840">
        <f>'Acct Summary 7-8'!I81</f>
        <v>3162417</v>
      </c>
      <c r="F11" s="1841">
        <f>SUM(B11:E11)</f>
        <v>14981201</v>
      </c>
    </row>
    <row r="12" spans="1:8" ht="16.5" customHeight="1" thickTop="1" x14ac:dyDescent="0.2">
      <c r="A12" s="1081"/>
      <c r="B12" s="1082"/>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3"/>
      <c r="B13" s="1084"/>
      <c r="C13" s="2364"/>
      <c r="D13" s="2365"/>
      <c r="E13" s="2365"/>
      <c r="F13" s="2366"/>
      <c r="H13" s="1073"/>
    </row>
    <row r="14" spans="1:8" ht="19.5" customHeight="1" x14ac:dyDescent="0.2">
      <c r="A14" s="1083"/>
      <c r="B14" s="1084"/>
      <c r="C14" s="2364"/>
      <c r="D14" s="2365"/>
      <c r="E14" s="2365"/>
      <c r="F14" s="2366"/>
      <c r="H14" s="1073"/>
    </row>
    <row r="15" spans="1:8" ht="17.25" customHeight="1" x14ac:dyDescent="0.2">
      <c r="A15" s="1083"/>
      <c r="B15" s="1084"/>
      <c r="C15" s="2367"/>
      <c r="D15" s="2368"/>
      <c r="E15" s="2368"/>
      <c r="F15" s="2369"/>
      <c r="H15" s="1073"/>
    </row>
    <row r="16" spans="1:8" s="310" customFormat="1" ht="51.75" hidden="1" customHeight="1" x14ac:dyDescent="0.2">
      <c r="A16" s="2363" t="s">
        <v>1787</v>
      </c>
      <c r="B16" s="2363"/>
      <c r="C16" s="2363"/>
      <c r="D16" s="2363"/>
      <c r="E16" s="2363"/>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5" t="s">
        <v>686</v>
      </c>
      <c r="B3" s="2386"/>
      <c r="C3" s="2386"/>
      <c r="D3" s="2387"/>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6" t="s">
        <v>1584</v>
      </c>
      <c r="D7" s="2397"/>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8" t="s">
        <v>1065</v>
      </c>
      <c r="B15" s="2389"/>
      <c r="C15" s="2389"/>
      <c r="D15" s="2390"/>
    </row>
    <row r="16" spans="1:4" s="667" customFormat="1" ht="24" customHeight="1" x14ac:dyDescent="0.2">
      <c r="A16" s="2391" t="s">
        <v>684</v>
      </c>
      <c r="B16" s="2392"/>
      <c r="C16" s="2392"/>
      <c r="D16" s="2393"/>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00" t="s">
        <v>332</v>
      </c>
      <c r="D21" s="2401"/>
    </row>
    <row r="22" spans="1:10" ht="12.75" x14ac:dyDescent="0.2">
      <c r="A22" s="1138"/>
      <c r="B22" s="1139">
        <v>2</v>
      </c>
      <c r="C22" s="2398" t="s">
        <v>1605</v>
      </c>
      <c r="D22" s="2399"/>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02" t="s">
        <v>557</v>
      </c>
      <c r="D43" s="2403"/>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4" t="s">
        <v>817</v>
      </c>
      <c r="D56" s="2395"/>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94" t="s">
        <v>1797</v>
      </c>
      <c r="D70" s="2395"/>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47098001026</v>
      </c>
    </row>
    <row r="3" spans="1:2" x14ac:dyDescent="0.2">
      <c r="A3" t="s">
        <v>1013</v>
      </c>
      <c r="B3" s="138" t="str">
        <f>COVER!A15</f>
        <v>Whiteside</v>
      </c>
    </row>
    <row r="4" spans="1:2" x14ac:dyDescent="0.2">
      <c r="A4" t="s">
        <v>1064</v>
      </c>
      <c r="B4" s="138" t="str">
        <f>COVER!A17</f>
        <v>Erie CUSD 1</v>
      </c>
    </row>
    <row r="5" spans="1:2" x14ac:dyDescent="0.2">
      <c r="A5" t="s">
        <v>728</v>
      </c>
      <c r="B5" s="138" t="str">
        <f>COVER!A38</f>
        <v>Marty Felesena</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Russell J. Rumbold II, CPA</v>
      </c>
    </row>
    <row r="18" spans="1:2" x14ac:dyDescent="0.2">
      <c r="A18" t="s">
        <v>1212</v>
      </c>
      <c r="B18" s="138" t="str">
        <f>COVER!T17</f>
        <v>4200 N Knoxville Ave</v>
      </c>
    </row>
    <row r="19" spans="1:2" x14ac:dyDescent="0.2">
      <c r="A19" t="s">
        <v>941</v>
      </c>
      <c r="B19" s="138" t="str">
        <f>COVER!T25</f>
        <v>rrumbold@gorenzcpa.com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5300000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6005663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6005663</v>
      </c>
      <c r="D92" s="2" t="str">
        <f t="shared" si="0"/>
        <v>Error?</v>
      </c>
    </row>
    <row r="93" spans="1:4" x14ac:dyDescent="0.2">
      <c r="A93" s="5">
        <v>32</v>
      </c>
      <c r="B93" s="138">
        <f>'Assets-Liab 5-6'!C41</f>
        <v>6005663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3400000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4434216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4434216</v>
      </c>
      <c r="D123" s="2" t="str">
        <f t="shared" si="0"/>
        <v>Error?</v>
      </c>
    </row>
    <row r="124" spans="1:4" x14ac:dyDescent="0.2">
      <c r="A124" s="5">
        <v>63</v>
      </c>
      <c r="B124" s="138">
        <f>'Assets-Liab 5-6'!D41</f>
        <v>4434216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354666</v>
      </c>
      <c r="D129" s="2" t="str">
        <f t="shared" si="1"/>
        <v>Error?</v>
      </c>
    </row>
    <row r="130" spans="1:4" x14ac:dyDescent="0.2">
      <c r="A130" s="5">
        <v>69</v>
      </c>
      <c r="B130" s="138">
        <f>'Assets-Liab 5-6'!E12</f>
        <v>0</v>
      </c>
      <c r="D130" s="2" t="str">
        <f t="shared" si="1"/>
        <v>Error?</v>
      </c>
    </row>
    <row r="131" spans="1:4" x14ac:dyDescent="0.2">
      <c r="A131" s="5">
        <v>70</v>
      </c>
      <c r="B131" s="138">
        <f>'Assets-Liab 5-6'!E13</f>
        <v>355118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355118</v>
      </c>
      <c r="D140" s="2" t="str">
        <f t="shared" si="1"/>
        <v>Error?</v>
      </c>
    </row>
    <row r="141" spans="1:4" x14ac:dyDescent="0.2">
      <c r="A141" s="5">
        <v>80</v>
      </c>
      <c r="B141" s="138">
        <f>'Assets-Liab 5-6'!E41</f>
        <v>355118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1100000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1378905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1378905</v>
      </c>
      <c r="D170" s="2" t="str">
        <f t="shared" si="1"/>
        <v>Error?</v>
      </c>
    </row>
    <row r="171" spans="1:4" x14ac:dyDescent="0.2">
      <c r="A171" s="5">
        <v>110</v>
      </c>
      <c r="B171" s="138">
        <f>'Assets-Liab 5-6'!F41</f>
        <v>1378905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265000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413007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80474</v>
      </c>
      <c r="D189" s="2" t="str">
        <f t="shared" si="1"/>
        <v>Error?</v>
      </c>
    </row>
    <row r="190" spans="1:4" x14ac:dyDescent="0.2">
      <c r="A190" s="5">
        <v>129</v>
      </c>
      <c r="B190" s="138">
        <f>'Assets-Liab 5-6'!G41</f>
        <v>413007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2769638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2791023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1997698</v>
      </c>
      <c r="D212" s="2" t="str">
        <f t="shared" si="2"/>
        <v>Error?</v>
      </c>
    </row>
    <row r="213" spans="1:4" x14ac:dyDescent="0.2">
      <c r="A213" s="12">
        <v>152</v>
      </c>
      <c r="B213" s="138">
        <f>'Assets-Liab 5-6'!H41</f>
        <v>2791023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190042</v>
      </c>
      <c r="D273" s="2" t="str">
        <f t="shared" si="3"/>
        <v>Error?</v>
      </c>
    </row>
    <row r="274" spans="1:4" x14ac:dyDescent="0.2">
      <c r="A274" s="5">
        <v>213</v>
      </c>
      <c r="B274" s="138">
        <f>'Assets-Liab 5-6'!M17</f>
        <v>15600718</v>
      </c>
      <c r="D274" s="2" t="str">
        <f t="shared" si="3"/>
        <v>Error?</v>
      </c>
    </row>
    <row r="275" spans="1:4" x14ac:dyDescent="0.2">
      <c r="A275" s="5">
        <v>214</v>
      </c>
      <c r="B275" s="138">
        <f>'Assets-Liab 5-6'!M18</f>
        <v>7098643</v>
      </c>
      <c r="D275" s="2" t="str">
        <f t="shared" si="3"/>
        <v>Error?</v>
      </c>
    </row>
    <row r="276" spans="1:4" x14ac:dyDescent="0.2">
      <c r="A276" s="5">
        <v>215</v>
      </c>
      <c r="B276" s="138">
        <f>'Assets-Liab 5-6'!M19</f>
        <v>4155386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28676596</v>
      </c>
      <c r="C279" s="2" t="s">
        <v>594</v>
      </c>
      <c r="D279" s="2" t="str">
        <f t="shared" si="3"/>
        <v>Error?</v>
      </c>
    </row>
    <row r="280" spans="1:4" x14ac:dyDescent="0.2">
      <c r="A280" s="5">
        <v>219</v>
      </c>
      <c r="B280" s="138">
        <f>'Assets-Liab 5-6'!M40</f>
        <v>28676596</v>
      </c>
      <c r="D280" s="2" t="str">
        <f t="shared" si="3"/>
        <v>Error?</v>
      </c>
    </row>
    <row r="281" spans="1:4" x14ac:dyDescent="0.2">
      <c r="A281" s="5">
        <v>220</v>
      </c>
      <c r="B281" s="138">
        <f>'Assets-Liab 5-6'!M41</f>
        <v>28676596</v>
      </c>
      <c r="C281" s="2" t="s">
        <v>594</v>
      </c>
      <c r="D281" s="2" t="str">
        <f t="shared" si="3"/>
        <v>Error?</v>
      </c>
    </row>
    <row r="282" spans="1:4" x14ac:dyDescent="0.2">
      <c r="A282" s="5">
        <v>221</v>
      </c>
      <c r="B282" s="138">
        <f>'Assets-Liab 5-6'!N21</f>
        <v>355118</v>
      </c>
      <c r="D282" s="2" t="str">
        <f t="shared" si="3"/>
        <v>Error?</v>
      </c>
    </row>
    <row r="283" spans="1:4" x14ac:dyDescent="0.2">
      <c r="A283" s="5">
        <v>222</v>
      </c>
      <c r="B283" s="138">
        <f>'Assets-Liab 5-6'!N22</f>
        <v>2351527</v>
      </c>
      <c r="D283" s="2" t="str">
        <f t="shared" si="3"/>
        <v>Error?</v>
      </c>
    </row>
    <row r="284" spans="1:4" x14ac:dyDescent="0.2">
      <c r="A284" s="5">
        <v>223</v>
      </c>
      <c r="B284" s="138">
        <f>'Assets-Liab 5-6'!N23</f>
        <v>2706645</v>
      </c>
      <c r="C284" s="2" t="s">
        <v>594</v>
      </c>
      <c r="D284" s="2" t="str">
        <f t="shared" si="3"/>
        <v>Error?</v>
      </c>
    </row>
    <row r="285" spans="1:4" x14ac:dyDescent="0.2">
      <c r="A285" s="5">
        <v>224</v>
      </c>
      <c r="B285" s="138">
        <f>'Assets-Liab 5-6'!N36</f>
        <v>2706645</v>
      </c>
      <c r="D285" s="2" t="str">
        <f t="shared" si="3"/>
        <v>Error?</v>
      </c>
    </row>
    <row r="286" spans="1:4" x14ac:dyDescent="0.2">
      <c r="A286" s="10">
        <v>225</v>
      </c>
      <c r="D286" s="2" t="str">
        <f t="shared" si="3"/>
        <v>OK</v>
      </c>
    </row>
    <row r="287" spans="1:4" x14ac:dyDescent="0.2">
      <c r="A287" s="5">
        <v>226</v>
      </c>
      <c r="B287" s="138">
        <f>'Assets-Liab 5-6'!N37</f>
        <v>2706645</v>
      </c>
      <c r="C287" s="2" t="s">
        <v>594</v>
      </c>
      <c r="D287" s="2" t="str">
        <f t="shared" si="3"/>
        <v>Error?</v>
      </c>
    </row>
    <row r="288" spans="1:4" x14ac:dyDescent="0.2">
      <c r="A288" s="5">
        <v>227</v>
      </c>
      <c r="B288" s="138">
        <f>'Assets-Liab 5-6'!N41</f>
        <v>2706645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3721526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244129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5134574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260585</v>
      </c>
      <c r="D722" s="2" t="str">
        <f t="shared" si="10"/>
        <v>Error?</v>
      </c>
    </row>
    <row r="723" spans="1:4" x14ac:dyDescent="0.2">
      <c r="A723" s="5">
        <v>662</v>
      </c>
      <c r="B723" s="138">
        <f>'Expenditures 15-22'!C38</f>
        <v>90273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68835</v>
      </c>
      <c r="D725" s="2" t="str">
        <f t="shared" si="10"/>
        <v>Error?</v>
      </c>
    </row>
    <row r="726" spans="1:4" x14ac:dyDescent="0.2">
      <c r="A726" s="5">
        <v>665</v>
      </c>
      <c r="B726" s="138">
        <f>'Expenditures 15-22'!C41</f>
        <v>5452</v>
      </c>
      <c r="D726" s="2" t="str">
        <f t="shared" si="10"/>
        <v>Error?</v>
      </c>
    </row>
    <row r="727" spans="1:4" x14ac:dyDescent="0.2">
      <c r="A727" s="5">
        <v>666</v>
      </c>
      <c r="B727" s="138">
        <f>'Expenditures 15-22'!C42</f>
        <v>425145</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106559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106559</v>
      </c>
      <c r="C731" s="2" t="s">
        <v>594</v>
      </c>
      <c r="D731" s="2" t="str">
        <f t="shared" si="10"/>
        <v>Error?</v>
      </c>
    </row>
    <row r="732" spans="1:4" x14ac:dyDescent="0.2">
      <c r="A732" s="5">
        <v>671</v>
      </c>
      <c r="B732" s="138">
        <f>'Expenditures 15-22'!C49</f>
        <v>14304</v>
      </c>
      <c r="D732" s="2" t="str">
        <f t="shared" si="10"/>
        <v>Error?</v>
      </c>
    </row>
    <row r="733" spans="1:4" x14ac:dyDescent="0.2">
      <c r="A733" s="5">
        <v>672</v>
      </c>
      <c r="B733" s="138">
        <f>'Expenditures 15-22'!C50</f>
        <v>212347</v>
      </c>
      <c r="D733" s="2" t="str">
        <f t="shared" si="10"/>
        <v>Error?</v>
      </c>
    </row>
    <row r="734" spans="1:4" x14ac:dyDescent="0.2">
      <c r="A734" s="5">
        <v>673</v>
      </c>
      <c r="B734" s="138">
        <f>'Expenditures 15-22'!C53</f>
        <v>226651</v>
      </c>
      <c r="C734" s="2" t="s">
        <v>594</v>
      </c>
      <c r="D734" s="2" t="str">
        <f t="shared" si="10"/>
        <v>Error?</v>
      </c>
    </row>
    <row r="735" spans="1:4" x14ac:dyDescent="0.2">
      <c r="A735" s="5">
        <v>674</v>
      </c>
      <c r="B735" s="138">
        <f>'Expenditures 15-22'!C55</f>
        <v>581961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581961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84917</v>
      </c>
      <c r="D739" s="2" t="str">
        <f t="shared" si="10"/>
        <v>Error?</v>
      </c>
    </row>
    <row r="740" spans="1:4" x14ac:dyDescent="0.2">
      <c r="A740" s="5">
        <v>679</v>
      </c>
      <c r="B740" s="138">
        <f>'Expenditures 15-22'!C61</f>
        <v>483567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187814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756298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8693</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150077</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158770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2255384</v>
      </c>
      <c r="C755" s="2" t="s">
        <v>594</v>
      </c>
      <c r="D755" s="2" t="str">
        <f t="shared" si="10"/>
        <v>Error?</v>
      </c>
    </row>
    <row r="756" spans="1:4" x14ac:dyDescent="0.2">
      <c r="A756" s="5">
        <v>695</v>
      </c>
      <c r="B756" s="138">
        <f>'Expenditures 15-22'!C75</f>
        <v>32976</v>
      </c>
      <c r="D756" s="2" t="str">
        <f t="shared" si="10"/>
        <v>Error?</v>
      </c>
    </row>
    <row r="757" spans="1:4" x14ac:dyDescent="0.2">
      <c r="A757" s="5">
        <v>696</v>
      </c>
      <c r="B757" s="138">
        <f>'Expenditures 15-22'!C114</f>
        <v>7422934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1032709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20527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1246698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61526</v>
      </c>
      <c r="D780" s="2" t="str">
        <f t="shared" si="11"/>
        <v>Error?</v>
      </c>
    </row>
    <row r="781" spans="1:4" x14ac:dyDescent="0.2">
      <c r="A781" s="5">
        <v>720</v>
      </c>
      <c r="B781" s="138">
        <f>'Expenditures 15-22'!D38</f>
        <v>76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21717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83319</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18345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18345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43657</v>
      </c>
      <c r="D791" s="2" t="str">
        <f t="shared" si="11"/>
        <v>Error?</v>
      </c>
    </row>
    <row r="792" spans="1:4" x14ac:dyDescent="0.2">
      <c r="A792" s="5">
        <v>731</v>
      </c>
      <c r="B792" s="138">
        <f>'Expenditures 15-22'!D53</f>
        <v>43657</v>
      </c>
      <c r="C792" s="2" t="s">
        <v>594</v>
      </c>
      <c r="D792" s="2" t="str">
        <f t="shared" si="11"/>
        <v>Error?</v>
      </c>
    </row>
    <row r="793" spans="1:4" x14ac:dyDescent="0.2">
      <c r="A793" s="5">
        <v>732</v>
      </c>
      <c r="B793" s="138">
        <f>'Expenditures 15-22'!D55</f>
        <v>135192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135192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114</v>
      </c>
      <c r="D797" s="2" t="str">
        <f t="shared" si="11"/>
        <v>Error?</v>
      </c>
    </row>
    <row r="798" spans="1:4" x14ac:dyDescent="0.2">
      <c r="A798" s="5">
        <v>737</v>
      </c>
      <c r="B798" s="138">
        <f>'Expenditures 15-22'!D61</f>
        <v>272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549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1113</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156</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1269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282331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1529029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52628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55793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109610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4353</v>
      </c>
      <c r="D838" s="2" t="str">
        <f t="shared" si="12"/>
        <v>Error?</v>
      </c>
    </row>
    <row r="839" spans="1:4" x14ac:dyDescent="0.2">
      <c r="A839" s="5">
        <v>778</v>
      </c>
      <c r="B839" s="138">
        <f>'Expenditures 15-22'!E38</f>
        <v>110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4463</v>
      </c>
      <c r="C843" s="2" t="s">
        <v>594</v>
      </c>
      <c r="D843" s="2" t="str">
        <f t="shared" si="12"/>
        <v>Error?</v>
      </c>
    </row>
    <row r="844" spans="1:4" x14ac:dyDescent="0.2">
      <c r="A844" s="5">
        <v>783</v>
      </c>
      <c r="B844" s="138">
        <f>'Expenditures 15-22'!E44</f>
        <v>2644</v>
      </c>
      <c r="D844" s="2" t="str">
        <f t="shared" si="12"/>
        <v>Error?</v>
      </c>
    </row>
    <row r="845" spans="1:4" x14ac:dyDescent="0.2">
      <c r="A845" s="5">
        <v>784</v>
      </c>
      <c r="B845" s="138">
        <f>'Expenditures 15-22'!E45</f>
        <v>176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2820</v>
      </c>
      <c r="C847" s="2" t="s">
        <v>594</v>
      </c>
      <c r="D847" s="2" t="str">
        <f t="shared" si="12"/>
        <v>Error?</v>
      </c>
    </row>
    <row r="848" spans="1:4" x14ac:dyDescent="0.2">
      <c r="A848" s="5">
        <v>787</v>
      </c>
      <c r="B848" s="138">
        <f>'Expenditures 15-22'!E49</f>
        <v>213219</v>
      </c>
      <c r="D848" s="2" t="str">
        <f t="shared" si="12"/>
        <v>Error?</v>
      </c>
    </row>
    <row r="849" spans="1:4" x14ac:dyDescent="0.2">
      <c r="A849" s="5">
        <v>788</v>
      </c>
      <c r="B849" s="138">
        <f>'Expenditures 15-22'!E50</f>
        <v>18878</v>
      </c>
      <c r="D849" s="2" t="str">
        <f t="shared" si="12"/>
        <v>Error?</v>
      </c>
    </row>
    <row r="850" spans="1:4" x14ac:dyDescent="0.2">
      <c r="A850" s="5">
        <v>789</v>
      </c>
      <c r="B850" s="138">
        <f>'Expenditures 15-22'!E53</f>
        <v>232097</v>
      </c>
      <c r="C850" s="2" t="s">
        <v>594</v>
      </c>
      <c r="D850" s="2" t="str">
        <f t="shared" si="12"/>
        <v>Error?</v>
      </c>
    </row>
    <row r="851" spans="1:4" x14ac:dyDescent="0.2">
      <c r="A851" s="5">
        <v>790</v>
      </c>
      <c r="B851" s="138">
        <f>'Expenditures 15-22'!E55</f>
        <v>17053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17053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1995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4695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3766</v>
      </c>
      <c r="D863" s="2" t="str">
        <f t="shared" si="12"/>
        <v>Error?</v>
      </c>
    </row>
    <row r="864" spans="1:4" x14ac:dyDescent="0.2">
      <c r="A864" s="5">
        <v>803</v>
      </c>
      <c r="B864" s="138">
        <f>'Expenditures 15-22'!E69</f>
        <v>0</v>
      </c>
      <c r="D864" s="2" t="str">
        <f t="shared" si="12"/>
        <v>Error?</v>
      </c>
    </row>
    <row r="865" spans="1:4" x14ac:dyDescent="0.2">
      <c r="A865" s="5">
        <v>804</v>
      </c>
      <c r="B865" s="138">
        <f>'Expenditures 15-22'!E70</f>
        <v>67511</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71277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332405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442015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166255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57834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297352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1623</v>
      </c>
      <c r="D896" s="2" t="str">
        <f t="shared" si="13"/>
        <v>Error?</v>
      </c>
    </row>
    <row r="897" spans="1:4" x14ac:dyDescent="0.2">
      <c r="A897" s="5">
        <v>836</v>
      </c>
      <c r="B897" s="138">
        <f>'Expenditures 15-22'!F38</f>
        <v>2983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15472</v>
      </c>
      <c r="D900" s="2" t="str">
        <f t="shared" si="13"/>
        <v>Error?</v>
      </c>
    </row>
    <row r="901" spans="1:4" x14ac:dyDescent="0.2">
      <c r="A901" s="5">
        <v>840</v>
      </c>
      <c r="B901" s="138">
        <f>'Expenditures 15-22'!F42</f>
        <v>20078</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15386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15386</v>
      </c>
      <c r="C905" s="2" t="s">
        <v>594</v>
      </c>
      <c r="D905" s="2" t="str">
        <f t="shared" si="13"/>
        <v>Error?</v>
      </c>
    </row>
    <row r="906" spans="1:4" x14ac:dyDescent="0.2">
      <c r="A906" s="5">
        <v>845</v>
      </c>
      <c r="B906" s="138">
        <f>'Expenditures 15-22'!F49</f>
        <v>4089</v>
      </c>
      <c r="D906" s="2" t="str">
        <f t="shared" si="13"/>
        <v>Error?</v>
      </c>
    </row>
    <row r="907" spans="1:4" x14ac:dyDescent="0.2">
      <c r="A907" s="5">
        <v>846</v>
      </c>
      <c r="B907" s="138">
        <f>'Expenditures 15-22'!F50</f>
        <v>17631</v>
      </c>
      <c r="D907" s="2" t="str">
        <f t="shared" si="13"/>
        <v>Error?</v>
      </c>
    </row>
    <row r="908" spans="1:4" x14ac:dyDescent="0.2">
      <c r="A908" s="5">
        <v>847</v>
      </c>
      <c r="B908" s="138">
        <f>'Expenditures 15-22'!F53</f>
        <v>23821</v>
      </c>
      <c r="C908" s="2" t="s">
        <v>594</v>
      </c>
      <c r="D908" s="2" t="str">
        <f t="shared" si="13"/>
        <v>Error?</v>
      </c>
    </row>
    <row r="909" spans="1:4" x14ac:dyDescent="0.2">
      <c r="A909" s="5">
        <v>848</v>
      </c>
      <c r="B909" s="138">
        <f>'Expenditures 15-22'!F55</f>
        <v>4330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4330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2680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144439</v>
      </c>
      <c r="D916" s="2" t="str">
        <f t="shared" si="13"/>
        <v>Error?</v>
      </c>
    </row>
    <row r="917" spans="1:4" x14ac:dyDescent="0.2">
      <c r="A917" s="5">
        <v>856</v>
      </c>
      <c r="B917" s="138">
        <f>'Expenditures 15-22'!F64</f>
        <v>2264</v>
      </c>
      <c r="D917" s="2" t="str">
        <f t="shared" si="13"/>
        <v>Error?</v>
      </c>
    </row>
    <row r="918" spans="1:4" x14ac:dyDescent="0.2">
      <c r="A918" s="10">
        <v>857</v>
      </c>
      <c r="D918" s="2" t="str">
        <f t="shared" si="13"/>
        <v>OK</v>
      </c>
    </row>
    <row r="919" spans="1:4" x14ac:dyDescent="0.2">
      <c r="A919" s="5">
        <v>858</v>
      </c>
      <c r="B919" s="138">
        <f>'Expenditures 15-22'!F65</f>
        <v>149383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18567</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18567</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231565</v>
      </c>
      <c r="C929" s="2" t="s">
        <v>594</v>
      </c>
      <c r="D929" s="2" t="str">
        <f t="shared" si="13"/>
        <v>Error?</v>
      </c>
    </row>
    <row r="930" spans="1:4" x14ac:dyDescent="0.2">
      <c r="A930" s="5">
        <v>869</v>
      </c>
      <c r="B930" s="138">
        <f>'Expenditures 15-22'!F75</f>
        <v>2280</v>
      </c>
      <c r="D930" s="2" t="str">
        <f t="shared" si="13"/>
        <v>Error?</v>
      </c>
    </row>
    <row r="931" spans="1:4" x14ac:dyDescent="0.2">
      <c r="A931" s="5">
        <v>870</v>
      </c>
      <c r="B931" s="138">
        <f>'Expenditures 15-22'!F114</f>
        <v>531197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46633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46633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1249</v>
      </c>
      <c r="D965" s="2" t="str">
        <f t="shared" si="14"/>
        <v>Error?</v>
      </c>
    </row>
    <row r="966" spans="1:4" x14ac:dyDescent="0.2">
      <c r="A966" s="5">
        <v>905</v>
      </c>
      <c r="B966" s="138">
        <f>'Expenditures 15-22'!G53</f>
        <v>1249</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198020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198020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199269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245902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184709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41100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41100</v>
      </c>
      <c r="C1024" s="2" t="s">
        <v>594</v>
      </c>
      <c r="D1024" s="2" t="str">
        <f t="shared" si="15"/>
        <v>Error?</v>
      </c>
    </row>
    <row r="1025" spans="1:4" x14ac:dyDescent="0.2">
      <c r="A1025" s="5">
        <v>964</v>
      </c>
      <c r="B1025" s="138">
        <f>'Expenditures 15-22'!H55</f>
        <v>2311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2311</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43411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155100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383220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5019751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378283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7019576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328087</v>
      </c>
      <c r="C1110" s="2" t="s">
        <v>594</v>
      </c>
      <c r="D1110" s="2" t="str">
        <f t="shared" si="16"/>
        <v>Error?</v>
      </c>
    </row>
    <row r="1111" spans="1:4" x14ac:dyDescent="0.2">
      <c r="A1111" s="5">
        <v>1050</v>
      </c>
      <c r="B1111" s="138">
        <f>'Expenditures 15-22'!K38</f>
        <v>93442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90552</v>
      </c>
      <c r="C1113" s="2" t="s">
        <v>594</v>
      </c>
      <c r="D1113" s="2" t="str">
        <f t="shared" si="16"/>
        <v>Error?</v>
      </c>
    </row>
    <row r="1114" spans="1:4" x14ac:dyDescent="0.2">
      <c r="A1114" s="5">
        <v>1053</v>
      </c>
      <c r="B1114" s="138">
        <f>'Expenditures 15-22'!K41</f>
        <v>20924</v>
      </c>
      <c r="C1114" s="2" t="s">
        <v>594</v>
      </c>
      <c r="D1114" s="2" t="str">
        <f t="shared" si="16"/>
        <v>Error?</v>
      </c>
    </row>
    <row r="1115" spans="1:4" x14ac:dyDescent="0.2">
      <c r="A1115" s="5">
        <v>1054</v>
      </c>
      <c r="B1115" s="138">
        <f>'Expenditures 15-22'!K42</f>
        <v>533005</v>
      </c>
      <c r="C1115" s="2" t="s">
        <v>594</v>
      </c>
      <c r="D1115" s="2" t="str">
        <f t="shared" si="16"/>
        <v>Error?</v>
      </c>
    </row>
    <row r="1116" spans="1:4" x14ac:dyDescent="0.2">
      <c r="A1116" s="5">
        <v>1055</v>
      </c>
      <c r="B1116" s="138">
        <f>'Expenditures 15-22'!K44</f>
        <v>2644</v>
      </c>
      <c r="C1116" s="2" t="s">
        <v>594</v>
      </c>
      <c r="D1116" s="2" t="str">
        <f t="shared" si="16"/>
        <v>Error?</v>
      </c>
    </row>
    <row r="1117" spans="1:4" x14ac:dyDescent="0.2">
      <c r="A1117" s="5">
        <v>1056</v>
      </c>
      <c r="B1117" s="138">
        <f>'Expenditures 15-22'!K45</f>
        <v>140466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143110</v>
      </c>
      <c r="C1119" s="2" t="s">
        <v>594</v>
      </c>
      <c r="D1119" s="2" t="str">
        <f t="shared" si="16"/>
        <v>Error?</v>
      </c>
    </row>
    <row r="1120" spans="1:4" x14ac:dyDescent="0.2">
      <c r="A1120" s="5">
        <v>1059</v>
      </c>
      <c r="B1120" s="138">
        <f>'Expenditures 15-22'!K49</f>
        <v>272712</v>
      </c>
      <c r="C1120" s="2" t="s">
        <v>594</v>
      </c>
      <c r="D1120" s="2" t="str">
        <f t="shared" si="16"/>
        <v>Error?</v>
      </c>
    </row>
    <row r="1121" spans="1:4" x14ac:dyDescent="0.2">
      <c r="A1121" s="5">
        <v>1060</v>
      </c>
      <c r="B1121" s="138">
        <f>'Expenditures 15-22'!K50</f>
        <v>293762</v>
      </c>
      <c r="C1121" s="2" t="s">
        <v>594</v>
      </c>
      <c r="D1121" s="2" t="str">
        <f t="shared" si="16"/>
        <v>Error?</v>
      </c>
    </row>
    <row r="1122" spans="1:4" x14ac:dyDescent="0.2">
      <c r="A1122" s="5">
        <v>1061</v>
      </c>
      <c r="B1122" s="138">
        <f>'Expenditures 15-22'!K53</f>
        <v>568575</v>
      </c>
      <c r="C1122" s="2" t="s">
        <v>594</v>
      </c>
      <c r="D1122" s="2" t="str">
        <f t="shared" si="16"/>
        <v>Error?</v>
      </c>
    </row>
    <row r="1123" spans="1:4" x14ac:dyDescent="0.2">
      <c r="A1123" s="5">
        <v>1062</v>
      </c>
      <c r="B1123" s="138">
        <f>'Expenditures 15-22'!K55</f>
        <v>740847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740847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89706</v>
      </c>
      <c r="C1127" s="2" t="s">
        <v>594</v>
      </c>
      <c r="D1127" s="2" t="str">
        <f t="shared" si="16"/>
        <v>Error?</v>
      </c>
    </row>
    <row r="1128" spans="1:4" x14ac:dyDescent="0.2">
      <c r="A1128" s="5">
        <v>1067</v>
      </c>
      <c r="B1128" s="138">
        <f>'Expenditures 15-22'!K61</f>
        <v>483839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335116</v>
      </c>
      <c r="C1130" s="2" t="s">
        <v>594</v>
      </c>
      <c r="D1130" s="2" t="str">
        <f t="shared" si="16"/>
        <v>Error?</v>
      </c>
    </row>
    <row r="1131" spans="1:4" x14ac:dyDescent="0.2">
      <c r="A1131" s="5">
        <v>1070</v>
      </c>
      <c r="B1131" s="138">
        <f>'Expenditures 15-22'!K64</f>
        <v>2264</v>
      </c>
      <c r="C1131" s="2" t="s">
        <v>594</v>
      </c>
      <c r="D1131" s="2" t="str">
        <f t="shared" si="16"/>
        <v>Error?</v>
      </c>
    </row>
    <row r="1132" spans="1:4" x14ac:dyDescent="0.2">
      <c r="A1132" s="10">
        <v>1071</v>
      </c>
      <c r="D1132" s="2" t="str">
        <f t="shared" si="16"/>
        <v>OK</v>
      </c>
    </row>
    <row r="1133" spans="1:4" x14ac:dyDescent="0.2">
      <c r="A1133" s="5">
        <v>1072</v>
      </c>
      <c r="B1133" s="138">
        <f>'Expenditures 15-22'!K65</f>
        <v>910925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13572</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434331</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447903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3344365</v>
      </c>
      <c r="C1143" s="2" t="s">
        <v>594</v>
      </c>
      <c r="D1143" s="2" t="str">
        <f t="shared" si="16"/>
        <v>Error?</v>
      </c>
    </row>
    <row r="1144" spans="1:4" x14ac:dyDescent="0.2">
      <c r="A1144" s="5">
        <v>1083</v>
      </c>
      <c r="B1144" s="138">
        <f>'Expenditures 15-22'!K75</f>
        <v>35256</v>
      </c>
      <c r="C1144" s="2" t="s">
        <v>594</v>
      </c>
      <c r="D1144" s="2" t="str">
        <f t="shared" si="16"/>
        <v>Error?</v>
      </c>
    </row>
    <row r="1145" spans="1:4" x14ac:dyDescent="0.2">
      <c r="A1145" s="5">
        <v>1084</v>
      </c>
      <c r="B1145" s="138">
        <f>'Expenditures 15-22'!K102</f>
        <v>155100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10554297</v>
      </c>
      <c r="C1152" s="2" t="s">
        <v>594</v>
      </c>
      <c r="D1152" s="2" t="str">
        <f t="shared" si="17"/>
        <v>Error?</v>
      </c>
    </row>
    <row r="1153" spans="1:4" x14ac:dyDescent="0.2">
      <c r="A1153" s="5">
        <v>1092</v>
      </c>
      <c r="B1153" s="138">
        <f>'Expenditures 15-22'!K115</f>
        <v>2747841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342162</v>
      </c>
      <c r="D1237" s="2" t="str">
        <f t="shared" si="18"/>
        <v>Error?</v>
      </c>
    </row>
    <row r="1238" spans="1:4" x14ac:dyDescent="0.2">
      <c r="A1238" s="10">
        <v>1177</v>
      </c>
      <c r="D1238" s="2" t="str">
        <f t="shared" si="18"/>
        <v>OK</v>
      </c>
    </row>
    <row r="1239" spans="1:4" x14ac:dyDescent="0.2">
      <c r="A1239" s="5">
        <v>1178</v>
      </c>
      <c r="B1239" s="138">
        <f>'Expenditures 15-22'!E127</f>
        <v>342162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342162</v>
      </c>
      <c r="C1241" s="2" t="s">
        <v>594</v>
      </c>
      <c r="D1241" s="2" t="str">
        <f t="shared" si="18"/>
        <v>Error?</v>
      </c>
    </row>
    <row r="1242" spans="1:4" x14ac:dyDescent="0.2">
      <c r="A1242" s="5">
        <v>1181</v>
      </c>
      <c r="B1242" s="138">
        <f>'Expenditures 15-22'!E151</f>
        <v>342162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368941</v>
      </c>
      <c r="D1245" s="2" t="str">
        <f t="shared" si="18"/>
        <v>Error?</v>
      </c>
    </row>
    <row r="1246" spans="1:4" x14ac:dyDescent="0.2">
      <c r="A1246" s="10">
        <v>1185</v>
      </c>
      <c r="D1246" s="2" t="str">
        <f t="shared" si="18"/>
        <v>OK</v>
      </c>
    </row>
    <row r="1247" spans="1:4" x14ac:dyDescent="0.2">
      <c r="A1247" s="5">
        <v>1186</v>
      </c>
      <c r="B1247" s="138">
        <f>'Expenditures 15-22'!F127</f>
        <v>368941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368941</v>
      </c>
      <c r="C1249" s="2" t="s">
        <v>594</v>
      </c>
      <c r="D1249" s="2" t="str">
        <f t="shared" si="18"/>
        <v>Error?</v>
      </c>
    </row>
    <row r="1250" spans="1:4" x14ac:dyDescent="0.2">
      <c r="A1250" s="5">
        <v>1189</v>
      </c>
      <c r="B1250" s="138">
        <f>'Expenditures 15-22'!F151</f>
        <v>368941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1114999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1114999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1114999</v>
      </c>
      <c r="C1258" s="2" t="s">
        <v>594</v>
      </c>
      <c r="D1258" s="2" t="str">
        <f t="shared" si="18"/>
        <v>Error?</v>
      </c>
    </row>
    <row r="1259" spans="1:4" x14ac:dyDescent="0.2">
      <c r="A1259" s="5">
        <v>1198</v>
      </c>
      <c r="B1259" s="138">
        <f>'Expenditures 15-22'!G151</f>
        <v>1114999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33608</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33608</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1826102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1826102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1826102</v>
      </c>
      <c r="C1281" s="2" t="s">
        <v>594</v>
      </c>
      <c r="D1281" s="2" t="str">
        <f t="shared" si="19"/>
        <v>Error?</v>
      </c>
    </row>
    <row r="1282" spans="1:4" x14ac:dyDescent="0.2">
      <c r="A1282" s="5">
        <v>1221</v>
      </c>
      <c r="B1282" s="138">
        <f>'Expenditures 15-22'!K139</f>
        <v>33608</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1859710</v>
      </c>
      <c r="C1288" s="2" t="s">
        <v>594</v>
      </c>
      <c r="D1288" s="2" t="str">
        <f t="shared" si="19"/>
        <v>Error?</v>
      </c>
    </row>
    <row r="1289" spans="1:4" x14ac:dyDescent="0.2">
      <c r="A1289" s="5">
        <v>1228</v>
      </c>
      <c r="B1289" s="138">
        <f>'Expenditures 15-22'!K152</f>
        <v>355245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44360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519502</v>
      </c>
      <c r="D1315" s="2" t="str">
        <f t="shared" si="19"/>
        <v>Error?</v>
      </c>
    </row>
    <row r="1316" spans="1:4" x14ac:dyDescent="0.2">
      <c r="A1316" s="5">
        <v>1255</v>
      </c>
      <c r="B1316" s="138">
        <f>'Expenditures 15-22'!H171</f>
        <v>17000</v>
      </c>
      <c r="D1316" s="2" t="str">
        <f t="shared" si="19"/>
        <v>Error?</v>
      </c>
    </row>
    <row r="1317" spans="1:4" x14ac:dyDescent="0.2">
      <c r="A1317" s="5">
        <v>1256</v>
      </c>
      <c r="B1317" s="138">
        <f>'Expenditures 15-22'!H172</f>
        <v>580862</v>
      </c>
      <c r="C1317" s="2" t="s">
        <v>594</v>
      </c>
      <c r="D1317" s="2" t="str">
        <f t="shared" si="19"/>
        <v>Error?</v>
      </c>
    </row>
    <row r="1318" spans="1:4" x14ac:dyDescent="0.2">
      <c r="A1318" s="5">
        <v>1257</v>
      </c>
      <c r="B1318" s="138">
        <f>'Expenditures 15-22'!H174</f>
        <v>580862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44360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519502</v>
      </c>
      <c r="C1329" s="2" t="s">
        <v>594</v>
      </c>
      <c r="D1329" s="2" t="str">
        <f t="shared" si="19"/>
        <v>Error?</v>
      </c>
    </row>
    <row r="1330" spans="1:4" x14ac:dyDescent="0.2">
      <c r="A1330" s="5">
        <v>1269</v>
      </c>
      <c r="B1330" s="138">
        <f>'Expenditures 15-22'!K171</f>
        <v>17000</v>
      </c>
      <c r="C1330" s="2" t="s">
        <v>594</v>
      </c>
      <c r="D1330" s="2" t="str">
        <f t="shared" si="19"/>
        <v>Error?</v>
      </c>
    </row>
    <row r="1331" spans="1:4" x14ac:dyDescent="0.2">
      <c r="A1331" s="5">
        <v>1270</v>
      </c>
      <c r="B1331" s="138">
        <f>'Expenditures 15-22'!K172</f>
        <v>580862</v>
      </c>
      <c r="C1331" s="2" t="s">
        <v>594</v>
      </c>
      <c r="D1331" s="2" t="str">
        <f t="shared" si="19"/>
        <v>Error?</v>
      </c>
    </row>
    <row r="1332" spans="1:4" x14ac:dyDescent="0.2">
      <c r="A1332" s="5">
        <v>1271</v>
      </c>
      <c r="B1332" s="138">
        <f>'Expenditures 15-22'!K174</f>
        <v>580862</v>
      </c>
      <c r="C1332" s="2" t="s">
        <v>594</v>
      </c>
      <c r="D1332" s="2" t="str">
        <f t="shared" si="19"/>
        <v>Error?</v>
      </c>
    </row>
    <row r="1333" spans="1:4" x14ac:dyDescent="0.2">
      <c r="A1333" s="5">
        <v>1272</v>
      </c>
      <c r="B1333" s="138">
        <f>'Expenditures 15-22'!K175</f>
        <v>-577472</v>
      </c>
      <c r="C1333" s="2" t="s">
        <v>594</v>
      </c>
      <c r="D1333" s="2" t="str">
        <f t="shared" si="19"/>
        <v>Error?</v>
      </c>
    </row>
    <row r="1334" spans="1:4" x14ac:dyDescent="0.2">
      <c r="A1334" s="10">
        <v>1273</v>
      </c>
      <c r="D1334" s="2" t="str">
        <f t="shared" si="19"/>
        <v>OK</v>
      </c>
    </row>
    <row r="1335" spans="1:4" x14ac:dyDescent="0.2">
      <c r="A1335" s="5">
        <v>1274</v>
      </c>
      <c r="B1335" s="138">
        <f>'Expenditures 15-22'!C182</f>
        <v>373993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373993</v>
      </c>
      <c r="C1339" s="2" t="s">
        <v>594</v>
      </c>
      <c r="D1339" s="2" t="str">
        <f t="shared" si="19"/>
        <v>Error?</v>
      </c>
    </row>
    <row r="1340" spans="1:4" x14ac:dyDescent="0.2">
      <c r="A1340" s="5">
        <v>1279</v>
      </c>
      <c r="B1340" s="138">
        <f>'Expenditures 15-22'!C210</f>
        <v>373993</v>
      </c>
      <c r="C1340" s="2" t="s">
        <v>594</v>
      </c>
      <c r="D1340" s="2" t="str">
        <f t="shared" si="19"/>
        <v>Error?</v>
      </c>
    </row>
    <row r="1341" spans="1:4" x14ac:dyDescent="0.2">
      <c r="A1341" s="5">
        <v>1280</v>
      </c>
      <c r="B1341" s="138">
        <f>'Expenditures 15-22'!D182</f>
        <v>266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266</v>
      </c>
      <c r="C1345" s="2" t="s">
        <v>594</v>
      </c>
      <c r="D1345" s="2" t="str">
        <f t="shared" si="20"/>
        <v>Error?</v>
      </c>
    </row>
    <row r="1346" spans="1:4" x14ac:dyDescent="0.2">
      <c r="A1346" s="5">
        <v>1285</v>
      </c>
      <c r="B1346" s="138">
        <f>'Expenditures 15-22'!D210</f>
        <v>266</v>
      </c>
      <c r="C1346" s="2" t="s">
        <v>594</v>
      </c>
      <c r="D1346" s="2" t="str">
        <f t="shared" si="20"/>
        <v>Error?</v>
      </c>
    </row>
    <row r="1347" spans="1:4" x14ac:dyDescent="0.2">
      <c r="A1347" s="5">
        <v>1286</v>
      </c>
      <c r="B1347" s="138">
        <f>'Expenditures 15-22'!E182</f>
        <v>139199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139199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139199</v>
      </c>
      <c r="C1353" s="2" t="s">
        <v>594</v>
      </c>
      <c r="D1353" s="2" t="str">
        <f t="shared" si="20"/>
        <v>Error?</v>
      </c>
    </row>
    <row r="1354" spans="1:4" x14ac:dyDescent="0.2">
      <c r="A1354" s="5">
        <v>1293</v>
      </c>
      <c r="B1354" s="138">
        <f>'Expenditures 15-22'!F182</f>
        <v>67446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67446</v>
      </c>
      <c r="C1358" s="2" t="s">
        <v>594</v>
      </c>
      <c r="D1358" s="2" t="str">
        <f t="shared" si="20"/>
        <v>Error?</v>
      </c>
    </row>
    <row r="1359" spans="1:4" x14ac:dyDescent="0.2">
      <c r="A1359" s="5">
        <v>1298</v>
      </c>
      <c r="B1359" s="138">
        <f>'Expenditures 15-22'!F210</f>
        <v>67446</v>
      </c>
      <c r="C1359" s="2" t="s">
        <v>594</v>
      </c>
      <c r="D1359" s="2" t="str">
        <f t="shared" si="20"/>
        <v>Error?</v>
      </c>
    </row>
    <row r="1360" spans="1:4" x14ac:dyDescent="0.2">
      <c r="A1360" s="5">
        <v>1299</v>
      </c>
      <c r="B1360" s="138">
        <f>'Expenditures 15-22'!G182</f>
        <v>21395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21395</v>
      </c>
      <c r="C1364" s="2" t="s">
        <v>594</v>
      </c>
      <c r="D1364" s="2" t="str">
        <f t="shared" si="20"/>
        <v>Error?</v>
      </c>
    </row>
    <row r="1365" spans="1:4" x14ac:dyDescent="0.2">
      <c r="A1365" s="5">
        <v>1304</v>
      </c>
      <c r="B1365" s="138">
        <f>'Expenditures 15-22'!G210</f>
        <v>21395</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602299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602299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602299</v>
      </c>
      <c r="C1388" s="2" t="s">
        <v>594</v>
      </c>
      <c r="D1388" s="2" t="str">
        <f t="shared" si="20"/>
        <v>Error?</v>
      </c>
    </row>
    <row r="1389" spans="1:4" x14ac:dyDescent="0.2">
      <c r="A1389" s="5">
        <v>1328</v>
      </c>
      <c r="B1389" s="138">
        <f>'Expenditures 15-22'!K211</f>
        <v>615600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14184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179064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9030</v>
      </c>
      <c r="D1412" s="2" t="str">
        <f t="shared" si="21"/>
        <v>Error?</v>
      </c>
    </row>
    <row r="1413" spans="1:4" x14ac:dyDescent="0.2">
      <c r="A1413" s="5">
        <v>1352</v>
      </c>
      <c r="B1413" s="138">
        <f>'Expenditures 15-22'!D234</f>
        <v>15226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945</v>
      </c>
      <c r="D1415" s="2" t="str">
        <f t="shared" si="21"/>
        <v>Error?</v>
      </c>
    </row>
    <row r="1416" spans="1:4" x14ac:dyDescent="0.2">
      <c r="A1416" s="5">
        <v>1355</v>
      </c>
      <c r="B1416" s="138">
        <f>'Expenditures 15-22'!D237</f>
        <v>1000</v>
      </c>
      <c r="D1416" s="2" t="str">
        <f t="shared" si="21"/>
        <v>Error?</v>
      </c>
    </row>
    <row r="1417" spans="1:4" x14ac:dyDescent="0.2">
      <c r="A1417" s="5">
        <v>1356</v>
      </c>
      <c r="B1417" s="138">
        <f>'Expenditures 15-22'!D238</f>
        <v>26201</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5529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5529</v>
      </c>
      <c r="C1421" s="2" t="s">
        <v>594</v>
      </c>
      <c r="D1421" s="2" t="str">
        <f t="shared" si="21"/>
        <v>Error?</v>
      </c>
    </row>
    <row r="1422" spans="1:4" x14ac:dyDescent="0.2">
      <c r="A1422" s="5">
        <v>1361</v>
      </c>
      <c r="B1422" s="138">
        <f>'Expenditures 15-22'!D245</f>
        <v>2770</v>
      </c>
      <c r="D1422" s="2" t="str">
        <f t="shared" si="21"/>
        <v>Error?</v>
      </c>
    </row>
    <row r="1423" spans="1:4" x14ac:dyDescent="0.2">
      <c r="A1423" s="5">
        <v>1362</v>
      </c>
      <c r="B1423" s="138">
        <f>'Expenditures 15-22'!D246</f>
        <v>14613</v>
      </c>
      <c r="D1423" s="2" t="str">
        <f t="shared" si="21"/>
        <v>Error?</v>
      </c>
    </row>
    <row r="1424" spans="1:4" x14ac:dyDescent="0.2">
      <c r="A1424" s="5">
        <v>1363</v>
      </c>
      <c r="B1424" s="138">
        <f>'Expenditures 15-22'!D257</f>
        <v>17383</v>
      </c>
      <c r="C1424" s="2" t="s">
        <v>594</v>
      </c>
      <c r="D1424" s="2" t="str">
        <f t="shared" si="21"/>
        <v>Error?</v>
      </c>
    </row>
    <row r="1425" spans="1:4" x14ac:dyDescent="0.2">
      <c r="A1425" s="5">
        <v>1364</v>
      </c>
      <c r="B1425" s="138">
        <f>'Expenditures 15-22'!D259</f>
        <v>37029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37029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13671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83446</v>
      </c>
      <c r="D1431" s="2" t="str">
        <f t="shared" si="21"/>
        <v>Error?</v>
      </c>
    </row>
    <row r="1432" spans="1:4" x14ac:dyDescent="0.2">
      <c r="A1432" s="5">
        <v>1371</v>
      </c>
      <c r="B1432" s="138">
        <f>'Expenditures 15-22'!D267</f>
        <v>68161</v>
      </c>
      <c r="D1432" s="2" t="str">
        <f t="shared" si="21"/>
        <v>Error?</v>
      </c>
    </row>
    <row r="1433" spans="1:4" x14ac:dyDescent="0.2">
      <c r="A1433" s="5">
        <v>1372</v>
      </c>
      <c r="B1433" s="138">
        <f>'Expenditures 15-22'!D268</f>
        <v>30413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195691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126</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26592</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26718</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308551</v>
      </c>
      <c r="C1446" s="2" t="s">
        <v>594</v>
      </c>
      <c r="D1446" s="2" t="str">
        <f t="shared" si="21"/>
        <v>Error?</v>
      </c>
    </row>
    <row r="1447" spans="1:4" x14ac:dyDescent="0.2">
      <c r="A1447" s="5">
        <v>1386</v>
      </c>
      <c r="B1447" s="138">
        <f>'Expenditures 15-22'!D280</f>
        <v>6557</v>
      </c>
      <c r="D1447" s="2" t="str">
        <f t="shared" si="21"/>
        <v>Error?</v>
      </c>
    </row>
    <row r="1448" spans="1:4" x14ac:dyDescent="0.2">
      <c r="A1448" s="5">
        <v>1387</v>
      </c>
      <c r="B1448" s="138">
        <f>'Expenditures 15-22'!D295</f>
        <v>494172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14184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179064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9030</v>
      </c>
      <c r="C1476" s="2" t="s">
        <v>594</v>
      </c>
      <c r="D1476" s="2" t="str">
        <f t="shared" si="22"/>
        <v>Error?</v>
      </c>
    </row>
    <row r="1477" spans="1:4" x14ac:dyDescent="0.2">
      <c r="A1477" s="5">
        <v>1416</v>
      </c>
      <c r="B1477" s="138">
        <f>'Expenditures 15-22'!K234</f>
        <v>15226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945</v>
      </c>
      <c r="C1479" s="2" t="s">
        <v>594</v>
      </c>
      <c r="D1479" s="2" t="str">
        <f t="shared" si="22"/>
        <v>Error?</v>
      </c>
    </row>
    <row r="1480" spans="1:4" x14ac:dyDescent="0.2">
      <c r="A1480" s="5">
        <v>1419</v>
      </c>
      <c r="B1480" s="138">
        <f>'Expenditures 15-22'!K237</f>
        <v>1000</v>
      </c>
      <c r="C1480" s="2" t="s">
        <v>594</v>
      </c>
      <c r="D1480" s="2" t="str">
        <f t="shared" si="22"/>
        <v>Error?</v>
      </c>
    </row>
    <row r="1481" spans="1:4" x14ac:dyDescent="0.2">
      <c r="A1481" s="5">
        <v>1420</v>
      </c>
      <c r="B1481" s="138">
        <f>'Expenditures 15-22'!K238</f>
        <v>26201</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5529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5529</v>
      </c>
      <c r="C1485" s="2" t="s">
        <v>594</v>
      </c>
      <c r="D1485" s="2" t="str">
        <f t="shared" si="22"/>
        <v>Error?</v>
      </c>
    </row>
    <row r="1486" spans="1:4" x14ac:dyDescent="0.2">
      <c r="A1486" s="5">
        <v>1425</v>
      </c>
      <c r="B1486" s="138">
        <f>'Expenditures 15-22'!K245</f>
        <v>2770</v>
      </c>
      <c r="C1486" s="2" t="s">
        <v>594</v>
      </c>
      <c r="D1486" s="2" t="str">
        <f t="shared" si="22"/>
        <v>Error?</v>
      </c>
    </row>
    <row r="1487" spans="1:4" x14ac:dyDescent="0.2">
      <c r="A1487" s="5">
        <v>1426</v>
      </c>
      <c r="B1487" s="138">
        <f>'Expenditures 15-22'!K246</f>
        <v>14613</v>
      </c>
      <c r="C1487" s="2" t="s">
        <v>594</v>
      </c>
      <c r="D1487" s="2" t="str">
        <f t="shared" si="22"/>
        <v>Error?</v>
      </c>
    </row>
    <row r="1488" spans="1:4" x14ac:dyDescent="0.2">
      <c r="A1488" s="5">
        <v>1427</v>
      </c>
      <c r="B1488" s="138">
        <f>'Expenditures 15-22'!K257</f>
        <v>17383</v>
      </c>
      <c r="C1488" s="2" t="s">
        <v>594</v>
      </c>
      <c r="D1488" s="2" t="str">
        <f t="shared" si="22"/>
        <v>Error?</v>
      </c>
    </row>
    <row r="1489" spans="1:4" x14ac:dyDescent="0.2">
      <c r="A1489" s="5">
        <v>1428</v>
      </c>
      <c r="B1489" s="138">
        <f>'Expenditures 15-22'!K259</f>
        <v>37029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37029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13671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83446</v>
      </c>
      <c r="C1495" s="2" t="s">
        <v>594</v>
      </c>
      <c r="D1495" s="2" t="str">
        <f t="shared" si="22"/>
        <v>Error?</v>
      </c>
    </row>
    <row r="1496" spans="1:4" x14ac:dyDescent="0.2">
      <c r="A1496" s="5">
        <v>1435</v>
      </c>
      <c r="B1496" s="138">
        <f>'Expenditures 15-22'!K267</f>
        <v>68161</v>
      </c>
      <c r="C1496" s="2" t="s">
        <v>594</v>
      </c>
      <c r="D1496" s="2" t="str">
        <f t="shared" si="22"/>
        <v>Error?</v>
      </c>
    </row>
    <row r="1497" spans="1:4" x14ac:dyDescent="0.2">
      <c r="A1497" s="5">
        <v>1436</v>
      </c>
      <c r="B1497" s="138">
        <f>'Expenditures 15-22'!K268</f>
        <v>30413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195691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126</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26592</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26718</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308551</v>
      </c>
      <c r="C1510" s="2" t="s">
        <v>594</v>
      </c>
      <c r="D1510" s="2" t="str">
        <f t="shared" si="22"/>
        <v>Error?</v>
      </c>
    </row>
    <row r="1511" spans="1:4" x14ac:dyDescent="0.2">
      <c r="A1511" s="5">
        <v>1450</v>
      </c>
      <c r="B1511" s="138">
        <f>'Expenditures 15-22'!K280</f>
        <v>6557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494172</v>
      </c>
      <c r="C1517" s="2" t="s">
        <v>594</v>
      </c>
      <c r="D1517" s="2" t="str">
        <f t="shared" si="22"/>
        <v>Error?</v>
      </c>
    </row>
    <row r="1518" spans="1:4" x14ac:dyDescent="0.2">
      <c r="A1518" s="5">
        <v>1457</v>
      </c>
      <c r="B1518" s="138">
        <f>'Expenditures 15-22'!K296</f>
        <v>-205474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1228450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1228450</v>
      </c>
      <c r="C1547" s="2" t="s">
        <v>594</v>
      </c>
      <c r="D1547" s="2" t="str">
        <f t="shared" si="23"/>
        <v>Error?</v>
      </c>
    </row>
    <row r="1548" spans="1:4" x14ac:dyDescent="0.2">
      <c r="A1548" s="5">
        <v>1487</v>
      </c>
      <c r="B1548" s="138">
        <f>'Expenditures 15-22'!G312</f>
        <v>1228450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1228450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1228450</v>
      </c>
      <c r="C1559" s="2" t="s">
        <v>594</v>
      </c>
      <c r="D1559" s="2" t="str">
        <f t="shared" si="23"/>
        <v>Error?</v>
      </c>
    </row>
    <row r="1560" spans="1:4" x14ac:dyDescent="0.2">
      <c r="A1560" s="5">
        <v>1499</v>
      </c>
      <c r="B1560" s="138">
        <f>'Expenditures 15-22'!K312</f>
        <v>1228450</v>
      </c>
      <c r="C1560" s="2" t="s">
        <v>594</v>
      </c>
      <c r="D1560" s="2" t="str">
        <f t="shared" si="23"/>
        <v>Error?</v>
      </c>
    </row>
    <row r="1561" spans="1:4" x14ac:dyDescent="0.2">
      <c r="A1561" s="5">
        <v>1500</v>
      </c>
      <c r="B1561" s="138">
        <f>'Expenditures 15-22'!K313</f>
        <v>-910979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3257822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6005663</v>
      </c>
      <c r="C1630" s="2" t="s">
        <v>594</v>
      </c>
      <c r="D1630" s="2" t="str">
        <f t="shared" si="24"/>
        <v>Error?</v>
      </c>
    </row>
    <row r="1631" spans="1:4" x14ac:dyDescent="0.2">
      <c r="A1631" s="5">
        <v>1570</v>
      </c>
      <c r="B1631" s="138">
        <f>'Acct Summary 7-8'!D79</f>
        <v>4642833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4434216</v>
      </c>
      <c r="C1644" s="2" t="s">
        <v>594</v>
      </c>
      <c r="D1644" s="2" t="str">
        <f t="shared" si="24"/>
        <v>Error?</v>
      </c>
    </row>
    <row r="1645" spans="1:4" x14ac:dyDescent="0.2">
      <c r="A1645" s="5">
        <v>1584</v>
      </c>
      <c r="B1645" s="138">
        <f>'Acct Summary 7-8'!E79</f>
        <v>368728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355118</v>
      </c>
      <c r="C1658" s="2" t="s">
        <v>594</v>
      </c>
      <c r="D1658" s="2" t="str">
        <f t="shared" si="24"/>
        <v>Error?</v>
      </c>
    </row>
    <row r="1659" spans="1:4" x14ac:dyDescent="0.2">
      <c r="A1659" s="5">
        <v>1598</v>
      </c>
      <c r="B1659" s="138">
        <f>'Acct Summary 7-8'!F79</f>
        <v>763305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1378905</v>
      </c>
      <c r="C1672" s="2" t="s">
        <v>594</v>
      </c>
      <c r="D1672" s="2" t="str">
        <f t="shared" si="25"/>
        <v>Error?</v>
      </c>
    </row>
    <row r="1673" spans="1:4" x14ac:dyDescent="0.2">
      <c r="A1673" s="5">
        <v>1612</v>
      </c>
      <c r="B1673" s="138">
        <f>'Acct Summary 7-8'!G79</f>
        <v>618481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413007</v>
      </c>
      <c r="C1686" s="2" t="s">
        <v>594</v>
      </c>
      <c r="D1686" s="2" t="str">
        <f t="shared" si="25"/>
        <v>Error?</v>
      </c>
    </row>
    <row r="1687" spans="1:4" x14ac:dyDescent="0.2">
      <c r="A1687" s="5">
        <v>1626</v>
      </c>
      <c r="B1687" s="138">
        <f>'Acct Summary 7-8'!H79</f>
        <v>475855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2791023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8901112</v>
      </c>
      <c r="C1744" s="2" t="s">
        <v>594</v>
      </c>
      <c r="D1744" s="2" t="str">
        <f t="shared" si="26"/>
        <v>Error?</v>
      </c>
    </row>
    <row r="1745" spans="1:5" x14ac:dyDescent="0.2">
      <c r="A1745" s="5">
        <v>1684</v>
      </c>
      <c r="B1745" s="138">
        <f>'Tax Sched 23'!B5</f>
        <v>2139900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837136</v>
      </c>
      <c r="C1747" s="2" t="s">
        <v>594</v>
      </c>
      <c r="D1747" s="2" t="str">
        <f t="shared" si="26"/>
        <v>Error?</v>
      </c>
    </row>
    <row r="1748" spans="1:5" x14ac:dyDescent="0.2">
      <c r="A1748" s="5">
        <v>1687</v>
      </c>
      <c r="B1748" s="138">
        <f>'Tax Sched 23'!B8</f>
        <v>27566</v>
      </c>
      <c r="C1748" s="2" t="s">
        <v>594</v>
      </c>
      <c r="D1748" s="2" t="str">
        <f t="shared" si="26"/>
        <v>Error?</v>
      </c>
    </row>
    <row r="1749" spans="1:5" x14ac:dyDescent="0.2">
      <c r="A1749" s="5">
        <v>1688</v>
      </c>
      <c r="B1749" s="138">
        <f>'Tax Sched 23'!B10</f>
        <v>222630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27566</v>
      </c>
      <c r="C1752" s="2" t="s">
        <v>594</v>
      </c>
      <c r="D1752" s="2" t="str">
        <f t="shared" si="26"/>
        <v>Error?</v>
      </c>
    </row>
    <row r="1753" spans="1:5" x14ac:dyDescent="0.2">
      <c r="A1753" s="5">
        <v>1692</v>
      </c>
      <c r="B1753" s="138">
        <f>'Tax Sched 23'!B12</f>
        <v>27566</v>
      </c>
      <c r="C1753" s="2" t="s">
        <v>594</v>
      </c>
      <c r="D1753" s="2" t="str">
        <f t="shared" si="26"/>
        <v>Error?</v>
      </c>
    </row>
    <row r="1754" spans="1:5" x14ac:dyDescent="0.2">
      <c r="A1754" s="5">
        <v>1693</v>
      </c>
      <c r="B1754" s="138">
        <f>'Tax Sched 23'!B14</f>
        <v>49644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12260686</v>
      </c>
      <c r="C1759" s="2" t="s">
        <v>594</v>
      </c>
      <c r="D1759" s="2" t="str">
        <f t="shared" si="26"/>
        <v>Error?</v>
      </c>
    </row>
    <row r="1760" spans="1:5" x14ac:dyDescent="0.2">
      <c r="A1760" s="5">
        <v>1699</v>
      </c>
      <c r="B1760" s="138">
        <f>'Tax Sched 23'!D4</f>
        <v>2476867</v>
      </c>
      <c r="C1760" s="2" t="s">
        <v>594</v>
      </c>
      <c r="D1760" s="2" t="str">
        <f t="shared" si="26"/>
        <v>Error?</v>
      </c>
    </row>
    <row r="1761" spans="1:5" x14ac:dyDescent="0.2">
      <c r="A1761" s="5">
        <v>1700</v>
      </c>
      <c r="B1761" s="138">
        <f>'Tax Sched 23'!D5</f>
        <v>533839</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247712</v>
      </c>
      <c r="C1763" s="2" t="s">
        <v>594</v>
      </c>
      <c r="D1763" s="2" t="str">
        <f t="shared" si="26"/>
        <v>Error?</v>
      </c>
    </row>
    <row r="1764" spans="1:5" x14ac:dyDescent="0.2">
      <c r="A1764" s="5">
        <v>1703</v>
      </c>
      <c r="B1764" s="138">
        <f>'Tax Sched 23'!D8</f>
        <v>27566</v>
      </c>
      <c r="C1764" s="2" t="s">
        <v>594</v>
      </c>
      <c r="D1764" s="2" t="str">
        <f t="shared" si="26"/>
        <v>Error?</v>
      </c>
    </row>
    <row r="1765" spans="1:5" x14ac:dyDescent="0.2">
      <c r="A1765" s="5">
        <v>1704</v>
      </c>
      <c r="B1765" s="138">
        <f>'Tax Sched 23'!D10</f>
        <v>62024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27566</v>
      </c>
      <c r="C1768" s="2" t="s">
        <v>594</v>
      </c>
      <c r="D1768" s="2" t="str">
        <f t="shared" si="26"/>
        <v>Error?</v>
      </c>
    </row>
    <row r="1769" spans="1:5" x14ac:dyDescent="0.2">
      <c r="A1769" s="5">
        <v>1708</v>
      </c>
      <c r="B1769" s="138">
        <f>'Tax Sched 23'!D12</f>
        <v>27566</v>
      </c>
      <c r="C1769" s="2" t="s">
        <v>594</v>
      </c>
      <c r="D1769" s="2" t="str">
        <f t="shared" si="26"/>
        <v>Error?</v>
      </c>
    </row>
    <row r="1770" spans="1:5" x14ac:dyDescent="0.2">
      <c r="A1770" s="5">
        <v>1709</v>
      </c>
      <c r="B1770" s="138">
        <f>'Tax Sched 23'!D14</f>
        <v>49644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3480350</v>
      </c>
      <c r="C1775" s="2" t="s">
        <v>594</v>
      </c>
      <c r="D1775" s="2" t="str">
        <f t="shared" si="26"/>
        <v>Error?</v>
      </c>
    </row>
    <row r="1776" spans="1:5" x14ac:dyDescent="0.2">
      <c r="A1776" s="5">
        <v>1715</v>
      </c>
      <c r="B1776" s="138">
        <f>'Tax Sched 23'!C4</f>
        <v>6424245</v>
      </c>
      <c r="D1776" s="2" t="str">
        <f t="shared" si="26"/>
        <v>Error?</v>
      </c>
    </row>
    <row r="1777" spans="1:4" x14ac:dyDescent="0.2">
      <c r="A1777" s="5">
        <v>1716</v>
      </c>
      <c r="B1777" s="138">
        <f>'Tax Sched 23'!C5</f>
        <v>1606061</v>
      </c>
      <c r="D1777" s="2" t="str">
        <f t="shared" si="26"/>
        <v>Error?</v>
      </c>
    </row>
    <row r="1778" spans="1:4" x14ac:dyDescent="0.2">
      <c r="A1778" s="5">
        <v>1717</v>
      </c>
      <c r="B1778" s="138">
        <f>'Tax Sched 23'!C6</f>
        <v>0</v>
      </c>
      <c r="D1778" s="2" t="str">
        <f t="shared" si="26"/>
        <v>Error?</v>
      </c>
    </row>
    <row r="1779" spans="1:4" x14ac:dyDescent="0.2">
      <c r="A1779" s="5">
        <v>1718</v>
      </c>
      <c r="B1779" s="138">
        <f>'Tax Sched 23'!C7</f>
        <v>589424</v>
      </c>
      <c r="D1779" s="2" t="str">
        <f t="shared" si="26"/>
        <v>Error?</v>
      </c>
    </row>
    <row r="1780" spans="1:4" x14ac:dyDescent="0.2">
      <c r="A1780" s="5">
        <v>1719</v>
      </c>
      <c r="B1780" s="138">
        <f>'Tax Sched 23'!C8</f>
        <v>0</v>
      </c>
      <c r="D1780" s="2" t="str">
        <f t="shared" si="26"/>
        <v>Error?</v>
      </c>
    </row>
    <row r="1781" spans="1:4" x14ac:dyDescent="0.2">
      <c r="A1781" s="5">
        <v>1720</v>
      </c>
      <c r="B1781" s="138">
        <f>'Tax Sched 23'!C10</f>
        <v>160606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8780336</v>
      </c>
      <c r="C1791" s="2" t="s">
        <v>594</v>
      </c>
      <c r="D1791" s="2" t="str">
        <f t="shared" ref="D1791:D1854" si="27">IF(ISBLANK(B1791),"OK",IF(A1791-B1791=0,"OK","Error?"))</f>
        <v>Error?</v>
      </c>
    </row>
    <row r="1792" spans="1:4" x14ac:dyDescent="0.2">
      <c r="A1792" s="5">
        <v>1731</v>
      </c>
      <c r="B1792" s="138">
        <f>'Tax Sched 23'!F4</f>
        <v>973431</v>
      </c>
      <c r="C1792" s="2" t="s">
        <v>594</v>
      </c>
      <c r="D1792" s="2" t="str">
        <f t="shared" si="27"/>
        <v>Error?</v>
      </c>
    </row>
    <row r="1793" spans="1:4" x14ac:dyDescent="0.2">
      <c r="A1793" s="5">
        <v>1732</v>
      </c>
      <c r="B1793" s="138">
        <f>'Tax Sched 23'!F5</f>
        <v>243358</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89313</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24336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1330438</v>
      </c>
      <c r="C1807" s="2" t="s">
        <v>594</v>
      </c>
      <c r="D1807" s="2" t="str">
        <f t="shared" si="27"/>
        <v>Error?</v>
      </c>
    </row>
    <row r="1808" spans="1:4" x14ac:dyDescent="0.2">
      <c r="A1808" s="5">
        <v>1747</v>
      </c>
      <c r="B1808" s="138">
        <f>'Tax Sched 23'!E4</f>
        <v>7397676</v>
      </c>
      <c r="D1808" s="2" t="str">
        <f t="shared" si="27"/>
        <v>Error?</v>
      </c>
    </row>
    <row r="1809" spans="1:4" x14ac:dyDescent="0.2">
      <c r="A1809" s="5">
        <v>1748</v>
      </c>
      <c r="B1809" s="138">
        <f>'Tax Sched 23'!E5</f>
        <v>1849419</v>
      </c>
      <c r="D1809" s="2" t="str">
        <f t="shared" si="27"/>
        <v>Error?</v>
      </c>
    </row>
    <row r="1810" spans="1:4" x14ac:dyDescent="0.2">
      <c r="A1810" s="5">
        <v>1749</v>
      </c>
      <c r="B1810" s="138">
        <f>'Tax Sched 23'!E6</f>
        <v>0</v>
      </c>
      <c r="D1810" s="2" t="str">
        <f t="shared" si="27"/>
        <v>Error?</v>
      </c>
    </row>
    <row r="1811" spans="1:4" x14ac:dyDescent="0.2">
      <c r="A1811" s="5">
        <v>1750</v>
      </c>
      <c r="B1811" s="138">
        <f>'Tax Sched 23'!E7</f>
        <v>678737</v>
      </c>
      <c r="D1811" s="2" t="str">
        <f t="shared" si="27"/>
        <v>Error?</v>
      </c>
    </row>
    <row r="1812" spans="1:4" x14ac:dyDescent="0.2">
      <c r="A1812" s="5">
        <v>1751</v>
      </c>
      <c r="B1812" s="138">
        <f>'Tax Sched 23'!E8</f>
        <v>0</v>
      </c>
      <c r="D1812" s="2" t="str">
        <f t="shared" si="27"/>
        <v>Error?</v>
      </c>
    </row>
    <row r="1813" spans="1:4" x14ac:dyDescent="0.2">
      <c r="A1813" s="5">
        <v>1752</v>
      </c>
      <c r="B1813" s="138">
        <f>'Tax Sched 23'!E10</f>
        <v>184942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10110774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49644</v>
      </c>
      <c r="D1972" s="2" t="str">
        <f t="shared" si="29"/>
        <v>Error?</v>
      </c>
    </row>
    <row r="1973" spans="1:5" x14ac:dyDescent="0.2">
      <c r="A1973" s="5">
        <v>1912</v>
      </c>
      <c r="B1973" s="138">
        <f>'Rest Tax Levies-Tort Im 25'!H6</f>
        <v>37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49681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49681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190042</v>
      </c>
      <c r="D2008" s="2" t="str">
        <f t="shared" si="30"/>
        <v>Error?</v>
      </c>
    </row>
    <row r="2009" spans="1:4" x14ac:dyDescent="0.2">
      <c r="A2009" s="5">
        <v>1948</v>
      </c>
      <c r="B2009" s="138">
        <f>'Cap Outlay Deprec 26'!C8</f>
        <v>15170664</v>
      </c>
      <c r="D2009" s="2" t="str">
        <f t="shared" si="30"/>
        <v>Error?</v>
      </c>
    </row>
    <row r="2010" spans="1:4" x14ac:dyDescent="0.2">
      <c r="A2010" s="5">
        <v>1949</v>
      </c>
      <c r="B2010" s="138">
        <f>'Cap Outlay Deprec 26'!C10</f>
        <v>6749509</v>
      </c>
      <c r="D2010" s="2" t="str">
        <f t="shared" si="30"/>
        <v>Error?</v>
      </c>
    </row>
    <row r="2011" spans="1:4" x14ac:dyDescent="0.2">
      <c r="A2011" s="5">
        <v>1950</v>
      </c>
      <c r="B2011" s="138">
        <f>'Cap Outlay Deprec 26'!C12</f>
        <v>3450711</v>
      </c>
      <c r="D2011" s="2" t="str">
        <f t="shared" si="30"/>
        <v>Error?</v>
      </c>
    </row>
    <row r="2012" spans="1:4" x14ac:dyDescent="0.2">
      <c r="A2012" s="5">
        <v>1951</v>
      </c>
      <c r="B2012" s="138">
        <f>'Cap Outlay Deprec 26'!C13</f>
        <v>580504</v>
      </c>
      <c r="D2012" s="2" t="str">
        <f t="shared" si="30"/>
        <v>Error?</v>
      </c>
    </row>
    <row r="2013" spans="1:4" x14ac:dyDescent="0.2">
      <c r="A2013" s="5">
        <v>1952</v>
      </c>
      <c r="B2013" s="138">
        <f>'Cap Outlay Deprec 26'!C16</f>
        <v>26239560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430054</v>
      </c>
      <c r="D2015" s="2" t="str">
        <f t="shared" si="30"/>
        <v>Error?</v>
      </c>
    </row>
    <row r="2016" spans="1:4" x14ac:dyDescent="0.2">
      <c r="A2016" s="5">
        <v>1955</v>
      </c>
      <c r="B2016" s="138">
        <f>'Cap Outlay Deprec 26'!D10</f>
        <v>349134</v>
      </c>
      <c r="D2016" s="2" t="str">
        <f t="shared" si="30"/>
        <v>Error?</v>
      </c>
    </row>
    <row r="2017" spans="1:4" x14ac:dyDescent="0.2">
      <c r="A2017" s="5">
        <v>1956</v>
      </c>
      <c r="B2017" s="138">
        <f>'Cap Outlay Deprec 26'!D12</f>
        <v>276486</v>
      </c>
      <c r="D2017" s="2" t="str">
        <f t="shared" si="30"/>
        <v>Error?</v>
      </c>
    </row>
    <row r="2018" spans="1:4" x14ac:dyDescent="0.2">
      <c r="A2018" s="5">
        <v>1957</v>
      </c>
      <c r="B2018" s="138">
        <f>'Cap Outlay Deprec 26'!D13</f>
        <v>21395</v>
      </c>
      <c r="D2018" s="2" t="str">
        <f t="shared" si="30"/>
        <v>Error?</v>
      </c>
    </row>
    <row r="2019" spans="1:4" x14ac:dyDescent="0.2">
      <c r="A2019" s="5">
        <v>1958</v>
      </c>
      <c r="B2019" s="138">
        <f>'Cap Outlay Deprec 26'!D16</f>
        <v>2708876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173710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271840</v>
      </c>
      <c r="C2025" s="2" t="s">
        <v>594</v>
      </c>
      <c r="D2025" s="2" t="str">
        <f t="shared" si="30"/>
        <v>Error?</v>
      </c>
    </row>
    <row r="2026" spans="1:4" x14ac:dyDescent="0.2">
      <c r="A2026" s="5">
        <v>1965</v>
      </c>
      <c r="B2026" s="138">
        <f>'Cap Outlay Deprec 26'!F5</f>
        <v>190042</v>
      </c>
      <c r="C2026" s="2" t="s">
        <v>594</v>
      </c>
      <c r="D2026" s="2" t="str">
        <f t="shared" si="30"/>
        <v>Error?</v>
      </c>
    </row>
    <row r="2027" spans="1:4" x14ac:dyDescent="0.2">
      <c r="A2027" s="5">
        <v>1966</v>
      </c>
      <c r="B2027" s="138">
        <f>'Cap Outlay Deprec 26'!F8</f>
        <v>15600718</v>
      </c>
      <c r="C2027" s="2" t="s">
        <v>594</v>
      </c>
      <c r="D2027" s="2" t="str">
        <f t="shared" si="30"/>
        <v>Error?</v>
      </c>
    </row>
    <row r="2028" spans="1:4" x14ac:dyDescent="0.2">
      <c r="A2028" s="5">
        <v>1967</v>
      </c>
      <c r="B2028" s="138">
        <f>'Cap Outlay Deprec 26'!F10</f>
        <v>7098643</v>
      </c>
      <c r="C2028" s="2" t="s">
        <v>594</v>
      </c>
      <c r="D2028" s="2" t="str">
        <f t="shared" si="30"/>
        <v>Error?</v>
      </c>
    </row>
    <row r="2029" spans="1:4" x14ac:dyDescent="0.2">
      <c r="A2029" s="5">
        <v>1968</v>
      </c>
      <c r="B2029" s="138">
        <f>'Cap Outlay Deprec 26'!F12</f>
        <v>3553487</v>
      </c>
      <c r="C2029" s="2" t="s">
        <v>594</v>
      </c>
      <c r="D2029" s="2" t="str">
        <f t="shared" si="30"/>
        <v>Error?</v>
      </c>
    </row>
    <row r="2030" spans="1:4" x14ac:dyDescent="0.2">
      <c r="A2030" s="5">
        <v>1969</v>
      </c>
      <c r="B2030" s="138">
        <f>'Cap Outlay Deprec 26'!F13</f>
        <v>601899</v>
      </c>
      <c r="C2030" s="2" t="s">
        <v>594</v>
      </c>
      <c r="D2030" s="2" t="str">
        <f t="shared" si="30"/>
        <v>Error?</v>
      </c>
    </row>
    <row r="2031" spans="1:4" x14ac:dyDescent="0.2">
      <c r="A2031" s="5">
        <v>1970</v>
      </c>
      <c r="B2031" s="138">
        <f>'Cap Outlay Deprec 26'!F16</f>
        <v>28676596</v>
      </c>
      <c r="C2031" s="2" t="s">
        <v>594</v>
      </c>
      <c r="D2031" s="2" t="str">
        <f t="shared" si="30"/>
        <v>Error?</v>
      </c>
    </row>
    <row r="2032" spans="1:4" x14ac:dyDescent="0.2">
      <c r="A2032" s="10">
        <v>1971</v>
      </c>
      <c r="D2032" s="2" t="str">
        <f t="shared" si="30"/>
        <v>OK</v>
      </c>
    </row>
    <row r="2033" spans="1:4" x14ac:dyDescent="0.2">
      <c r="A2033" s="5">
        <v>1972</v>
      </c>
      <c r="B2033" s="138">
        <f>'Cap Outlay Deprec 26'!H8</f>
        <v>8224311</v>
      </c>
      <c r="D2033" s="2" t="str">
        <f t="shared" si="30"/>
        <v>Error?</v>
      </c>
    </row>
    <row r="2034" spans="1:4" x14ac:dyDescent="0.2">
      <c r="A2034" s="5">
        <v>1973</v>
      </c>
      <c r="B2034" s="138">
        <f>'Cap Outlay Deprec 26'!H10</f>
        <v>3063494</v>
      </c>
      <c r="D2034" s="2" t="str">
        <f t="shared" si="30"/>
        <v>Error?</v>
      </c>
    </row>
    <row r="2035" spans="1:4" x14ac:dyDescent="0.2">
      <c r="A2035" s="5">
        <v>1974</v>
      </c>
      <c r="B2035" s="138">
        <f>'Cap Outlay Deprec 26'!H12</f>
        <v>2068441</v>
      </c>
      <c r="D2035" s="2" t="str">
        <f t="shared" si="30"/>
        <v>Error?</v>
      </c>
    </row>
    <row r="2036" spans="1:4" x14ac:dyDescent="0.2">
      <c r="A2036" s="5">
        <v>1975</v>
      </c>
      <c r="B2036" s="138">
        <f>'Cap Outlay Deprec 26'!H13</f>
        <v>515824</v>
      </c>
      <c r="D2036" s="2" t="str">
        <f t="shared" si="30"/>
        <v>Error?</v>
      </c>
    </row>
    <row r="2037" spans="1:4" x14ac:dyDescent="0.2">
      <c r="A2037" s="5">
        <v>1976</v>
      </c>
      <c r="B2037" s="138">
        <f>'Cap Outlay Deprec 26'!H16</f>
        <v>13872070</v>
      </c>
      <c r="C2037" s="2" t="s">
        <v>594</v>
      </c>
      <c r="D2037" s="2" t="str">
        <f t="shared" si="30"/>
        <v>Error?</v>
      </c>
    </row>
    <row r="2038" spans="1:4" x14ac:dyDescent="0.2">
      <c r="A2038" s="10">
        <v>1977</v>
      </c>
      <c r="D2038" s="2" t="str">
        <f t="shared" si="30"/>
        <v>OK</v>
      </c>
    </row>
    <row r="2039" spans="1:4" x14ac:dyDescent="0.2">
      <c r="A2039" s="5">
        <v>1978</v>
      </c>
      <c r="B2039" s="138">
        <f>'Cap Outlay Deprec 26'!I8</f>
        <v>312014</v>
      </c>
      <c r="D2039" s="2" t="str">
        <f t="shared" si="30"/>
        <v>Error?</v>
      </c>
    </row>
    <row r="2040" spans="1:4" x14ac:dyDescent="0.2">
      <c r="A2040" s="5">
        <v>1979</v>
      </c>
      <c r="B2040" s="138">
        <f>'Cap Outlay Deprec 26'!I10</f>
        <v>323620</v>
      </c>
      <c r="D2040" s="2" t="str">
        <f t="shared" si="30"/>
        <v>Error?</v>
      </c>
    </row>
    <row r="2041" spans="1:4" x14ac:dyDescent="0.2">
      <c r="A2041" s="5">
        <v>1980</v>
      </c>
      <c r="B2041" s="138">
        <f>'Cap Outlay Deprec 26'!I12</f>
        <v>355350</v>
      </c>
      <c r="D2041" s="2" t="str">
        <f t="shared" si="30"/>
        <v>Error?</v>
      </c>
    </row>
    <row r="2042" spans="1:4" x14ac:dyDescent="0.2">
      <c r="A2042" s="5">
        <v>1981</v>
      </c>
      <c r="B2042" s="138">
        <f>'Cap Outlay Deprec 26'!I13</f>
        <v>45332</v>
      </c>
      <c r="D2042" s="2" t="str">
        <f t="shared" si="30"/>
        <v>Error?</v>
      </c>
    </row>
    <row r="2043" spans="1:4" x14ac:dyDescent="0.2">
      <c r="A2043" s="5">
        <v>1982</v>
      </c>
      <c r="B2043" s="138">
        <f>'Cap Outlay Deprec 26'!I16</f>
        <v>1036316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173710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173710</v>
      </c>
      <c r="C2049" s="2" t="s">
        <v>594</v>
      </c>
      <c r="D2049" s="2" t="str">
        <f t="shared" si="31"/>
        <v>Error?</v>
      </c>
    </row>
    <row r="2050" spans="1:4" x14ac:dyDescent="0.2">
      <c r="A2050" s="10">
        <v>1989</v>
      </c>
      <c r="D2050" s="2" t="str">
        <f t="shared" si="31"/>
        <v>OK</v>
      </c>
    </row>
    <row r="2051" spans="1:4" x14ac:dyDescent="0.2">
      <c r="A2051" s="5">
        <v>1990</v>
      </c>
      <c r="B2051" s="138">
        <f>'Cap Outlay Deprec 26'!K8</f>
        <v>8536325</v>
      </c>
      <c r="C2051" s="2" t="s">
        <v>594</v>
      </c>
      <c r="D2051" s="2" t="str">
        <f t="shared" si="31"/>
        <v>Error?</v>
      </c>
    </row>
    <row r="2052" spans="1:4" x14ac:dyDescent="0.2">
      <c r="A2052" s="5">
        <v>1991</v>
      </c>
      <c r="B2052" s="138">
        <f>'Cap Outlay Deprec 26'!K10</f>
        <v>3387114</v>
      </c>
      <c r="C2052" s="2" t="s">
        <v>594</v>
      </c>
      <c r="D2052" s="2" t="str">
        <f t="shared" si="31"/>
        <v>Error?</v>
      </c>
    </row>
    <row r="2053" spans="1:4" x14ac:dyDescent="0.2">
      <c r="A2053" s="5">
        <v>1992</v>
      </c>
      <c r="B2053" s="138">
        <f>'Cap Outlay Deprec 26'!K12</f>
        <v>2250081</v>
      </c>
      <c r="C2053" s="2" t="s">
        <v>594</v>
      </c>
      <c r="D2053" s="2" t="str">
        <f t="shared" si="31"/>
        <v>Error?</v>
      </c>
    </row>
    <row r="2054" spans="1:4" x14ac:dyDescent="0.2">
      <c r="A2054" s="5">
        <v>1993</v>
      </c>
      <c r="B2054" s="138">
        <f>'Cap Outlay Deprec 26'!K13</f>
        <v>561156</v>
      </c>
      <c r="C2054" s="2" t="s">
        <v>594</v>
      </c>
      <c r="D2054" s="2" t="str">
        <f t="shared" si="31"/>
        <v>Error?</v>
      </c>
    </row>
    <row r="2055" spans="1:4" x14ac:dyDescent="0.2">
      <c r="A2055" s="5">
        <v>1994</v>
      </c>
      <c r="B2055" s="138">
        <f>'Cap Outlay Deprec 26'!K16</f>
        <v>14734676</v>
      </c>
      <c r="C2055" s="2" t="s">
        <v>594</v>
      </c>
      <c r="D2055" s="2" t="str">
        <f t="shared" si="31"/>
        <v>Error?</v>
      </c>
    </row>
    <row r="2056" spans="1:4" x14ac:dyDescent="0.2">
      <c r="A2056" s="5">
        <v>1995</v>
      </c>
      <c r="B2056" s="138">
        <f>'Cap Outlay Deprec 26'!L5</f>
        <v>190042</v>
      </c>
      <c r="C2056" s="2" t="s">
        <v>594</v>
      </c>
      <c r="D2056" s="2" t="str">
        <f t="shared" si="31"/>
        <v>Error?</v>
      </c>
    </row>
    <row r="2057" spans="1:4" x14ac:dyDescent="0.2">
      <c r="A2057" s="5">
        <v>1996</v>
      </c>
      <c r="B2057" s="138">
        <f>'Cap Outlay Deprec 26'!L8</f>
        <v>7064393</v>
      </c>
      <c r="C2057" s="2" t="s">
        <v>594</v>
      </c>
      <c r="D2057" s="2" t="str">
        <f t="shared" si="31"/>
        <v>Error?</v>
      </c>
    </row>
    <row r="2058" spans="1:4" x14ac:dyDescent="0.2">
      <c r="A2058" s="5">
        <v>1997</v>
      </c>
      <c r="B2058" s="138">
        <f>'Cap Outlay Deprec 26'!L10</f>
        <v>3711529</v>
      </c>
      <c r="C2058" s="2" t="s">
        <v>594</v>
      </c>
      <c r="D2058" s="2" t="str">
        <f t="shared" si="31"/>
        <v>Error?</v>
      </c>
    </row>
    <row r="2059" spans="1:4" x14ac:dyDescent="0.2">
      <c r="A2059" s="5">
        <v>1998</v>
      </c>
      <c r="B2059" s="138">
        <f>'Cap Outlay Deprec 26'!L12</f>
        <v>1303406</v>
      </c>
      <c r="C2059" s="2" t="s">
        <v>594</v>
      </c>
      <c r="D2059" s="2" t="str">
        <f t="shared" si="31"/>
        <v>Error?</v>
      </c>
    </row>
    <row r="2060" spans="1:4" x14ac:dyDescent="0.2">
      <c r="A2060" s="5">
        <v>1999</v>
      </c>
      <c r="B2060" s="138">
        <f>'Cap Outlay Deprec 26'!L13</f>
        <v>40743</v>
      </c>
      <c r="C2060" s="2" t="s">
        <v>594</v>
      </c>
      <c r="D2060" s="2" t="str">
        <f t="shared" si="31"/>
        <v>Error?</v>
      </c>
    </row>
    <row r="2061" spans="1:4" x14ac:dyDescent="0.2">
      <c r="A2061" s="5">
        <v>2000</v>
      </c>
      <c r="B2061" s="138">
        <f>'Cap Outlay Deprec 26'!L16</f>
        <v>13941920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155100</v>
      </c>
      <c r="C2089" s="2" t="s">
        <v>594</v>
      </c>
      <c r="D2089" s="2" t="str">
        <f t="shared" si="31"/>
        <v>Error?</v>
      </c>
    </row>
    <row r="2090" spans="1:4" x14ac:dyDescent="0.2">
      <c r="A2090" s="10">
        <v>2029</v>
      </c>
      <c r="D2090" s="2" t="str">
        <f t="shared" si="31"/>
        <v>OK</v>
      </c>
    </row>
    <row r="2091" spans="1:4" x14ac:dyDescent="0.2">
      <c r="A2091" s="5">
        <v>2030</v>
      </c>
      <c r="B2091" s="138">
        <f>'Expenditures 15-22'!H137</f>
        <v>33608</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33608</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332533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793325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12169621</v>
      </c>
      <c r="C2551" s="2" t="s">
        <v>594</v>
      </c>
      <c r="D2551" s="2" t="str">
        <f t="shared" si="38"/>
        <v>Error?</v>
      </c>
    </row>
    <row r="2552" spans="1:4" x14ac:dyDescent="0.2">
      <c r="A2552" s="10">
        <v>2491</v>
      </c>
      <c r="D2552" s="2" t="str">
        <f t="shared" si="38"/>
        <v>OK</v>
      </c>
    </row>
    <row r="2553" spans="1:4" x14ac:dyDescent="0.2">
      <c r="A2553" s="5">
        <v>2492</v>
      </c>
      <c r="B2553" s="138">
        <f>'Acct Summary 7-8'!C6</f>
        <v>784351</v>
      </c>
      <c r="C2553" s="2" t="s">
        <v>594</v>
      </c>
      <c r="D2553" s="2" t="str">
        <f t="shared" si="38"/>
        <v>Error?</v>
      </c>
    </row>
    <row r="2554" spans="1:4" x14ac:dyDescent="0.2">
      <c r="A2554" s="5">
        <v>2493</v>
      </c>
      <c r="B2554" s="138">
        <f>'Acct Summary 7-8'!C7</f>
        <v>348166</v>
      </c>
      <c r="C2554" s="2" t="s">
        <v>594</v>
      </c>
      <c r="D2554" s="2" t="str">
        <f t="shared" si="38"/>
        <v>Error?</v>
      </c>
    </row>
    <row r="2555" spans="1:4" x14ac:dyDescent="0.2">
      <c r="A2555" s="5">
        <v>2494</v>
      </c>
      <c r="B2555" s="138">
        <f>'Acct Summary 7-8'!C8</f>
        <v>13302138</v>
      </c>
      <c r="C2555" s="2" t="s">
        <v>594</v>
      </c>
      <c r="D2555" s="2" t="str">
        <f t="shared" si="38"/>
        <v>Error?</v>
      </c>
    </row>
    <row r="2556" spans="1:4" x14ac:dyDescent="0.2">
      <c r="A2556" s="5">
        <v>2495</v>
      </c>
      <c r="B2556" s="138">
        <f>'Acct Summary 7-8'!C12</f>
        <v>7019576</v>
      </c>
      <c r="C2556" s="2" t="s">
        <v>594</v>
      </c>
      <c r="D2556" s="2" t="str">
        <f t="shared" si="38"/>
        <v>Error?</v>
      </c>
    </row>
    <row r="2557" spans="1:4" x14ac:dyDescent="0.2">
      <c r="A2557" s="5">
        <v>2496</v>
      </c>
      <c r="B2557" s="138">
        <f>'Acct Summary 7-8'!C13</f>
        <v>3344365</v>
      </c>
      <c r="C2557" s="2" t="s">
        <v>594</v>
      </c>
      <c r="D2557" s="2" t="str">
        <f t="shared" si="38"/>
        <v>Error?</v>
      </c>
    </row>
    <row r="2558" spans="1:4" x14ac:dyDescent="0.2">
      <c r="A2558" s="5">
        <v>2497</v>
      </c>
      <c r="B2558" s="138">
        <f>'Acct Summary 7-8'!C14</f>
        <v>35256</v>
      </c>
      <c r="C2558" s="2" t="s">
        <v>594</v>
      </c>
      <c r="D2558" s="2" t="str">
        <f t="shared" si="38"/>
        <v>Error?</v>
      </c>
    </row>
    <row r="2559" spans="1:4" x14ac:dyDescent="0.2">
      <c r="A2559" s="5">
        <v>2498</v>
      </c>
      <c r="B2559" s="138">
        <f>'Acct Summary 7-8'!C15</f>
        <v>155100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10554297</v>
      </c>
      <c r="C2561" s="2" t="s">
        <v>594</v>
      </c>
      <c r="D2561" s="2" t="str">
        <f t="shared" si="39"/>
        <v>Error?</v>
      </c>
    </row>
    <row r="2562" spans="1:4" x14ac:dyDescent="0.2">
      <c r="A2562" s="5">
        <v>2501</v>
      </c>
      <c r="B2562" s="138">
        <f>'Acct Summary 7-8'!C20</f>
        <v>2747841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2214955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2214955</v>
      </c>
      <c r="C2568" s="2" t="s">
        <v>594</v>
      </c>
      <c r="D2568" s="2" t="str">
        <f t="shared" si="39"/>
        <v>Error?</v>
      </c>
    </row>
    <row r="2569" spans="1:4" x14ac:dyDescent="0.2">
      <c r="A2569" s="5">
        <v>2508</v>
      </c>
      <c r="B2569" s="138">
        <f>'Acct Summary 7-8'!D13</f>
        <v>1826102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33608</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1859710</v>
      </c>
      <c r="C2573" s="2" t="s">
        <v>594</v>
      </c>
      <c r="D2573" s="2" t="str">
        <f t="shared" si="39"/>
        <v>Error?</v>
      </c>
    </row>
    <row r="2574" spans="1:4" x14ac:dyDescent="0.2">
      <c r="A2574" s="5">
        <v>2513</v>
      </c>
      <c r="B2574" s="138">
        <f>'Acct Summary 7-8'!D20</f>
        <v>355245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842230</v>
      </c>
      <c r="C2591" s="2" t="s">
        <v>594</v>
      </c>
      <c r="D2591" s="2" t="str">
        <f t="shared" si="39"/>
        <v>Error?</v>
      </c>
    </row>
    <row r="2592" spans="1:4" x14ac:dyDescent="0.2">
      <c r="A2592" s="10">
        <v>2531</v>
      </c>
      <c r="D2592" s="2" t="str">
        <f t="shared" si="39"/>
        <v>OK</v>
      </c>
    </row>
    <row r="2593" spans="1:4" x14ac:dyDescent="0.2">
      <c r="A2593" s="5">
        <v>2532</v>
      </c>
      <c r="B2593" s="138">
        <f>'Acct Summary 7-8'!F6</f>
        <v>375669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1217899</v>
      </c>
      <c r="C2595" s="2" t="s">
        <v>594</v>
      </c>
      <c r="D2595" s="2" t="str">
        <f t="shared" si="39"/>
        <v>Error?</v>
      </c>
    </row>
    <row r="2596" spans="1:4" x14ac:dyDescent="0.2">
      <c r="A2596" s="5">
        <v>2535</v>
      </c>
      <c r="B2596" s="138">
        <f>'Acct Summary 7-8'!F13</f>
        <v>602299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602299</v>
      </c>
      <c r="C2600" s="2" t="s">
        <v>594</v>
      </c>
      <c r="D2600" s="2" t="str">
        <f t="shared" si="39"/>
        <v>Error?</v>
      </c>
    </row>
    <row r="2601" spans="1:4" x14ac:dyDescent="0.2">
      <c r="A2601" s="5">
        <v>2540</v>
      </c>
      <c r="B2601" s="138">
        <f>'Acct Summary 7-8'!F20</f>
        <v>615600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288698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288698</v>
      </c>
      <c r="C2606" s="2" t="s">
        <v>594</v>
      </c>
      <c r="D2606" s="2" t="str">
        <f t="shared" si="39"/>
        <v>Error?</v>
      </c>
    </row>
    <row r="2607" spans="1:4" x14ac:dyDescent="0.2">
      <c r="A2607" s="5">
        <v>2546</v>
      </c>
      <c r="B2607" s="138">
        <f>'Acct Summary 7-8'!G12</f>
        <v>179064</v>
      </c>
      <c r="C2607" s="2" t="s">
        <v>594</v>
      </c>
      <c r="D2607" s="2" t="str">
        <f t="shared" si="39"/>
        <v>Error?</v>
      </c>
    </row>
    <row r="2608" spans="1:4" x14ac:dyDescent="0.2">
      <c r="A2608" s="5">
        <v>2547</v>
      </c>
      <c r="B2608" s="138">
        <f>'Acct Summary 7-8'!G13</f>
        <v>308551</v>
      </c>
      <c r="C2608" s="2" t="s">
        <v>594</v>
      </c>
      <c r="D2608" s="2" t="str">
        <f t="shared" si="39"/>
        <v>Error?</v>
      </c>
    </row>
    <row r="2609" spans="1:4" x14ac:dyDescent="0.2">
      <c r="A2609" s="5">
        <v>2548</v>
      </c>
      <c r="B2609" s="138">
        <f>'Acct Summary 7-8'!G14</f>
        <v>6557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494172</v>
      </c>
      <c r="C2612" s="2" t="s">
        <v>594</v>
      </c>
      <c r="D2612" s="2" t="str">
        <f t="shared" si="39"/>
        <v>Error?</v>
      </c>
    </row>
    <row r="2613" spans="1:4" x14ac:dyDescent="0.2">
      <c r="A2613" s="5">
        <v>2552</v>
      </c>
      <c r="B2613" s="138">
        <f>'Acct Summary 7-8'!G20</f>
        <v>-205474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3390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3390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580862</v>
      </c>
      <c r="C2634" s="2" t="s">
        <v>594</v>
      </c>
      <c r="D2634" s="2" t="str">
        <f t="shared" si="40"/>
        <v>Error?</v>
      </c>
    </row>
    <row r="2635" spans="1:4" x14ac:dyDescent="0.2">
      <c r="A2635" s="5">
        <v>2574</v>
      </c>
      <c r="B2635" s="138">
        <f>'Acct Summary 7-8'!E17</f>
        <v>580862</v>
      </c>
      <c r="C2635" s="2" t="s">
        <v>594</v>
      </c>
      <c r="D2635" s="2" t="str">
        <f t="shared" si="40"/>
        <v>Error?</v>
      </c>
    </row>
    <row r="2636" spans="1:4" x14ac:dyDescent="0.2">
      <c r="A2636" s="5">
        <v>2575</v>
      </c>
      <c r="B2636" s="138">
        <f>'Acct Summary 7-8'!E20</f>
        <v>-577472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317471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317471</v>
      </c>
      <c r="C2658" s="2" t="s">
        <v>594</v>
      </c>
      <c r="D2658" s="2" t="str">
        <f t="shared" si="40"/>
        <v>Error?</v>
      </c>
    </row>
    <row r="2659" spans="1:4" x14ac:dyDescent="0.2">
      <c r="A2659" s="5">
        <v>2598</v>
      </c>
      <c r="B2659" s="138">
        <f>'Acct Summary 7-8'!H13</f>
        <v>1228450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1228450</v>
      </c>
      <c r="C2661" s="2" t="s">
        <v>594</v>
      </c>
      <c r="D2661" s="2" t="str">
        <f t="shared" si="40"/>
        <v>Error?</v>
      </c>
    </row>
    <row r="2662" spans="1:4" x14ac:dyDescent="0.2">
      <c r="A2662" s="5">
        <v>2601</v>
      </c>
      <c r="B2662" s="138">
        <f>'Acct Summary 7-8'!H20</f>
        <v>-910979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2101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2101</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1631807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3155866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3162417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82514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3162417</v>
      </c>
      <c r="D2912" s="2" t="str">
        <f t="shared" si="44"/>
        <v>Error?</v>
      </c>
    </row>
    <row r="2913" spans="1:4" x14ac:dyDescent="0.2">
      <c r="A2913" s="5">
        <v>2852</v>
      </c>
      <c r="B2913" s="138">
        <f>'Assets-Liab 5-6'!I41</f>
        <v>3162417</v>
      </c>
      <c r="C2913" s="2" t="s">
        <v>594</v>
      </c>
      <c r="D2913" s="2" t="str">
        <f t="shared" si="44"/>
        <v>Error?</v>
      </c>
    </row>
    <row r="2914" spans="1:4" x14ac:dyDescent="0.2">
      <c r="A2914" s="5">
        <v>2853</v>
      </c>
      <c r="B2914" s="138">
        <f>'Assets-Liab 5-6'!L33</f>
        <v>75192</v>
      </c>
      <c r="D2914" s="2" t="str">
        <f t="shared" si="44"/>
        <v>Error?</v>
      </c>
    </row>
    <row r="2915" spans="1:4" x14ac:dyDescent="0.2">
      <c r="A2915" s="10">
        <v>2854</v>
      </c>
      <c r="D2915" s="2" t="str">
        <f t="shared" si="44"/>
        <v>OK</v>
      </c>
    </row>
    <row r="2916" spans="1:4" x14ac:dyDescent="0.2">
      <c r="A2916" s="5">
        <v>2855</v>
      </c>
      <c r="B2916" s="138">
        <f>'Assets-Liab 5-6'!L34</f>
        <v>75192</v>
      </c>
      <c r="C2916" s="2" t="s">
        <v>594</v>
      </c>
      <c r="D2916" s="2" t="str">
        <f t="shared" si="44"/>
        <v>Error?</v>
      </c>
    </row>
    <row r="2917" spans="1:4" x14ac:dyDescent="0.2">
      <c r="A2917" s="5">
        <v>2856</v>
      </c>
      <c r="B2917" s="138">
        <f>'Assets-Liab 5-6'!L41</f>
        <v>82514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33608</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33608</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15611</v>
      </c>
      <c r="D3055" s="2" t="str">
        <f t="shared" si="46"/>
        <v>Error?</v>
      </c>
    </row>
    <row r="3056" spans="1:4" x14ac:dyDescent="0.2">
      <c r="A3056" s="5">
        <v>2995</v>
      </c>
      <c r="B3056" s="138">
        <f>'Expenditures 15-22'!D10</f>
        <v>13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63664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79288</v>
      </c>
      <c r="C3062" s="2" t="s">
        <v>594</v>
      </c>
      <c r="D3062" s="2" t="str">
        <f t="shared" si="46"/>
        <v>Error?</v>
      </c>
    </row>
    <row r="3063" spans="1:4" x14ac:dyDescent="0.2">
      <c r="A3063" s="10">
        <v>3002</v>
      </c>
      <c r="D3063" s="2" t="str">
        <f t="shared" si="46"/>
        <v>OK</v>
      </c>
    </row>
    <row r="3064" spans="1:4" x14ac:dyDescent="0.2">
      <c r="A3064" s="5">
        <v>3003</v>
      </c>
      <c r="B3064" s="138">
        <f>'Expenditures 15-22'!D219</f>
        <v>226</v>
      </c>
      <c r="D3064" s="2" t="str">
        <f t="shared" si="46"/>
        <v>Error?</v>
      </c>
    </row>
    <row r="3065" spans="1:4" x14ac:dyDescent="0.2">
      <c r="A3065" s="5">
        <v>3004</v>
      </c>
      <c r="B3065" s="138">
        <f>'Expenditures 15-22'!K219</f>
        <v>226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7322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251310</v>
      </c>
      <c r="C3225" s="2" t="s">
        <v>594</v>
      </c>
      <c r="D3225" s="2" t="str">
        <f t="shared" si="49"/>
        <v>Error?</v>
      </c>
    </row>
    <row r="3226" spans="1:4" x14ac:dyDescent="0.2">
      <c r="A3226" s="5">
        <v>3165</v>
      </c>
      <c r="B3226" s="138">
        <f>'Acct Summary 7-8'!I8</f>
        <v>251310</v>
      </c>
      <c r="C3226" s="2" t="s">
        <v>594</v>
      </c>
      <c r="D3226" s="2" t="str">
        <f t="shared" si="49"/>
        <v>Error?</v>
      </c>
    </row>
    <row r="3227" spans="1:4" x14ac:dyDescent="0.2">
      <c r="A3227" s="5">
        <v>3166</v>
      </c>
      <c r="B3227" s="138">
        <f>'Acct Summary 7-8'!I20</f>
        <v>251310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2747841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563862</v>
      </c>
      <c r="D3236" s="2" t="str">
        <f t="shared" si="49"/>
        <v>Error?</v>
      </c>
    </row>
    <row r="3237" spans="1:4" x14ac:dyDescent="0.2">
      <c r="A3237" s="5">
        <v>3176</v>
      </c>
      <c r="B3237" s="138">
        <f>'Acct Summary 7-8'!D76</f>
        <v>563862</v>
      </c>
      <c r="C3237" s="2" t="s">
        <v>594</v>
      </c>
      <c r="D3237" s="2" t="str">
        <f t="shared" si="49"/>
        <v>Error?</v>
      </c>
    </row>
    <row r="3238" spans="1:4" x14ac:dyDescent="0.2">
      <c r="A3238" s="5">
        <v>3177</v>
      </c>
      <c r="B3238" s="138">
        <f>'Acct Summary 7-8'!D77</f>
        <v>-563862</v>
      </c>
      <c r="C3238" s="2" t="s">
        <v>594</v>
      </c>
      <c r="D3238" s="2" t="str">
        <f t="shared" si="49"/>
        <v>Error?</v>
      </c>
    </row>
    <row r="3239" spans="1:4" x14ac:dyDescent="0.2">
      <c r="A3239" s="5">
        <v>3178</v>
      </c>
      <c r="B3239" s="138">
        <f>'Acct Summary 7-8'!D78</f>
        <v>-208617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615600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-205474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563862</v>
      </c>
      <c r="D3273" s="2" t="str">
        <f t="shared" si="50"/>
        <v>Error?</v>
      </c>
    </row>
    <row r="3274" spans="1:4" x14ac:dyDescent="0.2">
      <c r="A3274" s="5">
        <v>3213</v>
      </c>
      <c r="B3274" s="138">
        <f>'Acct Summary 7-8'!E44</f>
        <v>563862</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563862</v>
      </c>
      <c r="C3277" s="2" t="s">
        <v>594</v>
      </c>
      <c r="D3277" s="2" t="str">
        <f t="shared" si="50"/>
        <v>Error?</v>
      </c>
    </row>
    <row r="3278" spans="1:4" x14ac:dyDescent="0.2">
      <c r="A3278" s="5">
        <v>3217</v>
      </c>
      <c r="B3278" s="138">
        <f>'Acct Summary 7-8'!E78</f>
        <v>-13610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3226147</v>
      </c>
      <c r="D3295" s="2" t="str">
        <f t="shared" si="50"/>
        <v>Error?</v>
      </c>
    </row>
    <row r="3296" spans="1:4" x14ac:dyDescent="0.2">
      <c r="A3296" s="5">
        <v>3235</v>
      </c>
      <c r="B3296" s="138">
        <f>'Acct Summary 7-8'!H44</f>
        <v>3226147</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3226147</v>
      </c>
      <c r="C3299" s="2" t="s">
        <v>594</v>
      </c>
      <c r="D3299" s="2" t="str">
        <f t="shared" si="50"/>
        <v>Error?</v>
      </c>
    </row>
    <row r="3300" spans="1:4" x14ac:dyDescent="0.2">
      <c r="A3300" s="5">
        <v>3239</v>
      </c>
      <c r="B3300" s="138">
        <f>'Acct Summary 7-8'!H78</f>
        <v>2315168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251310</v>
      </c>
      <c r="C3320" s="2" t="s">
        <v>594</v>
      </c>
      <c r="D3320" s="2" t="str">
        <f t="shared" si="50"/>
        <v>Error?</v>
      </c>
    </row>
    <row r="3321" spans="1:4" x14ac:dyDescent="0.2">
      <c r="A3321" s="5">
        <v>3260</v>
      </c>
      <c r="B3321" s="138">
        <f>'Acct Summary 7-8'!I79</f>
        <v>2911107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3162417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989288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147035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1136323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68430</v>
      </c>
      <c r="D3387" s="2" t="str">
        <f t="shared" si="51"/>
        <v>Error?</v>
      </c>
    </row>
    <row r="3388" spans="1:4" x14ac:dyDescent="0.2">
      <c r="A3388" s="5">
        <v>3327</v>
      </c>
      <c r="B3388" s="138">
        <f>'Expenditures 15-22'!D217</f>
        <v>86521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68430</v>
      </c>
      <c r="C3390" s="2" t="s">
        <v>594</v>
      </c>
      <c r="D3390" s="2" t="str">
        <f t="shared" si="51"/>
        <v>Error?</v>
      </c>
    </row>
    <row r="3391" spans="1:4" x14ac:dyDescent="0.2">
      <c r="A3391" s="5">
        <v>3330</v>
      </c>
      <c r="B3391" s="138">
        <f>'Expenditures 15-22'!K217</f>
        <v>86521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705663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1034216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452</v>
      </c>
      <c r="D3417" s="2" t="str">
        <f t="shared" si="52"/>
        <v>Error?</v>
      </c>
    </row>
    <row r="3418" spans="1:4" x14ac:dyDescent="0.2">
      <c r="A3418" s="10">
        <v>3357</v>
      </c>
      <c r="D3418" s="2" t="str">
        <f t="shared" si="52"/>
        <v>OK</v>
      </c>
    </row>
    <row r="3419" spans="1:4" x14ac:dyDescent="0.2">
      <c r="A3419" s="5">
        <v>3358</v>
      </c>
      <c r="B3419" s="138">
        <f>'Assets-Liab 5-6'!F4</f>
        <v>278905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148007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21385</v>
      </c>
      <c r="D3425" s="2" t="str">
        <f t="shared" si="52"/>
        <v>Error?</v>
      </c>
    </row>
    <row r="3426" spans="1:4" x14ac:dyDescent="0.2">
      <c r="A3426" s="10">
        <v>3365</v>
      </c>
      <c r="D3426" s="2" t="str">
        <f t="shared" si="52"/>
        <v>OK</v>
      </c>
    </row>
    <row r="3427" spans="1:4" x14ac:dyDescent="0.2">
      <c r="A3427" s="5">
        <v>3366</v>
      </c>
      <c r="B3427" s="138">
        <f>'Assets-Liab 5-6'!I4</f>
        <v>6551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82514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27566</v>
      </c>
      <c r="C3446" s="2" t="s">
        <v>594</v>
      </c>
      <c r="D3446" s="2" t="str">
        <f t="shared" si="52"/>
        <v>Error?</v>
      </c>
    </row>
    <row r="3447" spans="1:4" x14ac:dyDescent="0.2">
      <c r="A3447" s="5">
        <v>3386</v>
      </c>
      <c r="B3447" s="138">
        <f>'Tax Sched 23'!D16</f>
        <v>27566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98130</v>
      </c>
      <c r="D3451" s="2" t="str">
        <f t="shared" si="52"/>
        <v>Error?</v>
      </c>
    </row>
    <row r="3452" spans="1:4" x14ac:dyDescent="0.2">
      <c r="A3452" s="5">
        <v>3391</v>
      </c>
      <c r="B3452" s="138">
        <f>'Cap Outlay Deprec 26'!D15</f>
        <v>1631807</v>
      </c>
      <c r="D3452" s="2" t="str">
        <f t="shared" si="52"/>
        <v>Error?</v>
      </c>
    </row>
    <row r="3453" spans="1:4" x14ac:dyDescent="0.2">
      <c r="A3453" s="5">
        <v>3392</v>
      </c>
      <c r="B3453" s="138">
        <f>'Cap Outlay Deprec 26'!E15</f>
        <v>98130</v>
      </c>
      <c r="D3453" s="2" t="str">
        <f t="shared" si="52"/>
        <v>Error?</v>
      </c>
    </row>
    <row r="3454" spans="1:4" x14ac:dyDescent="0.2">
      <c r="A3454" s="5">
        <v>3393</v>
      </c>
      <c r="B3454" s="138">
        <f>'Cap Outlay Deprec 26'!F15</f>
        <v>1631807</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1631807</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389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113609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113998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113998</v>
      </c>
      <c r="D3567" s="2" t="str">
        <f t="shared" si="54"/>
        <v>Error?</v>
      </c>
    </row>
    <row r="3568" spans="1:4" x14ac:dyDescent="0.2">
      <c r="A3568" s="5">
        <v>3507</v>
      </c>
      <c r="B3568" s="138">
        <f>'Assets-Liab 5-6'!K41</f>
        <v>113998</v>
      </c>
      <c r="C3568" s="2" t="s">
        <v>594</v>
      </c>
      <c r="D3568" s="2" t="str">
        <f t="shared" si="54"/>
        <v>Error?</v>
      </c>
    </row>
    <row r="3569" spans="1:4" x14ac:dyDescent="0.2">
      <c r="A3569" s="5">
        <v>3508</v>
      </c>
      <c r="B3569" s="138">
        <f>'Acct Summary 7-8'!K4</f>
        <v>28652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28652</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28652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28652</v>
      </c>
      <c r="C3588" s="2" t="s">
        <v>594</v>
      </c>
      <c r="D3588" s="2" t="str">
        <f t="shared" si="55"/>
        <v>Error?</v>
      </c>
    </row>
    <row r="3589" spans="1:4" x14ac:dyDescent="0.2">
      <c r="A3589" s="5">
        <v>3528</v>
      </c>
      <c r="B3589" s="138">
        <f>'Acct Summary 7-8'!K79</f>
        <v>85346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113998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28652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142527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4230273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17532411</v>
      </c>
      <c r="C4122" s="2" t="s">
        <v>594</v>
      </c>
      <c r="D4122" s="2" t="str">
        <f t="shared" si="63"/>
        <v>Error?</v>
      </c>
    </row>
    <row r="4123" spans="1:4" x14ac:dyDescent="0.2">
      <c r="A4123" s="5">
        <v>4062</v>
      </c>
      <c r="B4123" s="138">
        <f>'Acct Summary 7-8'!D10</f>
        <v>2214955</v>
      </c>
      <c r="C4123" s="2" t="s">
        <v>594</v>
      </c>
      <c r="D4123" s="2" t="str">
        <f t="shared" si="63"/>
        <v>Error?</v>
      </c>
    </row>
    <row r="4124" spans="1:4" x14ac:dyDescent="0.2">
      <c r="A4124" s="5">
        <v>4063</v>
      </c>
      <c r="B4124" s="138">
        <f>'Acct Summary 7-8'!E10</f>
        <v>3390</v>
      </c>
      <c r="C4124" s="2" t="s">
        <v>594</v>
      </c>
      <c r="D4124" s="2" t="str">
        <f t="shared" si="63"/>
        <v>Error?</v>
      </c>
    </row>
    <row r="4125" spans="1:4" x14ac:dyDescent="0.2">
      <c r="A4125" s="5">
        <v>4064</v>
      </c>
      <c r="B4125" s="138">
        <f>'Acct Summary 7-8'!F10</f>
        <v>1217899</v>
      </c>
      <c r="C4125" s="2" t="s">
        <v>594</v>
      </c>
      <c r="D4125" s="2" t="str">
        <f t="shared" si="63"/>
        <v>Error?</v>
      </c>
    </row>
    <row r="4126" spans="1:4" x14ac:dyDescent="0.2">
      <c r="A4126" s="5">
        <v>4065</v>
      </c>
      <c r="B4126" s="138">
        <f>'Acct Summary 7-8'!G10</f>
        <v>288698</v>
      </c>
      <c r="C4126" s="2" t="s">
        <v>594</v>
      </c>
      <c r="D4126" s="2" t="str">
        <f t="shared" si="63"/>
        <v>Error?</v>
      </c>
    </row>
    <row r="4127" spans="1:4" x14ac:dyDescent="0.2">
      <c r="A4127" s="5">
        <v>4066</v>
      </c>
      <c r="B4127" s="138">
        <f>'Acct Summary 7-8'!H10</f>
        <v>317471</v>
      </c>
      <c r="C4127" s="2" t="s">
        <v>594</v>
      </c>
      <c r="D4127" s="2" t="str">
        <f t="shared" si="63"/>
        <v>Error?</v>
      </c>
    </row>
    <row r="4128" spans="1:4" x14ac:dyDescent="0.2">
      <c r="A4128" s="5">
        <v>4067</v>
      </c>
      <c r="B4128" s="138">
        <f>'Acct Summary 7-8'!I10</f>
        <v>251310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28652</v>
      </c>
      <c r="C4130" s="2" t="s">
        <v>594</v>
      </c>
      <c r="D4130" s="2" t="str">
        <f t="shared" si="63"/>
        <v>Error?</v>
      </c>
    </row>
    <row r="4131" spans="1:4" x14ac:dyDescent="0.2">
      <c r="A4131" s="5">
        <v>4070</v>
      </c>
      <c r="B4131" s="138">
        <f>'Acct Summary 7-8'!C18</f>
        <v>4230273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14784570</v>
      </c>
      <c r="C4136" s="2" t="s">
        <v>594</v>
      </c>
      <c r="D4136" s="2" t="str">
        <f t="shared" si="63"/>
        <v>Error?</v>
      </c>
    </row>
    <row r="4137" spans="1:4" x14ac:dyDescent="0.2">
      <c r="A4137" s="5">
        <v>4076</v>
      </c>
      <c r="B4137" s="138">
        <f>'Acct Summary 7-8'!D19</f>
        <v>1859710</v>
      </c>
      <c r="C4137" s="2" t="s">
        <v>594</v>
      </c>
      <c r="D4137" s="2" t="str">
        <f t="shared" si="63"/>
        <v>Error?</v>
      </c>
    </row>
    <row r="4138" spans="1:4" x14ac:dyDescent="0.2">
      <c r="A4138" s="5">
        <v>4077</v>
      </c>
      <c r="B4138" s="138">
        <f>'Acct Summary 7-8'!E19</f>
        <v>580862</v>
      </c>
      <c r="C4138" s="2" t="s">
        <v>594</v>
      </c>
      <c r="D4138" s="2" t="str">
        <f t="shared" si="63"/>
        <v>Error?</v>
      </c>
    </row>
    <row r="4139" spans="1:4" x14ac:dyDescent="0.2">
      <c r="A4139" s="5">
        <v>4078</v>
      </c>
      <c r="B4139" s="138">
        <f>'Acct Summary 7-8'!F19</f>
        <v>602299</v>
      </c>
      <c r="C4139" s="2" t="s">
        <v>594</v>
      </c>
      <c r="D4139" s="2" t="str">
        <f t="shared" si="63"/>
        <v>Error?</v>
      </c>
    </row>
    <row r="4140" spans="1:4" x14ac:dyDescent="0.2">
      <c r="A4140" s="5">
        <v>4079</v>
      </c>
      <c r="B4140" s="138">
        <f>'Acct Summary 7-8'!G19</f>
        <v>494172</v>
      </c>
      <c r="C4140" s="2" t="s">
        <v>594</v>
      </c>
      <c r="D4140" s="2" t="str">
        <f t="shared" si="63"/>
        <v>Error?</v>
      </c>
    </row>
    <row r="4141" spans="1:4" x14ac:dyDescent="0.2">
      <c r="A4141" s="5">
        <v>4080</v>
      </c>
      <c r="B4141" s="138">
        <f>'Acct Summary 7-8'!H19</f>
        <v>1228450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2706645</v>
      </c>
      <c r="C4171" s="2" t="s">
        <v>594</v>
      </c>
      <c r="D4171" s="2" t="str">
        <f t="shared" si="64"/>
        <v>Error?</v>
      </c>
    </row>
    <row r="4172" spans="1:4" x14ac:dyDescent="0.2">
      <c r="A4172" s="5">
        <v>4111</v>
      </c>
      <c r="B4172" s="138">
        <f>'Short-Term Long-Term Debt 24'!J49</f>
        <v>2351527</v>
      </c>
      <c r="C4172" s="2" t="s">
        <v>594</v>
      </c>
      <c r="D4172" s="2" t="str">
        <f t="shared" si="64"/>
        <v>Error?</v>
      </c>
    </row>
    <row r="4173" spans="1:4" x14ac:dyDescent="0.2">
      <c r="A4173" s="5">
        <v>4112</v>
      </c>
      <c r="B4173" s="138">
        <f>'Short-Term Long-Term Debt 24'!H49</f>
        <v>519502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3226147</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183.5</v>
      </c>
      <c r="C4267" s="2" t="s">
        <v>594</v>
      </c>
      <c r="D4267" s="2" t="str">
        <f t="shared" si="65"/>
        <v>Error?</v>
      </c>
      <c r="E4267" s="128"/>
    </row>
    <row r="4268" spans="1:5" x14ac:dyDescent="0.2">
      <c r="A4268" s="12">
        <v>4207</v>
      </c>
      <c r="B4268" s="138">
        <f>('FP Info 3'!J10)*100000</f>
        <v>2684</v>
      </c>
      <c r="C4268" s="2" t="s">
        <v>594</v>
      </c>
      <c r="D4268" s="2" t="str">
        <f t="shared" si="65"/>
        <v>Error?</v>
      </c>
    </row>
    <row r="4269" spans="1:5" x14ac:dyDescent="0.2">
      <c r="A4269" s="12">
        <v>4208</v>
      </c>
      <c r="B4269" s="138">
        <f>'FP Info 3'!J16</f>
        <v>14981201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13604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19802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27197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6265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369883812</v>
      </c>
      <c r="D4995" s="2" t="str">
        <f t="shared" si="77"/>
        <v>Error?</v>
      </c>
    </row>
    <row r="4996" spans="1:4" x14ac:dyDescent="0.2">
      <c r="A4996" s="12">
        <v>4935</v>
      </c>
      <c r="B4996" s="138">
        <f>'FP Info 3'!H31</f>
        <v>51043966.056000002</v>
      </c>
      <c r="D4996" s="2" t="str">
        <f t="shared" si="77"/>
        <v>Error?</v>
      </c>
    </row>
    <row r="4997" spans="1:4" x14ac:dyDescent="0.2">
      <c r="A4997" s="12">
        <v>4936</v>
      </c>
      <c r="B4997" s="138">
        <f>'FP Info 3'!H37</f>
        <v>2706645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8901112</v>
      </c>
      <c r="D5061" s="2" t="str">
        <f t="shared" si="78"/>
        <v>Error?</v>
      </c>
    </row>
    <row r="5062" spans="1:4" x14ac:dyDescent="0.2">
      <c r="A5062" s="10">
        <v>5001</v>
      </c>
      <c r="D5062" s="2" t="str">
        <f t="shared" si="78"/>
        <v>OK</v>
      </c>
    </row>
    <row r="5063" spans="1:4" x14ac:dyDescent="0.2">
      <c r="A5063" s="5">
        <v>5002</v>
      </c>
      <c r="B5063" s="138">
        <f>'Revenues 9-14'!C7</f>
        <v>49644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8950756</v>
      </c>
      <c r="C5066" s="2" t="s">
        <v>594</v>
      </c>
      <c r="D5066" s="2" t="str">
        <f t="shared" si="78"/>
        <v>Error?</v>
      </c>
    </row>
    <row r="5067" spans="1:4" x14ac:dyDescent="0.2">
      <c r="A5067" s="5">
        <v>5006</v>
      </c>
      <c r="B5067" s="138">
        <f>'Revenues 9-14'!C14</f>
        <v>1407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2943132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2944539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11379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11379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391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528</v>
      </c>
      <c r="D5095" s="2" t="str">
        <f t="shared" si="78"/>
        <v>Error?</v>
      </c>
    </row>
    <row r="5096" spans="1:4" x14ac:dyDescent="0.2">
      <c r="A5096" s="5">
        <v>5035</v>
      </c>
      <c r="B5096" s="138">
        <f>'Revenues 9-14'!C75</f>
        <v>131302</v>
      </c>
      <c r="C5096" s="2" t="s">
        <v>594</v>
      </c>
      <c r="D5096" s="2" t="str">
        <f t="shared" si="78"/>
        <v>Error?</v>
      </c>
    </row>
    <row r="5097" spans="1:4" x14ac:dyDescent="0.2">
      <c r="A5097" s="5">
        <v>5036</v>
      </c>
      <c r="B5097" s="138">
        <f>'Revenues 9-14'!C77</f>
        <v>21342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8814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30156</v>
      </c>
      <c r="C5102" s="2" t="s">
        <v>594</v>
      </c>
      <c r="D5102" s="2" t="str">
        <f t="shared" si="78"/>
        <v>Error?</v>
      </c>
    </row>
    <row r="5103" spans="1:4" x14ac:dyDescent="0.2">
      <c r="A5103" s="5">
        <v>5042</v>
      </c>
      <c r="B5103" s="138">
        <f>'Revenues 9-14'!C84</f>
        <v>30470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15153</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45623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13077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34824</v>
      </c>
      <c r="D5119" s="2" t="str">
        <f t="shared" ref="D5119:D5182" si="79">IF(ISBLANK(B5119),"OK",IF(A5119-B5119=0,"OK","Error?"))</f>
        <v>Error?</v>
      </c>
    </row>
    <row r="5120" spans="1:4" x14ac:dyDescent="0.2">
      <c r="A5120" s="5">
        <v>5059</v>
      </c>
      <c r="B5120" s="138">
        <f>'Revenues 9-14'!C108</f>
        <v>55866</v>
      </c>
      <c r="C5120" s="2" t="s">
        <v>594</v>
      </c>
      <c r="D5120" s="2" t="str">
        <f t="shared" si="79"/>
        <v>Error?</v>
      </c>
    </row>
    <row r="5121" spans="1:4" x14ac:dyDescent="0.2">
      <c r="A5121" s="5">
        <v>5060</v>
      </c>
      <c r="B5121" s="138">
        <f>'Revenues 9-14'!C109</f>
        <v>12169621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413500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413500</v>
      </c>
      <c r="C5132" s="2" t="s">
        <v>594</v>
      </c>
      <c r="D5132" s="2" t="str">
        <f t="shared" si="79"/>
        <v>Error?</v>
      </c>
    </row>
    <row r="5133" spans="1:4" x14ac:dyDescent="0.2">
      <c r="A5133" s="5">
        <v>5072</v>
      </c>
      <c r="B5133" s="138">
        <f>'Revenues 9-14'!C124</f>
        <v>3057</v>
      </c>
      <c r="D5133" s="2" t="str">
        <f t="shared" si="79"/>
        <v>Error?</v>
      </c>
    </row>
    <row r="5134" spans="1:4" x14ac:dyDescent="0.2">
      <c r="A5134" s="5">
        <v>5073</v>
      </c>
      <c r="B5134" s="138">
        <f>'Revenues 9-14'!C125</f>
        <v>36551</v>
      </c>
      <c r="D5134" s="2" t="str">
        <f t="shared" si="79"/>
        <v>Error?</v>
      </c>
    </row>
    <row r="5135" spans="1:4" x14ac:dyDescent="0.2">
      <c r="A5135" s="5">
        <v>5074</v>
      </c>
      <c r="B5135" s="138">
        <f>'Revenues 9-14'!C126</f>
        <v>58575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98183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3104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3104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1202</v>
      </c>
      <c r="D5167" s="2" t="str">
        <f t="shared" si="79"/>
        <v>Error?</v>
      </c>
    </row>
    <row r="5168" spans="1:4" x14ac:dyDescent="0.2">
      <c r="A5168" s="5">
        <v>5107</v>
      </c>
      <c r="B5168" s="138">
        <f>'Revenues 9-14'!C147</f>
        <v>9411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257451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370851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784351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94812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5450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100262</v>
      </c>
      <c r="C5246" s="2" t="s">
        <v>594</v>
      </c>
      <c r="D5246" s="2" t="str">
        <f t="shared" si="80"/>
        <v>Error?</v>
      </c>
    </row>
    <row r="5247" spans="1:4" x14ac:dyDescent="0.2">
      <c r="A5247" s="5">
        <v>5186</v>
      </c>
      <c r="B5247" s="138">
        <f>'Revenues 9-14'!C203</f>
        <v>109955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109955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77346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77346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348166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348166</v>
      </c>
      <c r="C5326" s="2" t="s">
        <v>594</v>
      </c>
      <c r="D5326" s="2" t="str">
        <f t="shared" si="82"/>
        <v>Error?</v>
      </c>
    </row>
    <row r="5327" spans="1:4" x14ac:dyDescent="0.2">
      <c r="A5327" s="5">
        <v>5266</v>
      </c>
      <c r="B5327" s="138">
        <f>'Revenues 9-14'!C275</f>
        <v>13302138</v>
      </c>
      <c r="C5327" s="2" t="s">
        <v>594</v>
      </c>
      <c r="D5327" s="2" t="str">
        <f t="shared" si="82"/>
        <v>Error?</v>
      </c>
    </row>
    <row r="5328" spans="1:4" x14ac:dyDescent="0.2">
      <c r="A5328" s="5">
        <v>5267</v>
      </c>
      <c r="B5328" s="138">
        <f>'Revenues 9-14'!D5</f>
        <v>2139900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2139900</v>
      </c>
      <c r="C5334" s="2" t="s">
        <v>594</v>
      </c>
      <c r="D5334" s="2" t="str">
        <f t="shared" si="82"/>
        <v>Error?</v>
      </c>
    </row>
    <row r="5335" spans="1:4" x14ac:dyDescent="0.2">
      <c r="A5335" s="5">
        <v>5274</v>
      </c>
      <c r="B5335" s="138">
        <f>'Revenues 9-14'!D14</f>
        <v>249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249</v>
      </c>
      <c r="C5339" s="2" t="s">
        <v>594</v>
      </c>
      <c r="D5339" s="2" t="str">
        <f t="shared" si="82"/>
        <v>Error?</v>
      </c>
    </row>
    <row r="5340" spans="1:4" x14ac:dyDescent="0.2">
      <c r="A5340" s="5">
        <v>5279</v>
      </c>
      <c r="B5340" s="138">
        <f>'Revenues 9-14'!D65</f>
        <v>38211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38211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420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11950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24225</v>
      </c>
      <c r="D5354" s="2" t="str">
        <f t="shared" si="82"/>
        <v>Error?</v>
      </c>
    </row>
    <row r="5355" spans="1:4" x14ac:dyDescent="0.2">
      <c r="A5355" s="5">
        <v>5294</v>
      </c>
      <c r="B5355" s="138">
        <f>'Revenues 9-14'!D108</f>
        <v>36595</v>
      </c>
      <c r="C5355" s="2" t="s">
        <v>594</v>
      </c>
      <c r="D5355" s="2" t="str">
        <f t="shared" si="82"/>
        <v>Error?</v>
      </c>
    </row>
    <row r="5356" spans="1:4" x14ac:dyDescent="0.2">
      <c r="A5356" s="5">
        <v>5295</v>
      </c>
      <c r="B5356" s="138">
        <f>'Revenues 9-14'!D109</f>
        <v>2214955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2214955</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3390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3390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3390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3390</v>
      </c>
      <c r="C5552" s="2" t="s">
        <v>594</v>
      </c>
      <c r="D5552" s="2" t="str">
        <f t="shared" si="85"/>
        <v>Error?</v>
      </c>
    </row>
    <row r="5553" spans="1:4" x14ac:dyDescent="0.2">
      <c r="A5553" s="5">
        <v>5492</v>
      </c>
      <c r="B5553" s="138">
        <f>'Revenues 9-14'!F5</f>
        <v>837136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837136</v>
      </c>
      <c r="C5557" s="2" t="s">
        <v>594</v>
      </c>
      <c r="D5557" s="2" t="str">
        <f t="shared" si="85"/>
        <v>Error?</v>
      </c>
    </row>
    <row r="5558" spans="1:4" x14ac:dyDescent="0.2">
      <c r="A5558" s="5">
        <v>5497</v>
      </c>
      <c r="B5558" s="138">
        <f>'Revenues 9-14'!F14</f>
        <v>174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174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4910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4910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10</v>
      </c>
      <c r="C5587" s="2" t="s">
        <v>594</v>
      </c>
      <c r="D5587" s="2" t="str">
        <f t="shared" si="86"/>
        <v>Error?</v>
      </c>
    </row>
    <row r="5588" spans="1:4" x14ac:dyDescent="0.2">
      <c r="A5588" s="5">
        <v>5527</v>
      </c>
      <c r="B5588" s="138">
        <f>'Revenues 9-14'!F109</f>
        <v>842230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220447</v>
      </c>
      <c r="D5615" s="2" t="str">
        <f t="shared" si="86"/>
        <v>Error?</v>
      </c>
    </row>
    <row r="5616" spans="1:4" x14ac:dyDescent="0.2">
      <c r="A5616" s="10">
        <v>5555</v>
      </c>
      <c r="D5616" s="2" t="str">
        <f t="shared" si="86"/>
        <v>OK</v>
      </c>
    </row>
    <row r="5617" spans="1:4" x14ac:dyDescent="0.2">
      <c r="A5617" s="5">
        <v>5556</v>
      </c>
      <c r="B5617" s="138">
        <f>'Revenues 9-14'!F152</f>
        <v>135224</v>
      </c>
      <c r="D5617" s="2" t="str">
        <f t="shared" si="86"/>
        <v>Error?</v>
      </c>
    </row>
    <row r="5618" spans="1:4" x14ac:dyDescent="0.2">
      <c r="A5618" s="5">
        <v>5557</v>
      </c>
      <c r="B5618" s="138">
        <f>'Revenues 9-14'!F154</f>
        <v>355671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19998</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375669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375669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1217899</v>
      </c>
      <c r="C5720" s="2" t="s">
        <v>594</v>
      </c>
      <c r="D5720" s="2" t="str">
        <f t="shared" si="88"/>
        <v>Error?</v>
      </c>
    </row>
    <row r="5721" spans="1:4" x14ac:dyDescent="0.2">
      <c r="A5721" s="5">
        <v>5660</v>
      </c>
      <c r="B5721" s="138">
        <f>'Revenues 9-14'!G5</f>
        <v>27566</v>
      </c>
      <c r="D5721" s="2" t="str">
        <f t="shared" si="88"/>
        <v>Error?</v>
      </c>
    </row>
    <row r="5722" spans="1:4" x14ac:dyDescent="0.2">
      <c r="A5722" s="5">
        <v>5661</v>
      </c>
      <c r="B5722" s="138">
        <f>'Revenues 9-14'!G7</f>
        <v>0</v>
      </c>
      <c r="D5722" s="2" t="str">
        <f t="shared" si="88"/>
        <v>Error?</v>
      </c>
    </row>
    <row r="5723" spans="1:4" x14ac:dyDescent="0.2">
      <c r="A5723" s="5">
        <v>5662</v>
      </c>
      <c r="B5723" s="138">
        <f>'Revenues 9-14'!G8</f>
        <v>27566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55132</v>
      </c>
      <c r="C5725" s="2" t="s">
        <v>594</v>
      </c>
      <c r="D5725" s="2" t="str">
        <f t="shared" si="88"/>
        <v>Error?</v>
      </c>
    </row>
    <row r="5726" spans="1:4" x14ac:dyDescent="0.2">
      <c r="A5726" s="5">
        <v>5665</v>
      </c>
      <c r="B5726" s="138">
        <f>'Revenues 9-14'!G14</f>
        <v>36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230100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230136</v>
      </c>
      <c r="C5730" s="2" t="s">
        <v>594</v>
      </c>
      <c r="D5730" s="2" t="str">
        <f t="shared" si="88"/>
        <v>Error?</v>
      </c>
    </row>
    <row r="5731" spans="1:4" x14ac:dyDescent="0.2">
      <c r="A5731" s="5">
        <v>5670</v>
      </c>
      <c r="B5731" s="138">
        <f>'Revenues 9-14'!G65</f>
        <v>3430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3430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288698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6100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6100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311371</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317471</v>
      </c>
      <c r="C5915" s="2" t="s">
        <v>594</v>
      </c>
      <c r="D5915" s="2" t="str">
        <f t="shared" si="91"/>
        <v>Error?</v>
      </c>
    </row>
    <row r="5916" spans="1:4" x14ac:dyDescent="0.2">
      <c r="A5916" s="5">
        <v>5855</v>
      </c>
      <c r="B5916" s="138">
        <f>'Revenues 9-14'!I5</f>
        <v>222630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222630</v>
      </c>
      <c r="C5918" s="2" t="s">
        <v>594</v>
      </c>
      <c r="D5918" s="2" t="str">
        <f t="shared" si="91"/>
        <v>Error?</v>
      </c>
    </row>
    <row r="5919" spans="1:4" x14ac:dyDescent="0.2">
      <c r="A5919" s="5">
        <v>5858</v>
      </c>
      <c r="B5919" s="138">
        <f>'Revenues 9-14'!I14</f>
        <v>34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34</v>
      </c>
      <c r="C5923" s="2" t="s">
        <v>594</v>
      </c>
      <c r="D5923" s="2" t="str">
        <f t="shared" si="91"/>
        <v>Error?</v>
      </c>
    </row>
    <row r="5924" spans="1:4" x14ac:dyDescent="0.2">
      <c r="A5924" s="5">
        <v>5863</v>
      </c>
      <c r="B5924" s="138">
        <f>'Revenues 9-14'!I65</f>
        <v>28646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28646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251310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27566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27566</v>
      </c>
      <c r="C5987" s="2" t="s">
        <v>594</v>
      </c>
      <c r="D5987" s="2" t="str">
        <f t="shared" si="92"/>
        <v>Error?</v>
      </c>
    </row>
    <row r="5988" spans="1:4" x14ac:dyDescent="0.2">
      <c r="A5988" s="5">
        <v>5927</v>
      </c>
      <c r="B5988" s="138">
        <f>'Revenues 9-14'!K14</f>
        <v>18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18</v>
      </c>
      <c r="C5992" s="2" t="s">
        <v>594</v>
      </c>
      <c r="D5992" s="2" t="str">
        <f t="shared" si="92"/>
        <v>Error?</v>
      </c>
    </row>
    <row r="5993" spans="1:4" x14ac:dyDescent="0.2">
      <c r="A5993" s="5">
        <v>5932</v>
      </c>
      <c r="B5993" s="138">
        <f>'Revenues 9-14'!K65</f>
        <v>1068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1068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28652</v>
      </c>
      <c r="C6023" s="2" t="s">
        <v>594</v>
      </c>
      <c r="D6023" s="2" t="str">
        <f t="shared" si="93"/>
        <v>Error?</v>
      </c>
    </row>
    <row r="6024" spans="1:5" x14ac:dyDescent="0.2">
      <c r="A6024" s="5">
        <v>5963</v>
      </c>
      <c r="B6024" s="138">
        <f>'Revenues 9-14'!G109</f>
        <v>288698</v>
      </c>
      <c r="C6024" s="2" t="s">
        <v>594</v>
      </c>
      <c r="D6024" s="2" t="str">
        <f t="shared" si="93"/>
        <v>Error?</v>
      </c>
    </row>
    <row r="6025" spans="1:5" x14ac:dyDescent="0.2">
      <c r="A6025" s="5">
        <v>5964</v>
      </c>
      <c r="B6025" s="138">
        <f>'Revenues 9-14'!H109</f>
        <v>317471</v>
      </c>
      <c r="C6025" s="2" t="s">
        <v>594</v>
      </c>
      <c r="D6025" s="2" t="str">
        <f t="shared" si="93"/>
        <v>Error?</v>
      </c>
    </row>
    <row r="6026" spans="1:5" x14ac:dyDescent="0.2">
      <c r="A6026" s="5">
        <v>5965</v>
      </c>
      <c r="B6026" s="138">
        <f>'Revenues 9-14'!I109</f>
        <v>251310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28652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130383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29977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567.51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113025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113025</v>
      </c>
      <c r="D6215" s="2" t="str">
        <f t="shared" si="96"/>
        <v>Error?</v>
      </c>
      <c r="E6215" s="2" t="s">
        <v>199</v>
      </c>
    </row>
    <row r="6216" spans="1:5" x14ac:dyDescent="0.2">
      <c r="A6216">
        <v>6155</v>
      </c>
      <c r="B6216" s="138">
        <f>'Assets-Liab 5-6'!J41</f>
        <v>113025</v>
      </c>
      <c r="D6216" s="2" t="str">
        <f t="shared" si="96"/>
        <v>Error?</v>
      </c>
      <c r="E6216" s="2" t="s">
        <v>199</v>
      </c>
    </row>
    <row r="6217" spans="1:5" x14ac:dyDescent="0.2">
      <c r="A6217">
        <v>6156</v>
      </c>
      <c r="B6217" s="138">
        <f>'Assets-Liab 5-6'!J4</f>
        <v>387</v>
      </c>
      <c r="D6217" s="2" t="str">
        <f t="shared" si="96"/>
        <v>Error?</v>
      </c>
      <c r="E6217" s="2" t="s">
        <v>199</v>
      </c>
    </row>
    <row r="6218" spans="1:5" x14ac:dyDescent="0.2">
      <c r="A6218">
        <v>6157</v>
      </c>
      <c r="B6218" s="138">
        <f>'Assets-Liab 5-6'!J5</f>
        <v>112638</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28643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28643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28643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28643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28643</v>
      </c>
      <c r="D6263" s="2" t="str">
        <f t="shared" si="96"/>
        <v>Error?</v>
      </c>
      <c r="E6263" s="2" t="s">
        <v>199</v>
      </c>
    </row>
    <row r="6264" spans="1:5" x14ac:dyDescent="0.2">
      <c r="A6264">
        <v>6203</v>
      </c>
      <c r="B6264" s="138">
        <f>'Acct Summary 7-8'!J79</f>
        <v>84382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113025</v>
      </c>
      <c r="D6266" s="2" t="str">
        <f t="shared" si="96"/>
        <v>Error?</v>
      </c>
      <c r="E6266" s="2" t="s">
        <v>199</v>
      </c>
    </row>
    <row r="6267" spans="1:5" x14ac:dyDescent="0.2">
      <c r="A6267">
        <v>6206</v>
      </c>
      <c r="B6267" s="138">
        <f>'Acct Summary 7-8'!C82</f>
        <v>2747841</v>
      </c>
      <c r="D6267" s="2" t="str">
        <f t="shared" si="96"/>
        <v>Error?</v>
      </c>
      <c r="E6267" s="2" t="s">
        <v>199</v>
      </c>
    </row>
    <row r="6268" spans="1:5" x14ac:dyDescent="0.2">
      <c r="A6268">
        <v>6207</v>
      </c>
      <c r="B6268" s="138">
        <f>'Acct Summary 7-8'!D82</f>
        <v>-208617</v>
      </c>
      <c r="D6268" s="2" t="str">
        <f t="shared" si="96"/>
        <v>Error?</v>
      </c>
      <c r="E6268" s="2" t="s">
        <v>199</v>
      </c>
    </row>
    <row r="6269" spans="1:5" x14ac:dyDescent="0.2">
      <c r="A6269">
        <v>6208</v>
      </c>
      <c r="B6269" s="138">
        <f>'Acct Summary 7-8'!E82</f>
        <v>-13610</v>
      </c>
      <c r="D6269" s="2" t="str">
        <f t="shared" si="96"/>
        <v>Error?</v>
      </c>
      <c r="E6269" s="2" t="s">
        <v>199</v>
      </c>
    </row>
    <row r="6270" spans="1:5" x14ac:dyDescent="0.2">
      <c r="A6270">
        <v>6209</v>
      </c>
      <c r="B6270" s="138">
        <f>'Acct Summary 7-8'!F82</f>
        <v>615600</v>
      </c>
      <c r="D6270" s="2" t="str">
        <f t="shared" si="96"/>
        <v>Error?</v>
      </c>
      <c r="E6270" s="2" t="s">
        <v>199</v>
      </c>
    </row>
    <row r="6271" spans="1:5" x14ac:dyDescent="0.2">
      <c r="A6271">
        <v>6210</v>
      </c>
      <c r="B6271" s="138">
        <f>'Acct Summary 7-8'!G82</f>
        <v>-205474</v>
      </c>
      <c r="D6271" s="2" t="str">
        <f t="shared" ref="D6271:D6334" si="97">IF(ISBLANK(B6271),"OK",IF(A6271-B6271=0,"OK","Error?"))</f>
        <v>Error?</v>
      </c>
      <c r="E6271" s="2" t="s">
        <v>199</v>
      </c>
    </row>
    <row r="6272" spans="1:5" x14ac:dyDescent="0.2">
      <c r="A6272">
        <v>6211</v>
      </c>
      <c r="B6272" s="138">
        <f>'Acct Summary 7-8'!H82</f>
        <v>2315168</v>
      </c>
      <c r="D6272" s="2" t="str">
        <f t="shared" si="97"/>
        <v>Error?</v>
      </c>
      <c r="E6272" s="2" t="s">
        <v>199</v>
      </c>
    </row>
    <row r="6273" spans="1:5" x14ac:dyDescent="0.2">
      <c r="A6273">
        <v>6212</v>
      </c>
      <c r="B6273" s="138">
        <f>'Acct Summary 7-8'!I82</f>
        <v>251310</v>
      </c>
      <c r="D6273" s="2" t="str">
        <f t="shared" si="97"/>
        <v>Error?</v>
      </c>
      <c r="E6273" s="2" t="s">
        <v>199</v>
      </c>
    </row>
    <row r="6274" spans="1:5" x14ac:dyDescent="0.2">
      <c r="A6274">
        <v>6213</v>
      </c>
      <c r="B6274" s="138">
        <f>'Acct Summary 7-8'!J82</f>
        <v>28643</v>
      </c>
      <c r="D6274" s="2" t="str">
        <f t="shared" si="97"/>
        <v>Error?</v>
      </c>
      <c r="E6274" s="2" t="s">
        <v>199</v>
      </c>
    </row>
    <row r="6275" spans="1:5" x14ac:dyDescent="0.2">
      <c r="A6275">
        <v>6214</v>
      </c>
      <c r="B6275" s="138">
        <f>'Acct Summary 7-8'!K82</f>
        <v>28652</v>
      </c>
      <c r="D6275" s="2" t="str">
        <f t="shared" si="97"/>
        <v>Error?</v>
      </c>
      <c r="E6275" s="2" t="s">
        <v>199</v>
      </c>
    </row>
    <row r="6276" spans="1:5" x14ac:dyDescent="0.2">
      <c r="A6276">
        <v>6215</v>
      </c>
      <c r="B6276" s="138">
        <f>'Acct Summary 7-8'!C83</f>
        <v>0.45754165693279825</v>
      </c>
      <c r="D6276" s="2" t="str">
        <f t="shared" si="97"/>
        <v>Error?</v>
      </c>
      <c r="E6276" s="2" t="s">
        <v>199</v>
      </c>
    </row>
    <row r="6277" spans="1:5" x14ac:dyDescent="0.2">
      <c r="A6277">
        <v>6216</v>
      </c>
      <c r="B6277" s="138">
        <f>'Acct Summary 7-8'!D83</f>
        <v>-4.7047099194085271E-2</v>
      </c>
      <c r="D6277" s="2" t="str">
        <f t="shared" si="97"/>
        <v>Error?</v>
      </c>
      <c r="E6277" s="2" t="s">
        <v>199</v>
      </c>
    </row>
    <row r="6278" spans="1:5" x14ac:dyDescent="0.2">
      <c r="A6278">
        <v>6217</v>
      </c>
      <c r="B6278" s="138">
        <f>'Acct Summary 7-8'!E83</f>
        <v>-3.8325289058848043E-2</v>
      </c>
      <c r="D6278" s="2" t="str">
        <f t="shared" si="97"/>
        <v>Error?</v>
      </c>
      <c r="E6278" s="2" t="s">
        <v>199</v>
      </c>
    </row>
    <row r="6279" spans="1:5" x14ac:dyDescent="0.2">
      <c r="A6279">
        <v>6218</v>
      </c>
      <c r="B6279" s="138">
        <f>'Acct Summary 7-8'!F83</f>
        <v>0.4464411979070349</v>
      </c>
      <c r="D6279" s="2" t="str">
        <f t="shared" si="97"/>
        <v>Error?</v>
      </c>
      <c r="E6279" s="2" t="s">
        <v>199</v>
      </c>
    </row>
    <row r="6280" spans="1:5" x14ac:dyDescent="0.2">
      <c r="A6280">
        <v>6219</v>
      </c>
      <c r="B6280" s="138">
        <f>'Acct Summary 7-8'!G83</f>
        <v>-0.49750730617156608</v>
      </c>
      <c r="D6280" s="2" t="str">
        <f t="shared" si="97"/>
        <v>Error?</v>
      </c>
      <c r="E6280" s="2" t="s">
        <v>199</v>
      </c>
    </row>
    <row r="6281" spans="1:5" x14ac:dyDescent="0.2">
      <c r="A6281">
        <v>6220</v>
      </c>
      <c r="B6281" s="138">
        <f>'Acct Summary 7-8'!H83</f>
        <v>0.82950516710181177</v>
      </c>
      <c r="D6281" s="2" t="str">
        <f t="shared" si="97"/>
        <v>Error?</v>
      </c>
      <c r="E6281" s="2" t="s">
        <v>199</v>
      </c>
    </row>
    <row r="6282" spans="1:5" x14ac:dyDescent="0.2">
      <c r="A6282">
        <v>6221</v>
      </c>
      <c r="B6282" s="138">
        <f>'Acct Summary 7-8'!I83</f>
        <v>7.946769828267429E-2</v>
      </c>
      <c r="D6282" s="2" t="str">
        <f t="shared" si="97"/>
        <v>Error?</v>
      </c>
      <c r="E6282" s="2" t="s">
        <v>199</v>
      </c>
    </row>
    <row r="6283" spans="1:5" x14ac:dyDescent="0.2">
      <c r="A6283">
        <v>6222</v>
      </c>
      <c r="B6283" s="138">
        <f>'Acct Summary 7-8'!J83</f>
        <v>0.2534218093342181</v>
      </c>
      <c r="D6283" s="2" t="str">
        <f t="shared" si="97"/>
        <v>Error?</v>
      </c>
      <c r="E6283" s="2" t="s">
        <v>199</v>
      </c>
    </row>
    <row r="6284" spans="1:5" x14ac:dyDescent="0.2">
      <c r="A6284">
        <v>6223</v>
      </c>
      <c r="B6284" s="138">
        <f>'Acct Summary 7-8'!K83</f>
        <v>0.25133774276741699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27566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27566</v>
      </c>
      <c r="D6301" s="2" t="str">
        <f t="shared" si="97"/>
        <v>Error?</v>
      </c>
      <c r="E6301" s="2" t="s">
        <v>199</v>
      </c>
    </row>
    <row r="6302" spans="1:5" x14ac:dyDescent="0.2">
      <c r="A6302">
        <v>6241</v>
      </c>
      <c r="B6302" s="138">
        <f>'Revenues 9-14'!J14</f>
        <v>18</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18</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1059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1059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1700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28643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116148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153489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67733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8533</v>
      </c>
      <c r="D6878" s="2" t="str">
        <f t="shared" si="106"/>
        <v>Error?</v>
      </c>
    </row>
    <row r="6879" spans="1:4" x14ac:dyDescent="0.2">
      <c r="A6879">
        <v>6818</v>
      </c>
      <c r="B6879" s="138">
        <f>'Expenditures 15-22'!K21</f>
        <v>8533</v>
      </c>
      <c r="D6879" s="2" t="str">
        <f t="shared" si="106"/>
        <v>Error?</v>
      </c>
    </row>
    <row r="6880" spans="1:4" x14ac:dyDescent="0.2">
      <c r="A6880">
        <v>6819</v>
      </c>
      <c r="B6880" s="138">
        <f>'Expenditures 15-22'!H22</f>
        <v>176176</v>
      </c>
      <c r="D6880" s="2" t="str">
        <f t="shared" si="106"/>
        <v>Error?</v>
      </c>
    </row>
    <row r="6881" spans="1:4" x14ac:dyDescent="0.2">
      <c r="A6881">
        <v>6820</v>
      </c>
      <c r="B6881" s="138">
        <f>'Expenditures 15-22'!K22</f>
        <v>176176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134235</v>
      </c>
      <c r="D6983" s="2" t="str">
        <f t="shared" si="108"/>
        <v>Error?</v>
      </c>
    </row>
    <row r="6984" spans="1:4" x14ac:dyDescent="0.2">
      <c r="A6984">
        <v>6923</v>
      </c>
      <c r="B6984" s="138">
        <f>'Expenditures 15-22'!K86</f>
        <v>134235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20865</v>
      </c>
      <c r="D6987" s="2" t="str">
        <f t="shared" si="108"/>
        <v>Error?</v>
      </c>
    </row>
    <row r="6988" spans="1:4" x14ac:dyDescent="0.2">
      <c r="A6988">
        <v>6927</v>
      </c>
      <c r="B6988" s="138">
        <f>'Expenditures 15-22'!K88</f>
        <v>20865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155100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28643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9043</v>
      </c>
      <c r="D7073" s="2" t="str">
        <f t="shared" si="109"/>
        <v>Error?</v>
      </c>
    </row>
    <row r="7074" spans="1:4" x14ac:dyDescent="0.2">
      <c r="A7074">
        <v>7013</v>
      </c>
      <c r="B7074" s="138">
        <f>'Expenditures 15-22'!K216</f>
        <v>9043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660</v>
      </c>
      <c r="D7079" s="2" t="str">
        <f t="shared" si="109"/>
        <v>Error?</v>
      </c>
    </row>
    <row r="7080" spans="1:4" x14ac:dyDescent="0.2">
      <c r="A7080">
        <v>7019</v>
      </c>
      <c r="B7080" s="138">
        <f>'Expenditures 15-22'!K226</f>
        <v>660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28643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26553</v>
      </c>
      <c r="D7246" s="2" t="str">
        <f t="shared" si="112"/>
        <v>Error?</v>
      </c>
    </row>
    <row r="7247" spans="1:4" x14ac:dyDescent="0.2">
      <c r="A7247">
        <f t="shared" si="113"/>
        <v>7186</v>
      </c>
      <c r="B7247" s="138">
        <f>'Expenditures 15-22'!E7</f>
        <v>1189</v>
      </c>
      <c r="D7247" s="2" t="str">
        <f t="shared" si="112"/>
        <v>Error?</v>
      </c>
    </row>
    <row r="7248" spans="1:4" x14ac:dyDescent="0.2">
      <c r="A7248">
        <f t="shared" si="113"/>
        <v>7187</v>
      </c>
      <c r="B7248" s="138">
        <f>'Expenditures 15-22'!F7</f>
        <v>9599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47872</v>
      </c>
      <c r="D7263" s="2" t="str">
        <f t="shared" si="112"/>
        <v>Error?</v>
      </c>
    </row>
    <row r="7264" spans="1:4" x14ac:dyDescent="0.2">
      <c r="A7264">
        <f t="shared" si="113"/>
        <v>7203</v>
      </c>
      <c r="B7264" s="138">
        <f>'Expenditures 15-22'!D17</f>
        <v>19861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1036316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475856</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6098</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1700</v>
      </c>
      <c r="D7712" s="2" t="str">
        <f t="shared" si="126"/>
        <v>Error?</v>
      </c>
      <c r="E7712" s="2" t="s">
        <v>881</v>
      </c>
    </row>
    <row r="7713" spans="1:6" x14ac:dyDescent="0.2">
      <c r="A7713">
        <v>7652</v>
      </c>
      <c r="B7713" s="138">
        <f>'Rest Tax Levies-Tort Im 25'!J8</f>
        <v>311371</v>
      </c>
      <c r="D7713" s="2" t="str">
        <f t="shared" si="126"/>
        <v>Error?</v>
      </c>
      <c r="E7713" s="2" t="s">
        <v>881</v>
      </c>
    </row>
    <row r="7714" spans="1:6" x14ac:dyDescent="0.2">
      <c r="A7714">
        <v>7653</v>
      </c>
      <c r="B7714" s="138">
        <f>'Rest Tax Levies-Tort Im 25'!K9</f>
        <v>9411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317469</v>
      </c>
      <c r="D7718" s="2" t="str">
        <f t="shared" si="126"/>
        <v>Error?</v>
      </c>
      <c r="E7718" s="2" t="s">
        <v>881</v>
      </c>
    </row>
    <row r="7719" spans="1:6" x14ac:dyDescent="0.2">
      <c r="A7719">
        <v>7658</v>
      </c>
      <c r="B7719" s="138">
        <f>'Rest Tax Levies-Tort Im 25'!K12</f>
        <v>11111</v>
      </c>
      <c r="D7719" s="2" t="str">
        <f t="shared" si="126"/>
        <v>Error?</v>
      </c>
      <c r="E7719" s="2" t="s">
        <v>881</v>
      </c>
    </row>
    <row r="7720" spans="1:6" x14ac:dyDescent="0.2">
      <c r="A7720">
        <v>7659</v>
      </c>
      <c r="B7720" s="138">
        <f>'Rest Tax Levies-Tort Im 25'!H14</f>
        <v>49681</v>
      </c>
      <c r="D7720" s="2" t="str">
        <f t="shared" si="126"/>
        <v>Error?</v>
      </c>
      <c r="E7720" s="2" t="s">
        <v>881</v>
      </c>
    </row>
    <row r="7721" spans="1:6" x14ac:dyDescent="0.2">
      <c r="A7721">
        <v>7660</v>
      </c>
      <c r="B7721" s="138">
        <f>'Rest Tax Levies-Tort Im 25'!K14</f>
        <v>11111</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311371</v>
      </c>
      <c r="D7731" s="2" t="str">
        <f t="shared" si="126"/>
        <v>Error?</v>
      </c>
      <c r="E7731" s="2" t="s">
        <v>881</v>
      </c>
    </row>
    <row r="7732" spans="1:6" x14ac:dyDescent="0.2">
      <c r="A7732">
        <v>7671</v>
      </c>
      <c r="B7732" s="138">
        <f>'Rest Tax Levies-Tort Im 25'!J24</f>
        <v>793325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793325</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7" t="s">
        <v>1253</v>
      </c>
      <c r="B2" s="2427"/>
      <c r="C2" s="2427"/>
      <c r="D2" s="2427"/>
      <c r="E2" s="2427"/>
      <c r="F2" s="2427"/>
      <c r="G2" s="2427"/>
      <c r="H2" s="2427"/>
      <c r="I2" s="2427"/>
      <c r="J2" s="2427"/>
      <c r="K2" s="2427"/>
      <c r="L2" s="2427"/>
    </row>
    <row r="3" spans="1:29" ht="13.5" customHeight="1" x14ac:dyDescent="0.2">
      <c r="A3" s="2413" t="s">
        <v>1252</v>
      </c>
      <c r="B3" s="2413"/>
      <c r="C3" s="2413"/>
      <c r="D3" s="2413"/>
      <c r="E3" s="2413"/>
      <c r="F3" s="2413"/>
      <c r="G3" s="2413"/>
      <c r="H3" s="2413"/>
      <c r="I3" s="2413"/>
      <c r="J3" s="2413"/>
      <c r="K3" s="2413"/>
      <c r="L3" s="2413"/>
    </row>
    <row r="4" spans="1:29" ht="13.5" customHeight="1" x14ac:dyDescent="0.2">
      <c r="A4" s="2427" t="s">
        <v>1799</v>
      </c>
      <c r="B4" s="2444"/>
      <c r="C4" s="2444"/>
      <c r="D4" s="2444"/>
      <c r="E4" s="2444"/>
      <c r="F4" s="2444"/>
      <c r="G4" s="2444"/>
      <c r="H4" s="2444"/>
      <c r="I4" s="2444"/>
      <c r="J4" s="2444"/>
      <c r="K4" s="2444"/>
      <c r="L4" s="244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7" t="str">
        <f>COVER!A17</f>
        <v>Erie CUSD 1</v>
      </c>
      <c r="B7" s="2408"/>
      <c r="C7" s="2408"/>
      <c r="D7" s="2445"/>
      <c r="E7" s="2446">
        <f>COVER!A13</f>
        <v>47098001026</v>
      </c>
      <c r="F7" s="2447"/>
      <c r="G7" s="2414" t="str">
        <f>COVER!T23</f>
        <v>066-005027</v>
      </c>
      <c r="H7" s="2415"/>
      <c r="I7" s="2415"/>
      <c r="J7" s="2415"/>
      <c r="K7" s="2415"/>
      <c r="L7" s="2416"/>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7"/>
      <c r="B9" s="2418"/>
      <c r="C9" s="2418"/>
      <c r="D9" s="2418"/>
      <c r="E9" s="2418"/>
      <c r="F9" s="2419"/>
      <c r="G9" s="2420" t="str">
        <f>COVER!T13</f>
        <v>Gorenz and Associates, Ltd.</v>
      </c>
      <c r="H9" s="2421"/>
      <c r="I9" s="2421"/>
      <c r="J9" s="2421"/>
      <c r="K9" s="2421"/>
      <c r="L9" s="2422"/>
    </row>
    <row r="10" spans="1:29" ht="13.5" customHeight="1" x14ac:dyDescent="0.2">
      <c r="A10" s="2404" t="str">
        <f>COVER!A38</f>
        <v>Marty Felesena</v>
      </c>
      <c r="B10" s="2405"/>
      <c r="C10" s="2405"/>
      <c r="D10" s="2405"/>
      <c r="E10" s="2405"/>
      <c r="F10" s="2406"/>
      <c r="G10" s="2420" t="str">
        <f>COVER!T17</f>
        <v>4200 N Knoxville Ave</v>
      </c>
      <c r="H10" s="2433"/>
      <c r="I10" s="2433"/>
      <c r="J10" s="2433"/>
      <c r="K10" s="2433"/>
      <c r="L10" s="2434"/>
    </row>
    <row r="11" spans="1:29" ht="13.5" customHeight="1" x14ac:dyDescent="0.2">
      <c r="A11" s="1183" t="s">
        <v>1599</v>
      </c>
      <c r="B11" s="1184"/>
      <c r="C11" s="1185"/>
      <c r="D11" s="1190"/>
      <c r="E11" s="1185"/>
      <c r="F11" s="1189"/>
      <c r="G11" s="2420" t="str">
        <f>COVER!T19</f>
        <v>Peoria</v>
      </c>
      <c r="H11" s="2433"/>
      <c r="I11" s="2433"/>
      <c r="J11" s="2433"/>
      <c r="K11" s="2433"/>
      <c r="L11" s="2434"/>
    </row>
    <row r="12" spans="1:29" ht="13.5" customHeight="1" x14ac:dyDescent="0.2">
      <c r="A12" s="2438" t="s">
        <v>1598</v>
      </c>
      <c r="B12" s="2439"/>
      <c r="C12" s="2439"/>
      <c r="D12" s="2439"/>
      <c r="E12" s="2439"/>
      <c r="F12" s="2440"/>
      <c r="G12" s="2435"/>
      <c r="H12" s="2436"/>
      <c r="I12" s="2436"/>
      <c r="J12" s="2436"/>
      <c r="K12" s="2436"/>
      <c r="L12" s="2437"/>
    </row>
    <row r="13" spans="1:29" ht="13.5" customHeight="1" x14ac:dyDescent="0.2">
      <c r="A13" s="2420"/>
      <c r="B13" s="2433"/>
      <c r="C13" s="2433"/>
      <c r="D13" s="2433"/>
      <c r="E13" s="2433"/>
      <c r="F13" s="2434"/>
      <c r="G13" s="2428" t="s">
        <v>1600</v>
      </c>
      <c r="H13" s="2429"/>
      <c r="I13" s="2441" t="str">
        <f>COVER!T25</f>
        <v>rrumbold@gorenzcpa.com</v>
      </c>
      <c r="J13" s="2442"/>
      <c r="K13" s="2442"/>
      <c r="L13" s="2443"/>
    </row>
    <row r="14" spans="1:29" ht="13.5" customHeight="1" x14ac:dyDescent="0.2">
      <c r="A14" s="2420" t="str">
        <f>COVER!A19</f>
        <v>520 Fifth Avenue</v>
      </c>
      <c r="B14" s="2433"/>
      <c r="C14" s="2433"/>
      <c r="D14" s="2433"/>
      <c r="E14" s="2433"/>
      <c r="F14" s="2434"/>
      <c r="G14" s="1194" t="s">
        <v>1247</v>
      </c>
      <c r="H14" s="1192"/>
      <c r="I14" s="1192"/>
      <c r="J14" s="1192"/>
      <c r="K14" s="1192"/>
      <c r="L14" s="1193"/>
    </row>
    <row r="15" spans="1:29" ht="13.5" customHeight="1" x14ac:dyDescent="0.2">
      <c r="A15" s="2420" t="str">
        <f>COVER!A21</f>
        <v>Erie</v>
      </c>
      <c r="B15" s="2433"/>
      <c r="C15" s="2433"/>
      <c r="D15" s="2433"/>
      <c r="E15" s="2433"/>
      <c r="F15" s="2434"/>
      <c r="G15" s="2430" t="str">
        <f>COVER!T15</f>
        <v>Russell J. Rumbold II, CPA</v>
      </c>
      <c r="H15" s="2431"/>
      <c r="I15" s="2431"/>
      <c r="J15" s="2431"/>
      <c r="K15" s="2431"/>
      <c r="L15" s="2432"/>
    </row>
    <row r="16" spans="1:29" ht="12.2" customHeight="1" x14ac:dyDescent="0.2">
      <c r="A16" s="2410">
        <f>COVER!A25</f>
        <v>61250</v>
      </c>
      <c r="B16" s="2411"/>
      <c r="C16" s="2411"/>
      <c r="D16" s="2411"/>
      <c r="E16" s="2411"/>
      <c r="F16" s="2412"/>
      <c r="G16" s="2423"/>
      <c r="H16" s="2424"/>
      <c r="I16" s="2424"/>
      <c r="J16" s="2424"/>
      <c r="K16" s="2424"/>
      <c r="L16" s="2425"/>
    </row>
    <row r="17" spans="1:13" ht="12.2" customHeight="1" x14ac:dyDescent="0.2">
      <c r="A17" s="2426"/>
      <c r="B17" s="2411"/>
      <c r="C17" s="2411"/>
      <c r="D17" s="2411"/>
      <c r="E17" s="2411"/>
      <c r="F17" s="2412"/>
      <c r="G17" s="1194" t="s">
        <v>1246</v>
      </c>
      <c r="H17" s="1192"/>
      <c r="I17" s="1192"/>
      <c r="J17" s="1192"/>
      <c r="K17" s="1196" t="s">
        <v>1245</v>
      </c>
      <c r="L17" s="1189"/>
      <c r="M17" s="1182"/>
    </row>
    <row r="18" spans="1:13" ht="12.2" customHeight="1" x14ac:dyDescent="0.2">
      <c r="A18" s="2404"/>
      <c r="B18" s="2405"/>
      <c r="C18" s="2405"/>
      <c r="D18" s="2405"/>
      <c r="E18" s="2405"/>
      <c r="F18" s="2406"/>
      <c r="G18" s="2407" t="str">
        <f>COVER!T21</f>
        <v>309-685-7621</v>
      </c>
      <c r="H18" s="2408"/>
      <c r="I18" s="2408"/>
      <c r="J18" s="2408"/>
      <c r="K18" s="2407" t="str">
        <f>COVER!X21</f>
        <v>309-685-4758</v>
      </c>
      <c r="L18" s="240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8" t="str">
        <f>'Single Audit Cover'!A7</f>
        <v>Erie CUSD 1</v>
      </c>
      <c r="B1" s="2444"/>
      <c r="C1" s="2444"/>
      <c r="D1" s="2444"/>
    </row>
    <row r="2" spans="1:11" s="1213" customFormat="1" ht="12.75" x14ac:dyDescent="0.2">
      <c r="A2" s="2449">
        <f>'Single Audit Cover'!E7</f>
        <v>47098001026</v>
      </c>
      <c r="B2" s="2450"/>
      <c r="C2" s="2450"/>
      <c r="D2" s="2450"/>
    </row>
    <row r="3" spans="1:11" s="1213" customFormat="1" ht="12.75" x14ac:dyDescent="0.2">
      <c r="A3" s="2448" t="s">
        <v>1593</v>
      </c>
      <c r="B3" s="2444"/>
      <c r="C3" s="2444"/>
      <c r="D3" s="2444"/>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52" t="str">
        <f>'Single Audit Cover'!A7</f>
        <v>Erie CUSD 1</v>
      </c>
      <c r="B1" s="2452"/>
      <c r="C1" s="2452"/>
      <c r="D1" s="2452"/>
      <c r="E1" s="2452"/>
    </row>
    <row r="2" spans="1:5" x14ac:dyDescent="0.2">
      <c r="A2" s="2453">
        <f>'Single Audit Cover'!E7</f>
        <v>47098001026</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58" t="s">
        <v>1305</v>
      </c>
    </row>
    <row r="10" spans="1:5" x14ac:dyDescent="0.2">
      <c r="A10" s="1259" t="s">
        <v>1304</v>
      </c>
      <c r="B10" s="1260" t="s">
        <v>1303</v>
      </c>
      <c r="C10" s="1260"/>
      <c r="D10" s="1261">
        <f>SUM('Acct Summary 7-8'!C7:K7)</f>
        <v>348166</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29977</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-19802</v>
      </c>
    </row>
    <row r="19" spans="1:4" ht="13.5" thickBot="1" x14ac:dyDescent="0.25">
      <c r="A19" s="1263" t="s">
        <v>1297</v>
      </c>
      <c r="D19" s="1264">
        <f>SUM(D10:D17)</f>
        <v>358341</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4"/>
      <c r="B24" s="2454"/>
      <c r="D24" s="1266"/>
    </row>
    <row r="25" spans="1:4" x14ac:dyDescent="0.2">
      <c r="A25" s="2451"/>
      <c r="B25" s="2451"/>
      <c r="D25" s="1266"/>
    </row>
    <row r="26" spans="1:4" x14ac:dyDescent="0.2">
      <c r="A26" s="2451"/>
      <c r="B26" s="2451"/>
      <c r="D26" s="1266"/>
    </row>
    <row r="27" spans="1:4" x14ac:dyDescent="0.2">
      <c r="A27" s="2451"/>
      <c r="B27" s="2451"/>
      <c r="D27" s="1266"/>
    </row>
    <row r="28" spans="1:4" x14ac:dyDescent="0.2">
      <c r="A28" s="2451"/>
      <c r="B28" s="2451"/>
      <c r="D28" s="1266"/>
    </row>
    <row r="29" spans="1:4" x14ac:dyDescent="0.2">
      <c r="A29" s="2451"/>
      <c r="B29" s="2451"/>
      <c r="D29" s="1266"/>
    </row>
    <row r="30" spans="1:4" x14ac:dyDescent="0.2">
      <c r="A30" s="2451"/>
      <c r="B30" s="2451"/>
      <c r="D30" s="1266"/>
    </row>
    <row r="32" spans="1:4" x14ac:dyDescent="0.2">
      <c r="A32" s="1258" t="s">
        <v>1295</v>
      </c>
      <c r="D32" s="1261">
        <f>SUM(D19:D30)</f>
        <v>358341</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51"/>
      <c r="B40" s="2451"/>
      <c r="D40" s="1266"/>
    </row>
    <row r="41" spans="1:4" x14ac:dyDescent="0.2">
      <c r="A41" s="2451"/>
      <c r="B41" s="2451"/>
      <c r="D41" s="1269"/>
    </row>
    <row r="42" spans="1:4" x14ac:dyDescent="0.2">
      <c r="A42" s="2451"/>
      <c r="B42" s="2451"/>
      <c r="D42" s="1269"/>
    </row>
    <row r="43" spans="1:4" x14ac:dyDescent="0.2">
      <c r="A43" s="2451"/>
      <c r="B43" s="2451"/>
      <c r="D43" s="1269"/>
    </row>
    <row r="44" spans="1:4" x14ac:dyDescent="0.2">
      <c r="A44" s="2451"/>
      <c r="B44" s="2451"/>
      <c r="D44" s="1269"/>
    </row>
    <row r="45" spans="1:4" x14ac:dyDescent="0.2">
      <c r="A45" s="2451"/>
      <c r="B45" s="2451"/>
      <c r="D45" s="1269"/>
    </row>
    <row r="47" spans="1:4" x14ac:dyDescent="0.2">
      <c r="B47" s="1270" t="s">
        <v>1289</v>
      </c>
      <c r="C47" s="1270"/>
      <c r="D47" s="1271">
        <f>SUM(D35:D45)</f>
        <v>0</v>
      </c>
    </row>
    <row r="49" spans="2:4" x14ac:dyDescent="0.2">
      <c r="B49" s="1270" t="s">
        <v>1288</v>
      </c>
      <c r="C49" s="1270"/>
      <c r="D49" s="1271">
        <f>D32-D47</f>
        <v>358341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Erie CUSD 1</v>
      </c>
      <c r="B1" s="2457"/>
      <c r="C1" s="2457"/>
      <c r="D1" s="2457"/>
      <c r="E1" s="2457"/>
      <c r="F1" s="2457"/>
    </row>
    <row r="2" spans="1:7" ht="13.5" customHeight="1" x14ac:dyDescent="0.2">
      <c r="A2" s="2458">
        <f>'Single Audit Cover'!E7</f>
        <v>47098001026</v>
      </c>
      <c r="B2" s="2458"/>
      <c r="C2" s="2458"/>
      <c r="D2" s="2458"/>
      <c r="E2" s="2458"/>
      <c r="F2" s="2458"/>
      <c r="G2" s="1273"/>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7"/>
      <c r="D5" s="317"/>
    </row>
    <row r="6" spans="1:7" ht="13.5" customHeight="1" x14ac:dyDescent="0.2">
      <c r="A6" s="1274" t="s">
        <v>1831</v>
      </c>
      <c r="C6" s="317"/>
      <c r="D6" s="317"/>
    </row>
    <row r="7" spans="1:7" ht="60.95" customHeight="1" x14ac:dyDescent="0.2">
      <c r="A7" s="2456" t="s">
        <v>1832</v>
      </c>
      <c r="B7" s="2456"/>
      <c r="C7" s="2456"/>
      <c r="D7" s="2456"/>
      <c r="E7" s="2456"/>
      <c r="F7" s="2456"/>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6" t="s">
        <v>1834</v>
      </c>
      <c r="B13" s="2456"/>
      <c r="C13" s="2456"/>
      <c r="D13" s="2456"/>
      <c r="E13" s="2456"/>
      <c r="F13" s="2456"/>
    </row>
    <row r="14" spans="1:7" ht="9.75" customHeight="1" x14ac:dyDescent="0.2">
      <c r="C14" s="1258"/>
      <c r="D14" s="1258"/>
    </row>
    <row r="15" spans="1:7" ht="13.5" customHeight="1" x14ac:dyDescent="0.2">
      <c r="C15" s="1869" t="s">
        <v>1332</v>
      </c>
      <c r="D15" s="2462" t="s">
        <v>1331</v>
      </c>
      <c r="E15" s="2462"/>
      <c r="F15" s="2462"/>
    </row>
    <row r="16" spans="1:7" ht="13.5" customHeight="1" x14ac:dyDescent="0.2">
      <c r="A16" s="1280"/>
      <c r="B16" s="1274" t="s">
        <v>1330</v>
      </c>
      <c r="C16" s="1869" t="s">
        <v>1329</v>
      </c>
      <c r="D16" s="2463" t="s">
        <v>1670</v>
      </c>
      <c r="E16" s="2463"/>
      <c r="F16" s="2463"/>
    </row>
    <row r="17" spans="1:6" ht="20.45" customHeight="1" x14ac:dyDescent="0.2">
      <c r="A17" s="1281"/>
      <c r="B17" s="1282"/>
      <c r="C17" s="1283"/>
      <c r="D17" s="2461"/>
      <c r="E17" s="2461"/>
      <c r="F17" s="2461"/>
    </row>
    <row r="18" spans="1:6" ht="20.65" customHeight="1" x14ac:dyDescent="0.2">
      <c r="A18" s="1281"/>
      <c r="B18" s="1282"/>
      <c r="C18" s="1283"/>
      <c r="D18" s="2461"/>
      <c r="E18" s="2461"/>
      <c r="F18" s="2461"/>
    </row>
    <row r="19" spans="1:6" ht="20.65" customHeight="1" x14ac:dyDescent="0.2">
      <c r="A19" s="1281"/>
      <c r="B19" s="1282"/>
      <c r="C19" s="1283"/>
      <c r="D19" s="2461"/>
      <c r="E19" s="2461"/>
      <c r="F19" s="2461"/>
    </row>
    <row r="20" spans="1:6" ht="20.65" customHeight="1" x14ac:dyDescent="0.2">
      <c r="A20" s="1281"/>
      <c r="B20" s="1282"/>
      <c r="C20" s="1283"/>
      <c r="D20" s="2461"/>
      <c r="E20" s="2461"/>
      <c r="F20" s="2461"/>
    </row>
    <row r="21" spans="1:6" ht="20.65" customHeight="1" x14ac:dyDescent="0.2">
      <c r="A21" s="1281"/>
      <c r="B21" s="1282"/>
      <c r="C21" s="1283"/>
      <c r="D21" s="2461"/>
      <c r="E21" s="2461"/>
      <c r="F21" s="2461"/>
    </row>
    <row r="22" spans="1:6" ht="20.65" customHeight="1" x14ac:dyDescent="0.2">
      <c r="A22" s="1281"/>
      <c r="B22" s="1282"/>
      <c r="C22" s="1283"/>
      <c r="D22" s="2461"/>
      <c r="E22" s="2461"/>
      <c r="F22" s="2461"/>
    </row>
    <row r="23" spans="1:6" ht="20.65" customHeight="1" x14ac:dyDescent="0.2">
      <c r="A23" s="1281"/>
      <c r="B23" s="1282"/>
      <c r="C23" s="1283"/>
      <c r="D23" s="2461"/>
      <c r="E23" s="2461"/>
      <c r="F23" s="2461"/>
    </row>
    <row r="24" spans="1:6" ht="20.65" customHeight="1" x14ac:dyDescent="0.2">
      <c r="A24" s="1281"/>
      <c r="B24" s="1282"/>
      <c r="C24" s="1283"/>
      <c r="D24" s="2461"/>
      <c r="E24" s="2461"/>
      <c r="F24" s="2461"/>
    </row>
    <row r="25" spans="1:6" ht="20.65" customHeight="1" x14ac:dyDescent="0.2">
      <c r="A25" s="1281"/>
      <c r="B25" s="1282"/>
      <c r="C25" s="1283"/>
      <c r="D25" s="2461"/>
      <c r="E25" s="2461"/>
      <c r="F25" s="2461"/>
    </row>
    <row r="26" spans="1:6" ht="20.65" customHeight="1" x14ac:dyDescent="0.2">
      <c r="A26" s="1281"/>
      <c r="B26" s="1282"/>
      <c r="C26" s="1283"/>
      <c r="D26" s="2461"/>
      <c r="E26" s="2461"/>
      <c r="F26" s="2461"/>
    </row>
    <row r="27" spans="1:6" ht="20.65" customHeight="1" x14ac:dyDescent="0.2">
      <c r="A27" s="1281"/>
      <c r="B27" s="1282"/>
      <c r="C27" s="1283"/>
      <c r="D27" s="2461"/>
      <c r="E27" s="2461"/>
      <c r="F27" s="2461"/>
    </row>
    <row r="28" spans="1:6" ht="20.65" customHeight="1" x14ac:dyDescent="0.2">
      <c r="A28" s="1281"/>
      <c r="B28" s="1282"/>
      <c r="C28" s="1283"/>
      <c r="D28" s="2461"/>
      <c r="E28" s="2461"/>
      <c r="F28" s="2461"/>
    </row>
    <row r="29" spans="1:6" ht="20.65" customHeight="1" x14ac:dyDescent="0.2">
      <c r="A29" s="1281"/>
      <c r="B29" s="1282"/>
      <c r="C29" s="1283"/>
      <c r="D29" s="2461"/>
      <c r="E29" s="2461"/>
      <c r="F29" s="2461"/>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65" t="s">
        <v>1835</v>
      </c>
      <c r="B32" s="2465"/>
      <c r="C32" s="2465"/>
      <c r="D32" s="2465"/>
      <c r="E32" s="2465"/>
      <c r="F32" s="2465"/>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66">
        <f>+C33+C34</f>
        <v>0</v>
      </c>
      <c r="F34" s="2467"/>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8" t="s">
        <v>1672</v>
      </c>
      <c r="C49" s="2468"/>
      <c r="D49" s="2468"/>
      <c r="E49" s="1397"/>
    </row>
    <row r="50" spans="1:5" s="1298" customFormat="1" ht="3.75" customHeight="1" x14ac:dyDescent="0.2">
      <c r="A50" s="1297"/>
      <c r="B50" s="1868"/>
      <c r="C50" s="1868"/>
      <c r="D50" s="1868"/>
      <c r="E50" s="1397"/>
    </row>
    <row r="51" spans="1:5" s="1298" customFormat="1" ht="20.25" customHeight="1" x14ac:dyDescent="0.2">
      <c r="A51" s="1299">
        <v>6</v>
      </c>
      <c r="B51" s="2464" t="s">
        <v>1632</v>
      </c>
      <c r="C51" s="2464"/>
      <c r="D51" s="2464"/>
    </row>
    <row r="52" spans="1:5" ht="14.25" customHeight="1" x14ac:dyDescent="0.2">
      <c r="A52" s="1299"/>
      <c r="B52" s="2464"/>
      <c r="C52" s="2464"/>
      <c r="D52" s="246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13" t="str">
        <f>'Single Audit Cover'!A7</f>
        <v>Erie CUSD 1</v>
      </c>
      <c r="C1" s="2469"/>
      <c r="D1" s="2469"/>
      <c r="E1" s="2469"/>
      <c r="F1" s="2469"/>
      <c r="G1" s="2469"/>
      <c r="H1" s="2469"/>
      <c r="I1" s="2469"/>
      <c r="J1" s="2469"/>
      <c r="K1" s="2469"/>
      <c r="L1" s="2469"/>
      <c r="M1" s="2469"/>
    </row>
    <row r="2" spans="2:14" ht="15" x14ac:dyDescent="0.2">
      <c r="B2" s="2458">
        <f>'Single Audit Cover'!E7</f>
        <v>47098001026</v>
      </c>
      <c r="C2" s="2458"/>
      <c r="D2" s="2458"/>
      <c r="E2" s="2458"/>
      <c r="F2" s="2458"/>
      <c r="G2" s="2458"/>
      <c r="H2" s="2458"/>
      <c r="I2" s="2458"/>
      <c r="J2" s="2458"/>
      <c r="K2" s="2458"/>
      <c r="L2" s="2458"/>
      <c r="M2" s="2458"/>
      <c r="N2" s="1300"/>
    </row>
    <row r="3" spans="2:14" ht="15" x14ac:dyDescent="0.2">
      <c r="B3" s="2470" t="s">
        <v>1281</v>
      </c>
      <c r="C3" s="2470"/>
      <c r="D3" s="2470"/>
      <c r="E3" s="2470"/>
      <c r="F3" s="2470"/>
      <c r="G3" s="2470"/>
      <c r="H3" s="2470"/>
      <c r="I3" s="2470"/>
      <c r="J3" s="2470"/>
      <c r="K3" s="2470"/>
      <c r="L3" s="2470"/>
      <c r="M3" s="2470"/>
      <c r="N3" s="1300"/>
    </row>
    <row r="4" spans="2:14" ht="15" x14ac:dyDescent="0.2">
      <c r="B4" s="2471" t="str">
        <f>'Single Audit Cover'!A4</f>
        <v>Year Ending June 30, 2018</v>
      </c>
      <c r="C4" s="2471"/>
      <c r="D4" s="2471"/>
      <c r="E4" s="2471"/>
      <c r="F4" s="2471"/>
      <c r="G4" s="2471"/>
      <c r="H4" s="2471"/>
      <c r="I4" s="2471"/>
      <c r="J4" s="2471"/>
      <c r="K4" s="2471"/>
      <c r="L4" s="2471"/>
      <c r="M4" s="2471"/>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t="s">
        <v>1231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t="s">
        <v>2108</v>
      </c>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t="s">
        <v>2124</v>
      </c>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2084</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t="s">
        <v>2142</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Erie CUSD 1</v>
      </c>
      <c r="C1" s="2477"/>
      <c r="D1" s="2477"/>
      <c r="E1" s="2477"/>
      <c r="F1" s="2477"/>
      <c r="G1" s="2477"/>
      <c r="H1" s="2477"/>
      <c r="I1" s="2477"/>
      <c r="J1" s="1420"/>
    </row>
    <row r="2" spans="2:10" s="317" customFormat="1" ht="12.75" customHeight="1" x14ac:dyDescent="0.2">
      <c r="B2" s="2478">
        <f>'Single Audit Cover'!E7</f>
        <v>47098001026</v>
      </c>
      <c r="C2" s="2479"/>
      <c r="D2" s="2479"/>
      <c r="E2" s="2479"/>
      <c r="F2" s="2479"/>
      <c r="G2" s="2479"/>
      <c r="H2" s="2479"/>
      <c r="I2" s="2479"/>
      <c r="J2" s="1420"/>
    </row>
    <row r="3" spans="2:10" s="317" customFormat="1" ht="12.75" customHeight="1" x14ac:dyDescent="0.2">
      <c r="B3" s="2480" t="s">
        <v>1347</v>
      </c>
      <c r="C3" s="2481"/>
      <c r="D3" s="2481"/>
      <c r="E3" s="2481"/>
      <c r="F3" s="2481"/>
      <c r="G3" s="2481"/>
      <c r="H3" s="2481"/>
      <c r="I3" s="2481"/>
      <c r="J3" s="1421"/>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0" t="s">
        <v>1346</v>
      </c>
      <c r="C7" s="2481"/>
      <c r="D7" s="2481"/>
      <c r="E7" s="2481"/>
      <c r="F7" s="2481"/>
      <c r="G7" s="2481"/>
      <c r="H7" s="2481"/>
      <c r="I7" s="2481"/>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2"/>
      <c r="D11" s="2482"/>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3"/>
      <c r="E29" s="2483"/>
      <c r="F29" s="2483"/>
      <c r="G29" s="2483"/>
      <c r="H29" s="2483"/>
      <c r="I29" s="2483"/>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4" t="s">
        <v>1854</v>
      </c>
      <c r="D37" s="2485"/>
      <c r="E37" s="2485"/>
      <c r="F37" s="2486"/>
      <c r="G37" s="2484" t="s">
        <v>1674</v>
      </c>
      <c r="H37" s="2485"/>
      <c r="I37" s="2486"/>
    </row>
    <row r="38" spans="2:9" ht="16.5" customHeight="1" x14ac:dyDescent="0.2">
      <c r="B38" s="1442"/>
      <c r="C38" s="2472"/>
      <c r="D38" s="2473"/>
      <c r="E38" s="2473"/>
      <c r="F38" s="2474"/>
      <c r="G38" s="2487"/>
      <c r="H38" s="2488"/>
      <c r="I38" s="2489"/>
    </row>
    <row r="39" spans="2:9" ht="16.5" customHeight="1" x14ac:dyDescent="0.2">
      <c r="B39" s="1442"/>
      <c r="C39" s="2472"/>
      <c r="D39" s="2473"/>
      <c r="E39" s="2473"/>
      <c r="F39" s="2474"/>
      <c r="G39" s="2475"/>
      <c r="H39" s="2475"/>
      <c r="I39" s="2475"/>
    </row>
    <row r="40" spans="2:9" ht="16.5" customHeight="1" x14ac:dyDescent="0.2">
      <c r="B40" s="1442"/>
      <c r="C40" s="2472"/>
      <c r="D40" s="2473"/>
      <c r="E40" s="2473"/>
      <c r="F40" s="2474"/>
      <c r="G40" s="2475"/>
      <c r="H40" s="2475"/>
      <c r="I40" s="2475"/>
    </row>
    <row r="41" spans="2:9" ht="16.5" customHeight="1" x14ac:dyDescent="0.2">
      <c r="B41" s="1442"/>
      <c r="C41" s="2472"/>
      <c r="D41" s="2473"/>
      <c r="E41" s="2473"/>
      <c r="F41" s="2474"/>
      <c r="G41" s="2475"/>
      <c r="H41" s="2475"/>
      <c r="I41" s="2475"/>
    </row>
    <row r="42" spans="2:9" ht="16.5" customHeight="1" x14ac:dyDescent="0.2">
      <c r="B42" s="1442"/>
      <c r="C42" s="2472"/>
      <c r="D42" s="2473"/>
      <c r="E42" s="2473"/>
      <c r="F42" s="2474"/>
      <c r="G42" s="2475"/>
      <c r="H42" s="2475"/>
      <c r="I42" s="2475"/>
    </row>
    <row r="43" spans="2:9" ht="16.5" customHeight="1" x14ac:dyDescent="0.2">
      <c r="B43" s="1442"/>
      <c r="C43" s="2490" t="s">
        <v>1675</v>
      </c>
      <c r="D43" s="2491"/>
      <c r="E43" s="2491"/>
      <c r="F43" s="2492"/>
      <c r="G43" s="2493">
        <f>SUM(G38:I42)</f>
        <v>0</v>
      </c>
      <c r="H43" s="2493"/>
      <c r="I43" s="2493"/>
    </row>
    <row r="44" spans="2:9" ht="12.75" customHeight="1" x14ac:dyDescent="0.2"/>
    <row r="45" spans="2:9" ht="12.75" customHeight="1" x14ac:dyDescent="0.2">
      <c r="B45" s="1433" t="s">
        <v>1952</v>
      </c>
      <c r="D45" s="2494">
        <v>0</v>
      </c>
      <c r="E45" s="2495"/>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96"/>
      <c r="F49" s="2496"/>
      <c r="G49" s="2496"/>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Erie CUSD 1</v>
      </c>
      <c r="C1" s="2476"/>
      <c r="D1" s="2476"/>
      <c r="E1" s="2476"/>
      <c r="F1" s="2476"/>
      <c r="G1" s="2476"/>
      <c r="H1" s="2476"/>
      <c r="I1" s="2476"/>
      <c r="J1" s="2476"/>
      <c r="K1" s="2476"/>
      <c r="L1" s="1372"/>
      <c r="M1" s="1372"/>
    </row>
    <row r="2" spans="1:13" ht="12" customHeight="1" x14ac:dyDescent="0.2">
      <c r="B2" s="2478">
        <f>'Single Audit Cover'!E7</f>
        <v>47098001026</v>
      </c>
      <c r="C2" s="2478"/>
      <c r="D2" s="2478"/>
      <c r="E2" s="2478"/>
      <c r="F2" s="2478"/>
      <c r="G2" s="2478"/>
      <c r="H2" s="2478"/>
      <c r="I2" s="2478"/>
      <c r="J2" s="2478"/>
      <c r="K2" s="2478"/>
      <c r="L2" s="1373"/>
      <c r="M2" s="1374"/>
    </row>
    <row r="3" spans="1:13" ht="10.35" customHeight="1" x14ac:dyDescent="0.2">
      <c r="B3" s="2499" t="s">
        <v>1347</v>
      </c>
      <c r="C3" s="2499"/>
      <c r="D3" s="2499"/>
      <c r="E3" s="2499"/>
      <c r="F3" s="2499"/>
      <c r="G3" s="2499"/>
      <c r="H3" s="2499"/>
      <c r="I3" s="2499"/>
      <c r="J3" s="2499"/>
      <c r="K3" s="2499"/>
      <c r="L3" s="1375"/>
      <c r="M3" s="1375"/>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0" t="s">
        <v>1363</v>
      </c>
      <c r="C7" s="2500"/>
      <c r="D7" s="2501"/>
      <c r="E7" s="2501"/>
      <c r="F7" s="2501"/>
      <c r="G7" s="2501"/>
      <c r="H7" s="2501"/>
      <c r="I7" s="2501"/>
      <c r="J7" s="2501"/>
      <c r="K7" s="2501"/>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8"/>
      <c r="C14" s="2498"/>
      <c r="D14" s="2498"/>
      <c r="E14" s="2498"/>
      <c r="F14" s="2498"/>
      <c r="G14" s="2498"/>
      <c r="H14" s="2498"/>
      <c r="I14" s="2498"/>
      <c r="J14" s="2498"/>
      <c r="K14" s="249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8"/>
      <c r="C17" s="2498"/>
      <c r="D17" s="2498"/>
      <c r="E17" s="2498"/>
      <c r="F17" s="2498"/>
      <c r="G17" s="2498"/>
      <c r="H17" s="2498"/>
      <c r="I17" s="2498"/>
      <c r="J17" s="2498"/>
      <c r="K17" s="2498"/>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2"/>
      <c r="C20" s="2502"/>
      <c r="D20" s="2498"/>
      <c r="E20" s="2498"/>
      <c r="F20" s="2498"/>
      <c r="G20" s="2498"/>
      <c r="H20" s="2498"/>
      <c r="I20" s="2498"/>
      <c r="J20" s="2498"/>
      <c r="K20" s="249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8"/>
      <c r="C23" s="2498"/>
      <c r="D23" s="2498"/>
      <c r="E23" s="2498"/>
      <c r="F23" s="2498"/>
      <c r="G23" s="2498"/>
      <c r="H23" s="2498"/>
      <c r="I23" s="2498"/>
      <c r="J23" s="2498"/>
      <c r="K23" s="249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8"/>
      <c r="C26" s="2498"/>
      <c r="D26" s="2498"/>
      <c r="E26" s="2498"/>
      <c r="F26" s="2498"/>
      <c r="G26" s="2498"/>
      <c r="H26" s="2498"/>
      <c r="I26" s="2498"/>
      <c r="J26" s="2498"/>
      <c r="K26" s="249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7"/>
      <c r="C29" s="2497"/>
      <c r="D29" s="2498"/>
      <c r="E29" s="2498"/>
      <c r="F29" s="2498"/>
      <c r="G29" s="2498"/>
      <c r="H29" s="2498"/>
      <c r="I29" s="2498"/>
      <c r="J29" s="2498"/>
      <c r="K29" s="2498"/>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7"/>
      <c r="C32" s="2497"/>
      <c r="D32" s="2498"/>
      <c r="E32" s="2498"/>
      <c r="F32" s="2498"/>
      <c r="G32" s="2498"/>
      <c r="H32" s="2498"/>
      <c r="I32" s="2498"/>
      <c r="J32" s="2498"/>
      <c r="K32" s="2498"/>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Erie CUSD 1</v>
      </c>
      <c r="C1" s="2476"/>
      <c r="D1" s="2476"/>
      <c r="E1" s="2476"/>
      <c r="F1" s="2476"/>
      <c r="G1" s="2476"/>
      <c r="H1" s="2476"/>
      <c r="I1" s="2476"/>
      <c r="J1" s="2476"/>
      <c r="K1" s="2476"/>
      <c r="L1" s="1372"/>
      <c r="M1" s="1372"/>
    </row>
    <row r="2" spans="1:13" ht="12" customHeight="1" x14ac:dyDescent="0.2">
      <c r="B2" s="2478">
        <f>'Single Audit Cover'!E7</f>
        <v>47098001026</v>
      </c>
      <c r="C2" s="2478"/>
      <c r="D2" s="2478"/>
      <c r="E2" s="2478"/>
      <c r="F2" s="2478"/>
      <c r="G2" s="2478"/>
      <c r="H2" s="2478"/>
      <c r="I2" s="2478"/>
      <c r="J2" s="2478"/>
      <c r="K2" s="2478"/>
      <c r="L2" s="1373"/>
      <c r="M2" s="1374"/>
    </row>
    <row r="3" spans="1:13" ht="10.35" customHeight="1" x14ac:dyDescent="0.2">
      <c r="B3" s="2499" t="s">
        <v>1347</v>
      </c>
      <c r="C3" s="2499"/>
      <c r="D3" s="2499"/>
      <c r="E3" s="2499"/>
      <c r="F3" s="2499"/>
      <c r="G3" s="2499"/>
      <c r="H3" s="2499"/>
      <c r="I3" s="2499"/>
      <c r="J3" s="2499"/>
      <c r="K3" s="2499"/>
      <c r="L3" s="1957"/>
      <c r="M3" s="1957"/>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0" t="s">
        <v>1363</v>
      </c>
      <c r="C7" s="2500"/>
      <c r="D7" s="2501"/>
      <c r="E7" s="2501"/>
      <c r="F7" s="2501"/>
      <c r="G7" s="2501"/>
      <c r="H7" s="2501"/>
      <c r="I7" s="2501"/>
      <c r="J7" s="2501"/>
      <c r="K7" s="2501"/>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2007</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8" t="s">
        <v>2109</v>
      </c>
      <c r="C14" s="2498"/>
      <c r="D14" s="2498"/>
      <c r="E14" s="2498"/>
      <c r="F14" s="2498"/>
      <c r="G14" s="2498"/>
      <c r="H14" s="2498"/>
      <c r="I14" s="2498"/>
      <c r="J14" s="2498"/>
      <c r="K14" s="249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81.75" customHeight="1" x14ac:dyDescent="0.2">
      <c r="B17" s="2498" t="s">
        <v>2110</v>
      </c>
      <c r="C17" s="2498"/>
      <c r="D17" s="2498"/>
      <c r="E17" s="2498"/>
      <c r="F17" s="2498"/>
      <c r="G17" s="2498"/>
      <c r="H17" s="2498"/>
      <c r="I17" s="2498"/>
      <c r="J17" s="2498"/>
      <c r="K17" s="2498"/>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2" t="s">
        <v>2111</v>
      </c>
      <c r="C20" s="2502"/>
      <c r="D20" s="2498"/>
      <c r="E20" s="2498"/>
      <c r="F20" s="2498"/>
      <c r="G20" s="2498"/>
      <c r="H20" s="2498"/>
      <c r="I20" s="2498"/>
      <c r="J20" s="2498"/>
      <c r="K20" s="249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8" t="s">
        <v>2112</v>
      </c>
      <c r="C23" s="2498"/>
      <c r="D23" s="2498"/>
      <c r="E23" s="2498"/>
      <c r="F23" s="2498"/>
      <c r="G23" s="2498"/>
      <c r="H23" s="2498"/>
      <c r="I23" s="2498"/>
      <c r="J23" s="2498"/>
      <c r="K23" s="249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8" t="s">
        <v>2113</v>
      </c>
      <c r="C26" s="2498"/>
      <c r="D26" s="2498"/>
      <c r="E26" s="2498"/>
      <c r="F26" s="2498"/>
      <c r="G26" s="2498"/>
      <c r="H26" s="2498"/>
      <c r="I26" s="2498"/>
      <c r="J26" s="2498"/>
      <c r="K26" s="249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30" customHeight="1" x14ac:dyDescent="0.2">
      <c r="B29" s="2497" t="s">
        <v>2114</v>
      </c>
      <c r="C29" s="2497"/>
      <c r="D29" s="2498"/>
      <c r="E29" s="2498"/>
      <c r="F29" s="2498"/>
      <c r="G29" s="2498"/>
      <c r="H29" s="2498"/>
      <c r="I29" s="2498"/>
      <c r="J29" s="2498"/>
      <c r="K29" s="2498"/>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54" customHeight="1" x14ac:dyDescent="0.2">
      <c r="B32" s="2497" t="s">
        <v>2115</v>
      </c>
      <c r="C32" s="2497"/>
      <c r="D32" s="2498"/>
      <c r="E32" s="2498"/>
      <c r="F32" s="2498"/>
      <c r="G32" s="2498"/>
      <c r="H32" s="2498"/>
      <c r="I32" s="2498"/>
      <c r="J32" s="2498"/>
      <c r="K32" s="2498"/>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Erie CUSD 1</v>
      </c>
      <c r="C1" s="2476"/>
      <c r="D1" s="2476"/>
      <c r="E1" s="2476"/>
      <c r="F1" s="2476"/>
      <c r="G1" s="2476"/>
      <c r="H1" s="2476"/>
      <c r="I1" s="2476"/>
      <c r="J1" s="2476"/>
      <c r="K1" s="2476"/>
      <c r="L1" s="1372"/>
      <c r="M1" s="1372"/>
    </row>
    <row r="2" spans="1:13" ht="12" customHeight="1" x14ac:dyDescent="0.2">
      <c r="B2" s="2478">
        <f>'Single Audit Cover'!E7</f>
        <v>47098001026</v>
      </c>
      <c r="C2" s="2478"/>
      <c r="D2" s="2478"/>
      <c r="E2" s="2478"/>
      <c r="F2" s="2478"/>
      <c r="G2" s="2478"/>
      <c r="H2" s="2478"/>
      <c r="I2" s="2478"/>
      <c r="J2" s="2478"/>
      <c r="K2" s="2478"/>
      <c r="L2" s="1373"/>
      <c r="M2" s="1374"/>
    </row>
    <row r="3" spans="1:13" ht="10.35" customHeight="1" x14ac:dyDescent="0.2">
      <c r="B3" s="2499" t="s">
        <v>1347</v>
      </c>
      <c r="C3" s="2499"/>
      <c r="D3" s="2499"/>
      <c r="E3" s="2499"/>
      <c r="F3" s="2499"/>
      <c r="G3" s="2499"/>
      <c r="H3" s="2499"/>
      <c r="I3" s="2499"/>
      <c r="J3" s="2499"/>
      <c r="K3" s="2499"/>
      <c r="L3" s="1957"/>
      <c r="M3" s="1957"/>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0" t="s">
        <v>1363</v>
      </c>
      <c r="C7" s="2500"/>
      <c r="D7" s="2501"/>
      <c r="E7" s="2501"/>
      <c r="F7" s="2501"/>
      <c r="G7" s="2501"/>
      <c r="H7" s="2501"/>
      <c r="I7" s="2501"/>
      <c r="J7" s="2501"/>
      <c r="K7" s="2501"/>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2</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2007</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5.5" customHeight="1" x14ac:dyDescent="0.2">
      <c r="B14" s="2498" t="s">
        <v>2116</v>
      </c>
      <c r="C14" s="2498"/>
      <c r="D14" s="2498"/>
      <c r="E14" s="2498"/>
      <c r="F14" s="2498"/>
      <c r="G14" s="2498"/>
      <c r="H14" s="2498"/>
      <c r="I14" s="2498"/>
      <c r="J14" s="2498"/>
      <c r="K14" s="249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0.5" customHeight="1" x14ac:dyDescent="0.2">
      <c r="B17" s="2498" t="s">
        <v>2117</v>
      </c>
      <c r="C17" s="2498"/>
      <c r="D17" s="2498"/>
      <c r="E17" s="2498"/>
      <c r="F17" s="2498"/>
      <c r="G17" s="2498"/>
      <c r="H17" s="2498"/>
      <c r="I17" s="2498"/>
      <c r="J17" s="2498"/>
      <c r="K17" s="2498"/>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18" customHeight="1" x14ac:dyDescent="0.2">
      <c r="B20" s="2502" t="s">
        <v>2118</v>
      </c>
      <c r="C20" s="2502"/>
      <c r="D20" s="2498"/>
      <c r="E20" s="2498"/>
      <c r="F20" s="2498"/>
      <c r="G20" s="2498"/>
      <c r="H20" s="2498"/>
      <c r="I20" s="2498"/>
      <c r="J20" s="2498"/>
      <c r="K20" s="249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17.25" customHeight="1" x14ac:dyDescent="0.2">
      <c r="B23" s="2498" t="s">
        <v>2119</v>
      </c>
      <c r="C23" s="2498"/>
      <c r="D23" s="2498"/>
      <c r="E23" s="2498"/>
      <c r="F23" s="2498"/>
      <c r="G23" s="2498"/>
      <c r="H23" s="2498"/>
      <c r="I23" s="2498"/>
      <c r="J23" s="2498"/>
      <c r="K23" s="249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17.25" customHeight="1" x14ac:dyDescent="0.2">
      <c r="B26" s="2498" t="s">
        <v>2120</v>
      </c>
      <c r="C26" s="2498"/>
      <c r="D26" s="2498"/>
      <c r="E26" s="2498"/>
      <c r="F26" s="2498"/>
      <c r="G26" s="2498"/>
      <c r="H26" s="2498"/>
      <c r="I26" s="2498"/>
      <c r="J26" s="2498"/>
      <c r="K26" s="249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30" customHeight="1" x14ac:dyDescent="0.2">
      <c r="B29" s="2497" t="s">
        <v>2121</v>
      </c>
      <c r="C29" s="2497"/>
      <c r="D29" s="2498"/>
      <c r="E29" s="2498"/>
      <c r="F29" s="2498"/>
      <c r="G29" s="2498"/>
      <c r="H29" s="2498"/>
      <c r="I29" s="2498"/>
      <c r="J29" s="2498"/>
      <c r="K29" s="2498"/>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18" customHeight="1" x14ac:dyDescent="0.2">
      <c r="B32" s="2497" t="s">
        <v>2122</v>
      </c>
      <c r="C32" s="2497"/>
      <c r="D32" s="2498"/>
      <c r="E32" s="2498"/>
      <c r="F32" s="2498"/>
      <c r="G32" s="2498"/>
      <c r="H32" s="2498"/>
      <c r="I32" s="2498"/>
      <c r="J32" s="2498"/>
      <c r="K32" s="2498"/>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Erie CUSD 1</v>
      </c>
      <c r="C1" s="2503"/>
      <c r="D1" s="2503"/>
      <c r="E1" s="2503"/>
      <c r="F1" s="2503"/>
      <c r="G1" s="2503"/>
      <c r="H1" s="2503"/>
      <c r="I1" s="2503"/>
      <c r="J1" s="2503"/>
      <c r="K1" s="2503"/>
      <c r="L1" s="1463"/>
    </row>
    <row r="2" spans="1:12" ht="12.75" customHeight="1" x14ac:dyDescent="0.2">
      <c r="B2" s="2504">
        <f>'Single Audit Cover'!E7</f>
        <v>47098001026</v>
      </c>
      <c r="C2" s="2504"/>
      <c r="D2" s="2504"/>
      <c r="E2" s="2504"/>
      <c r="F2" s="2504"/>
      <c r="G2" s="2504"/>
      <c r="H2" s="2504"/>
      <c r="I2" s="2504"/>
      <c r="J2" s="2504"/>
      <c r="K2" s="2504"/>
      <c r="L2" s="1464"/>
    </row>
    <row r="3" spans="1:12" ht="12.75" customHeight="1" x14ac:dyDescent="0.2">
      <c r="B3" s="2499" t="s">
        <v>1347</v>
      </c>
      <c r="C3" s="2499"/>
      <c r="D3" s="2499"/>
      <c r="E3" s="2499"/>
      <c r="F3" s="2499"/>
      <c r="G3" s="2499"/>
      <c r="H3" s="2499"/>
      <c r="I3" s="2499"/>
      <c r="J3" s="2499"/>
      <c r="K3" s="2499"/>
      <c r="L3" s="1375"/>
    </row>
    <row r="4" spans="1:12" ht="12.75" customHeight="1" x14ac:dyDescent="0.2">
      <c r="B4" s="2499" t="str">
        <f>'Single Audit Cover'!A4</f>
        <v>Year Ending June 30, 2018</v>
      </c>
      <c r="C4" s="2499"/>
      <c r="D4" s="2499"/>
      <c r="E4" s="2499"/>
      <c r="F4" s="2499"/>
      <c r="G4" s="2499"/>
      <c r="H4" s="2499"/>
      <c r="I4" s="2499"/>
      <c r="J4" s="2499"/>
      <c r="K4" s="2499"/>
      <c r="L4" s="1375"/>
    </row>
    <row r="5" spans="1:12" ht="5.25" customHeight="1" x14ac:dyDescent="0.2">
      <c r="B5" s="1258" t="s">
        <v>1231</v>
      </c>
      <c r="C5" s="1258"/>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3"/>
      <c r="G12" s="2483"/>
      <c r="H12" s="2483"/>
      <c r="I12" s="2483"/>
      <c r="J12" s="2483"/>
      <c r="K12" s="2483"/>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6"/>
      <c r="E14" s="2506"/>
      <c r="F14" s="2506"/>
      <c r="H14" s="1473" t="s">
        <v>1370</v>
      </c>
      <c r="I14" s="2507"/>
      <c r="J14" s="2507"/>
      <c r="K14" s="2507"/>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7"/>
      <c r="E16" s="2507"/>
      <c r="F16" s="2507"/>
      <c r="G16" s="2507"/>
      <c r="H16" s="2507"/>
      <c r="I16" s="2507"/>
      <c r="J16" s="2507"/>
      <c r="K16" s="2507"/>
      <c r="L16" s="322"/>
    </row>
    <row r="17" spans="2:12" ht="13.5" customHeight="1" x14ac:dyDescent="0.2">
      <c r="B17" s="1385" t="s">
        <v>1368</v>
      </c>
      <c r="C17" s="1385"/>
      <c r="D17" s="2508"/>
      <c r="E17" s="2508"/>
      <c r="F17" s="2508"/>
      <c r="G17" s="2508"/>
      <c r="H17" s="2508"/>
      <c r="I17" s="2508"/>
      <c r="J17" s="2508"/>
      <c r="K17" s="2508"/>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8"/>
      <c r="C20" s="2498"/>
      <c r="D20" s="2498"/>
      <c r="E20" s="2498"/>
      <c r="F20" s="2498"/>
      <c r="G20" s="2498"/>
      <c r="H20" s="2498"/>
      <c r="I20" s="2498"/>
      <c r="J20" s="2498"/>
      <c r="K20" s="2498"/>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6" t="str">
        <f>'Single Audit Cover'!A7</f>
        <v>Erie CUSD 1</v>
      </c>
      <c r="C1" s="2476"/>
      <c r="D1" s="2476"/>
      <c r="E1" s="1489"/>
    </row>
    <row r="2" spans="2:5" s="1280" customFormat="1" ht="12.75" customHeight="1" x14ac:dyDescent="0.2">
      <c r="B2" s="2478">
        <f>'Single Audit Cover'!E7</f>
        <v>47098001026</v>
      </c>
      <c r="C2" s="2478"/>
      <c r="D2" s="2478"/>
      <c r="E2" s="1490"/>
    </row>
    <row r="3" spans="2:5" ht="12.75" customHeight="1" x14ac:dyDescent="0.2">
      <c r="B3" s="2499" t="s">
        <v>1869</v>
      </c>
      <c r="C3" s="2499"/>
      <c r="D3" s="2499"/>
      <c r="E3" s="1272"/>
    </row>
    <row r="4" spans="2:5" s="1280" customFormat="1" ht="12.75" customHeight="1" x14ac:dyDescent="0.2">
      <c r="B4" s="2509" t="str">
        <f>'Single Audit Cover'!A4</f>
        <v>Year Ending June 30, 2018</v>
      </c>
      <c r="C4" s="2509"/>
      <c r="D4" s="2509"/>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955" t="s">
        <v>2094</v>
      </c>
      <c r="C7" s="1956" t="s">
        <v>2096</v>
      </c>
      <c r="D7" s="1956" t="s">
        <v>2106</v>
      </c>
      <c r="E7" s="324"/>
    </row>
    <row r="8" spans="2:5" ht="13.5" customHeight="1" x14ac:dyDescent="0.2">
      <c r="B8" s="1955" t="s">
        <v>2095</v>
      </c>
      <c r="C8" s="1956" t="s">
        <v>2097</v>
      </c>
      <c r="D8" s="1956" t="s">
        <v>2107</v>
      </c>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369883812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0.02</v>
      </c>
      <c r="E10" s="356" t="s">
        <v>1062</v>
      </c>
      <c r="F10" s="355">
        <v>5.0000000000000001E-3</v>
      </c>
      <c r="G10" s="356" t="s">
        <v>1062</v>
      </c>
      <c r="H10" s="355">
        <v>1.835E-3</v>
      </c>
      <c r="I10" s="356" t="s">
        <v>1063</v>
      </c>
      <c r="J10" s="1752">
        <f>ROUND(D10+F10+H10,5)</f>
        <v>2.6839999999999999E-2</v>
      </c>
      <c r="K10" s="222"/>
      <c r="L10" s="355">
        <v>5.0000000000000001E-4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16986302</v>
      </c>
      <c r="E16" s="356"/>
      <c r="F16" s="1753">
        <f>SUM('Acct Summary 7-8'!C17,'Acct Summary 7-8'!D17,'Acct Summary 7-8'!F17)</f>
        <v>13016306</v>
      </c>
      <c r="G16" s="356"/>
      <c r="H16" s="1753">
        <f>SUM(D16-F16)</f>
        <v>3969996</v>
      </c>
      <c r="I16" s="222"/>
      <c r="J16" s="1753">
        <f>SUM('Acct Summary 7-8'!C81,'Acct Summary 7-8'!D81,'Acct Summary 7-8'!F81,'Acct Summary 7-8'!I81)</f>
        <v>14981201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51043966.056000002</v>
      </c>
      <c r="I31" s="368"/>
      <c r="J31" s="222"/>
      <c r="K31" s="222"/>
      <c r="L31" s="222"/>
      <c r="M31" s="222"/>
    </row>
    <row r="32" spans="1:13" ht="13.35" customHeight="1" x14ac:dyDescent="0.2">
      <c r="B32" s="369" t="s">
        <v>2098</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2706645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Erie CUSD 1</v>
      </c>
      <c r="E7" s="391"/>
      <c r="G7" s="252"/>
      <c r="H7" s="387"/>
      <c r="I7" s="387"/>
      <c r="J7" s="387"/>
      <c r="K7" s="387"/>
      <c r="L7" s="329"/>
      <c r="M7" s="329"/>
      <c r="N7" s="329"/>
      <c r="O7" s="329"/>
      <c r="P7" s="329"/>
    </row>
    <row r="8" spans="1:18" ht="12.75" x14ac:dyDescent="0.2">
      <c r="A8" s="329"/>
      <c r="B8" s="329"/>
      <c r="C8" s="389" t="s">
        <v>1187</v>
      </c>
      <c r="D8" s="392">
        <f>COVER!A13</f>
        <v>47098001026</v>
      </c>
      <c r="E8" s="393"/>
      <c r="G8" s="329"/>
      <c r="H8" s="329"/>
      <c r="I8" s="329"/>
      <c r="J8" s="329"/>
      <c r="K8" s="329"/>
      <c r="L8" s="329"/>
      <c r="M8" s="329"/>
      <c r="N8" s="329"/>
      <c r="O8" s="329"/>
      <c r="P8" s="329"/>
    </row>
    <row r="9" spans="1:18" ht="12.75" x14ac:dyDescent="0.2">
      <c r="A9" s="329"/>
      <c r="B9" s="329"/>
      <c r="C9" s="389" t="s">
        <v>737</v>
      </c>
      <c r="D9" s="394" t="str">
        <f>COVER!A15</f>
        <v>Whiteside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14981201</v>
      </c>
      <c r="I12" s="404"/>
      <c r="J12" s="404"/>
      <c r="K12" s="405">
        <f>TRUNC((H12/H13*100000),5)/100000</f>
        <v>0.88195776800000003</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16986302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13016306</v>
      </c>
      <c r="I17" s="404"/>
      <c r="J17" s="416"/>
      <c r="K17" s="405">
        <f>TRUNC((H17/H18*100000),5)/100000</f>
        <v>0.76628250220000005</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16986302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14981201</v>
      </c>
      <c r="I24" s="422"/>
      <c r="J24" s="422"/>
      <c r="K24" s="423">
        <f>TRUNC(((H24/H25*100000)/100000),2)</f>
        <v>414.34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36156.405559999999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8438529.2869700007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2706645</v>
      </c>
      <c r="I32" s="420"/>
      <c r="J32" s="420"/>
      <c r="K32" s="423">
        <f>TRUNC(100-((((H32/H33*100))*100)/100),2)</f>
        <v>94.69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51043966.056000002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79"/>
      <c r="D3" s="1580"/>
      <c r="E3" s="1580"/>
      <c r="F3" s="1580"/>
      <c r="G3" s="1580"/>
      <c r="H3" s="1580"/>
      <c r="I3" s="1580"/>
      <c r="J3" s="1580"/>
      <c r="K3" s="1580"/>
      <c r="L3" s="1580"/>
      <c r="M3" s="1581"/>
      <c r="N3" s="1582"/>
    </row>
    <row r="4" spans="1:14" ht="13.5" customHeight="1" x14ac:dyDescent="0.2">
      <c r="A4" s="463" t="s">
        <v>1750</v>
      </c>
      <c r="B4" s="464"/>
      <c r="C4" s="465">
        <v>705663</v>
      </c>
      <c r="D4" s="465">
        <v>1034216</v>
      </c>
      <c r="E4" s="466">
        <v>452</v>
      </c>
      <c r="F4" s="466">
        <v>278905</v>
      </c>
      <c r="G4" s="466">
        <v>148007</v>
      </c>
      <c r="H4" s="466">
        <v>21385</v>
      </c>
      <c r="I4" s="466">
        <v>6551</v>
      </c>
      <c r="J4" s="467">
        <v>387</v>
      </c>
      <c r="K4" s="466">
        <v>389</v>
      </c>
      <c r="L4" s="466">
        <v>82514</v>
      </c>
      <c r="M4" s="468"/>
      <c r="N4" s="469"/>
    </row>
    <row r="5" spans="1:14" x14ac:dyDescent="0.2">
      <c r="A5" s="463" t="s">
        <v>1049</v>
      </c>
      <c r="B5" s="470">
        <v>120</v>
      </c>
      <c r="C5" s="465">
        <v>5300000</v>
      </c>
      <c r="D5" s="466">
        <v>3400000</v>
      </c>
      <c r="E5" s="466">
        <v>354666</v>
      </c>
      <c r="F5" s="466">
        <v>1100000</v>
      </c>
      <c r="G5" s="466">
        <v>265000</v>
      </c>
      <c r="H5" s="466">
        <v>2769638</v>
      </c>
      <c r="I5" s="466">
        <v>3155866</v>
      </c>
      <c r="J5" s="467">
        <v>112638</v>
      </c>
      <c r="K5" s="471">
        <v>113609</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6005663</v>
      </c>
      <c r="D13" s="1757">
        <f t="shared" ref="D13:L13" si="0">SUM(D4:D12)</f>
        <v>4434216</v>
      </c>
      <c r="E13" s="1757">
        <f t="shared" si="0"/>
        <v>355118</v>
      </c>
      <c r="F13" s="1757">
        <f t="shared" si="0"/>
        <v>1378905</v>
      </c>
      <c r="G13" s="1757">
        <f t="shared" si="0"/>
        <v>413007</v>
      </c>
      <c r="H13" s="1757">
        <f t="shared" si="0"/>
        <v>2791023</v>
      </c>
      <c r="I13" s="1757">
        <f t="shared" si="0"/>
        <v>3162417</v>
      </c>
      <c r="J13" s="1757">
        <f t="shared" si="0"/>
        <v>113025</v>
      </c>
      <c r="K13" s="1757">
        <f t="shared" si="0"/>
        <v>113998</v>
      </c>
      <c r="L13" s="1757">
        <f t="shared" si="0"/>
        <v>82514</v>
      </c>
      <c r="M13" s="468"/>
      <c r="N13" s="469"/>
    </row>
    <row r="14" spans="1:14" ht="18" customHeight="1" thickTop="1" x14ac:dyDescent="0.2">
      <c r="A14" s="2130" t="s">
        <v>149</v>
      </c>
      <c r="B14" s="2131"/>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190042</v>
      </c>
      <c r="N16" s="483"/>
    </row>
    <row r="17" spans="1:14" s="484" customFormat="1" ht="12.75" customHeight="1" x14ac:dyDescent="0.2">
      <c r="A17" s="481" t="s">
        <v>1470</v>
      </c>
      <c r="B17" s="482">
        <v>230</v>
      </c>
      <c r="C17" s="476"/>
      <c r="D17" s="476"/>
      <c r="E17" s="476"/>
      <c r="F17" s="476"/>
      <c r="G17" s="476"/>
      <c r="H17" s="476"/>
      <c r="I17" s="476"/>
      <c r="J17" s="476"/>
      <c r="K17" s="476"/>
      <c r="L17" s="476"/>
      <c r="M17" s="467">
        <v>15600718</v>
      </c>
      <c r="N17" s="483"/>
    </row>
    <row r="18" spans="1:14" s="484" customFormat="1" ht="12.75" customHeight="1" x14ac:dyDescent="0.2">
      <c r="A18" s="481" t="s">
        <v>1471</v>
      </c>
      <c r="B18" s="482">
        <v>240</v>
      </c>
      <c r="C18" s="476"/>
      <c r="D18" s="476"/>
      <c r="E18" s="476"/>
      <c r="F18" s="476"/>
      <c r="G18" s="476"/>
      <c r="H18" s="476"/>
      <c r="I18" s="476"/>
      <c r="J18" s="476"/>
      <c r="K18" s="476"/>
      <c r="L18" s="476"/>
      <c r="M18" s="467">
        <v>7098643</v>
      </c>
      <c r="N18" s="483"/>
    </row>
    <row r="19" spans="1:14" s="484" customFormat="1" ht="12.75" customHeight="1" x14ac:dyDescent="0.2">
      <c r="A19" s="481" t="s">
        <v>1472</v>
      </c>
      <c r="B19" s="482">
        <v>250</v>
      </c>
      <c r="C19" s="476"/>
      <c r="D19" s="476"/>
      <c r="E19" s="476"/>
      <c r="F19" s="476"/>
      <c r="G19" s="476"/>
      <c r="H19" s="476"/>
      <c r="I19" s="476"/>
      <c r="J19" s="476"/>
      <c r="K19" s="476"/>
      <c r="L19" s="476"/>
      <c r="M19" s="467">
        <v>4155386</v>
      </c>
      <c r="N19" s="483"/>
    </row>
    <row r="20" spans="1:14" s="484" customFormat="1" ht="12.75" customHeight="1" x14ac:dyDescent="0.2">
      <c r="A20" s="481" t="s">
        <v>1473</v>
      </c>
      <c r="B20" s="482">
        <v>260</v>
      </c>
      <c r="C20" s="476"/>
      <c r="D20" s="476"/>
      <c r="E20" s="476"/>
      <c r="F20" s="476"/>
      <c r="G20" s="476"/>
      <c r="H20" s="476"/>
      <c r="I20" s="476"/>
      <c r="J20" s="476"/>
      <c r="K20" s="476"/>
      <c r="L20" s="476"/>
      <c r="M20" s="467">
        <v>1631807</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355118</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2351527</v>
      </c>
    </row>
    <row r="23" spans="1:14" ht="13.5" customHeight="1" thickBot="1" x14ac:dyDescent="0.25">
      <c r="A23" s="1756" t="s">
        <v>664</v>
      </c>
      <c r="B23" s="1761"/>
      <c r="C23" s="468"/>
      <c r="D23" s="468"/>
      <c r="E23" s="468"/>
      <c r="F23" s="468"/>
      <c r="G23" s="468"/>
      <c r="H23" s="468"/>
      <c r="I23" s="468"/>
      <c r="J23" s="468"/>
      <c r="K23" s="468"/>
      <c r="L23" s="468"/>
      <c r="M23" s="1708">
        <f>SUM(M15:M22)</f>
        <v>28676596</v>
      </c>
      <c r="N23" s="1708">
        <f>SUM(N21:N22)</f>
        <v>2706645</v>
      </c>
    </row>
    <row r="24" spans="1:14" ht="18" customHeight="1" thickTop="1" x14ac:dyDescent="0.2">
      <c r="A24" s="2132" t="s">
        <v>619</v>
      </c>
      <c r="B24" s="2133"/>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75192</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75192</v>
      </c>
      <c r="M34" s="468"/>
      <c r="N34" s="479"/>
    </row>
    <row r="35" spans="1:14" ht="18" customHeight="1" thickTop="1" x14ac:dyDescent="0.2">
      <c r="A35" s="2134" t="s">
        <v>550</v>
      </c>
      <c r="B35" s="2135"/>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2706645</v>
      </c>
    </row>
    <row r="37" spans="1:14" ht="13.5" thickBot="1" x14ac:dyDescent="0.25">
      <c r="A37" s="1756" t="s">
        <v>674</v>
      </c>
      <c r="B37" s="1761"/>
      <c r="C37" s="476"/>
      <c r="D37" s="476"/>
      <c r="E37" s="476"/>
      <c r="F37" s="476"/>
      <c r="G37" s="476"/>
      <c r="H37" s="476"/>
      <c r="I37" s="476"/>
      <c r="J37" s="476"/>
      <c r="K37" s="476"/>
      <c r="L37" s="479"/>
      <c r="M37" s="468"/>
      <c r="N37" s="1708">
        <f>SUM(N36:N36)</f>
        <v>2706645</v>
      </c>
    </row>
    <row r="38" spans="1:14" s="329" customFormat="1" ht="13.5" customHeight="1" thickTop="1" x14ac:dyDescent="0.2">
      <c r="A38" s="494" t="s">
        <v>440</v>
      </c>
      <c r="B38" s="482">
        <v>714</v>
      </c>
      <c r="C38" s="465">
        <v>0</v>
      </c>
      <c r="D38" s="465">
        <v>0</v>
      </c>
      <c r="E38" s="465">
        <v>0</v>
      </c>
      <c r="F38" s="465">
        <v>0</v>
      </c>
      <c r="G38" s="465">
        <v>332533</v>
      </c>
      <c r="H38" s="465">
        <v>793325</v>
      </c>
      <c r="I38" s="465">
        <v>0</v>
      </c>
      <c r="J38" s="465">
        <v>0</v>
      </c>
      <c r="K38" s="465">
        <v>0</v>
      </c>
      <c r="L38" s="465">
        <v>7322</v>
      </c>
      <c r="M38" s="495"/>
      <c r="N38" s="495"/>
    </row>
    <row r="39" spans="1:14" s="329" customFormat="1" ht="13.5" customHeight="1" x14ac:dyDescent="0.2">
      <c r="A39" s="494" t="s">
        <v>360</v>
      </c>
      <c r="B39" s="482">
        <v>730</v>
      </c>
      <c r="C39" s="465">
        <v>6005663</v>
      </c>
      <c r="D39" s="465">
        <v>4434216</v>
      </c>
      <c r="E39" s="465">
        <v>355118</v>
      </c>
      <c r="F39" s="465">
        <v>1378905</v>
      </c>
      <c r="G39" s="465">
        <v>80474</v>
      </c>
      <c r="H39" s="465">
        <v>1997698</v>
      </c>
      <c r="I39" s="465">
        <v>3162417</v>
      </c>
      <c r="J39" s="465">
        <v>113025</v>
      </c>
      <c r="K39" s="465">
        <v>113998</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28676596</v>
      </c>
      <c r="N40" s="495"/>
    </row>
    <row r="41" spans="1:14" ht="13.5" customHeight="1" thickBot="1" x14ac:dyDescent="0.25">
      <c r="A41" s="1756" t="s">
        <v>676</v>
      </c>
      <c r="B41" s="1726"/>
      <c r="C41" s="1708">
        <f>(SUM(C34,C37,C38,C39))</f>
        <v>6005663</v>
      </c>
      <c r="D41" s="1708">
        <f t="shared" ref="D41:L41" si="2">SUM(D34,D37,D38:D39)</f>
        <v>4434216</v>
      </c>
      <c r="E41" s="1708">
        <f t="shared" si="2"/>
        <v>355118</v>
      </c>
      <c r="F41" s="1708">
        <f t="shared" si="2"/>
        <v>1378905</v>
      </c>
      <c r="G41" s="1708">
        <f t="shared" si="2"/>
        <v>413007</v>
      </c>
      <c r="H41" s="1708">
        <f t="shared" si="2"/>
        <v>2791023</v>
      </c>
      <c r="I41" s="1708">
        <f t="shared" si="2"/>
        <v>3162417</v>
      </c>
      <c r="J41" s="1708">
        <f t="shared" si="2"/>
        <v>113025</v>
      </c>
      <c r="K41" s="1708">
        <f t="shared" si="2"/>
        <v>113998</v>
      </c>
      <c r="L41" s="1708">
        <f t="shared" si="2"/>
        <v>82514</v>
      </c>
      <c r="M41" s="1708">
        <f>SUM(M40)</f>
        <v>28676596</v>
      </c>
      <c r="N41" s="1708">
        <f>SUM(N37)</f>
        <v>2706645</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fitToHeight="2"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G77" sqref="AG77"/>
      <selection pane="bottomLeft" activeCell="C4" sqref="C4"/>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4"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6" t="s">
        <v>1237</v>
      </c>
      <c r="B3" s="2157"/>
      <c r="C3" s="1593"/>
      <c r="D3" s="1594"/>
      <c r="E3" s="1594"/>
      <c r="F3" s="1594"/>
      <c r="G3" s="1594"/>
      <c r="H3" s="1594"/>
      <c r="I3" s="1594"/>
      <c r="J3" s="1594"/>
      <c r="K3" s="1595"/>
      <c r="L3" s="504"/>
    </row>
    <row r="4" spans="1:13" ht="15.75" customHeight="1" x14ac:dyDescent="0.2">
      <c r="A4" s="1952" t="s">
        <v>1579</v>
      </c>
      <c r="B4" s="1953">
        <v>1000</v>
      </c>
      <c r="C4" s="1762">
        <f>'Revenues 9-14'!C109</f>
        <v>12169621</v>
      </c>
      <c r="D4" s="1762">
        <f>'Revenues 9-14'!D109</f>
        <v>2214955</v>
      </c>
      <c r="E4" s="1762">
        <f>'Revenues 9-14'!E109</f>
        <v>3390</v>
      </c>
      <c r="F4" s="1762">
        <f>'Revenues 9-14'!F109</f>
        <v>842230</v>
      </c>
      <c r="G4" s="1762">
        <f>'Revenues 9-14'!G109</f>
        <v>288698</v>
      </c>
      <c r="H4" s="1762">
        <f>'Revenues 9-14'!H109</f>
        <v>317471</v>
      </c>
      <c r="I4" s="1762">
        <f>'Revenues 9-14'!I109</f>
        <v>251310</v>
      </c>
      <c r="J4" s="1762">
        <f>'Revenues 9-14'!J109</f>
        <v>28643</v>
      </c>
      <c r="K4" s="1762">
        <f>'Revenues 9-14'!K109</f>
        <v>28652</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784351</v>
      </c>
      <c r="D6" s="1763">
        <f>'Revenues 9-14'!D173</f>
        <v>0</v>
      </c>
      <c r="E6" s="1763">
        <f>'Revenues 9-14'!E173</f>
        <v>0</v>
      </c>
      <c r="F6" s="1763">
        <f>'Revenues 9-14'!F173</f>
        <v>375669</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348166</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13302138</v>
      </c>
      <c r="D8" s="1708">
        <f t="shared" ref="D8:K8" si="0">SUM(D4:D7)</f>
        <v>2214955</v>
      </c>
      <c r="E8" s="1708">
        <f t="shared" si="0"/>
        <v>3390</v>
      </c>
      <c r="F8" s="1708">
        <f t="shared" si="0"/>
        <v>1217899</v>
      </c>
      <c r="G8" s="1708">
        <f t="shared" si="0"/>
        <v>288698</v>
      </c>
      <c r="H8" s="1708">
        <f t="shared" si="0"/>
        <v>317471</v>
      </c>
      <c r="I8" s="1708">
        <f t="shared" si="0"/>
        <v>251310</v>
      </c>
      <c r="J8" s="1708">
        <f t="shared" si="0"/>
        <v>28643</v>
      </c>
      <c r="K8" s="1708">
        <f t="shared" si="0"/>
        <v>28652</v>
      </c>
      <c r="L8" s="347"/>
    </row>
    <row r="9" spans="1:13" ht="15.75" thickTop="1" x14ac:dyDescent="0.2">
      <c r="A9" s="512" t="s">
        <v>1752</v>
      </c>
      <c r="B9" s="513">
        <v>3998</v>
      </c>
      <c r="C9" s="465">
        <v>4230273</v>
      </c>
      <c r="D9" s="514"/>
      <c r="E9" s="480"/>
      <c r="F9" s="480"/>
      <c r="G9" s="515"/>
      <c r="H9" s="480"/>
      <c r="I9" s="507" t="s">
        <v>1231</v>
      </c>
      <c r="J9" s="477"/>
      <c r="K9" s="480"/>
      <c r="L9" s="347"/>
    </row>
    <row r="10" spans="1:13" s="517" customFormat="1" ht="13.5" thickBot="1" x14ac:dyDescent="0.25">
      <c r="A10" s="1756" t="s">
        <v>1235</v>
      </c>
      <c r="B10" s="1729"/>
      <c r="C10" s="1708">
        <f>SUM(C8:C9)</f>
        <v>17532411</v>
      </c>
      <c r="D10" s="1708">
        <f t="shared" ref="D10:K10" si="1">SUM(D8:D9)</f>
        <v>2214955</v>
      </c>
      <c r="E10" s="1708">
        <f t="shared" si="1"/>
        <v>3390</v>
      </c>
      <c r="F10" s="1708">
        <f t="shared" si="1"/>
        <v>1217899</v>
      </c>
      <c r="G10" s="1708">
        <f t="shared" si="1"/>
        <v>288698</v>
      </c>
      <c r="H10" s="1708">
        <f t="shared" si="1"/>
        <v>317471</v>
      </c>
      <c r="I10" s="1708">
        <f t="shared" si="1"/>
        <v>251310</v>
      </c>
      <c r="J10" s="1708">
        <f t="shared" si="1"/>
        <v>28643</v>
      </c>
      <c r="K10" s="1708">
        <f t="shared" si="1"/>
        <v>28652</v>
      </c>
      <c r="L10" s="516"/>
    </row>
    <row r="11" spans="1:13" s="517" customFormat="1" ht="16.7" customHeight="1" thickTop="1" x14ac:dyDescent="0.2">
      <c r="A11" s="2130" t="s">
        <v>1238</v>
      </c>
      <c r="B11" s="2131"/>
      <c r="C11" s="1590"/>
      <c r="D11" s="1591"/>
      <c r="E11" s="1591"/>
      <c r="F11" s="1591"/>
      <c r="G11" s="1591"/>
      <c r="H11" s="1591"/>
      <c r="I11" s="1591"/>
      <c r="J11" s="1591"/>
      <c r="K11" s="1592"/>
      <c r="L11" s="516"/>
    </row>
    <row r="12" spans="1:13" ht="15.75" customHeight="1" x14ac:dyDescent="0.2">
      <c r="A12" s="1596" t="s">
        <v>476</v>
      </c>
      <c r="B12" s="1598">
        <v>1000</v>
      </c>
      <c r="C12" s="1762">
        <f>'Expenditures 15-22'!K33</f>
        <v>7019576</v>
      </c>
      <c r="D12" s="518" t="s">
        <v>1231</v>
      </c>
      <c r="E12" s="468" t="s">
        <v>1231</v>
      </c>
      <c r="F12" s="468" t="s">
        <v>1231</v>
      </c>
      <c r="G12" s="1762">
        <f>'Expenditures 15-22'!K229</f>
        <v>179064</v>
      </c>
      <c r="H12" s="519"/>
      <c r="I12" s="468" t="s">
        <v>1231</v>
      </c>
      <c r="J12" s="468" t="s">
        <v>1231</v>
      </c>
      <c r="K12" s="519" t="s">
        <v>1231</v>
      </c>
      <c r="L12" s="347"/>
    </row>
    <row r="13" spans="1:13" ht="15.75" customHeight="1" x14ac:dyDescent="0.2">
      <c r="A13" s="1596" t="s">
        <v>477</v>
      </c>
      <c r="B13" s="1598">
        <v>2000</v>
      </c>
      <c r="C13" s="1763">
        <f>'Expenditures 15-22'!K74</f>
        <v>3344365</v>
      </c>
      <c r="D13" s="1763">
        <f>'Expenditures 15-22'!K129</f>
        <v>1826102</v>
      </c>
      <c r="E13" s="469" t="s">
        <v>1231</v>
      </c>
      <c r="F13" s="1763">
        <f>'Expenditures 15-22'!K184</f>
        <v>602299</v>
      </c>
      <c r="G13" s="1763">
        <f>'Expenditures 15-22'!K279</f>
        <v>308551</v>
      </c>
      <c r="H13" s="1763">
        <f>'Expenditures 15-22'!K303</f>
        <v>1228450</v>
      </c>
      <c r="I13" s="468" t="s">
        <v>1231</v>
      </c>
      <c r="J13" s="1763">
        <f>'Expenditures 15-22'!K330</f>
        <v>0</v>
      </c>
      <c r="K13" s="1767">
        <f>'Expenditures 15-22'!K352</f>
        <v>0</v>
      </c>
      <c r="L13" s="347"/>
    </row>
    <row r="14" spans="1:13" ht="15.75" customHeight="1" x14ac:dyDescent="0.2">
      <c r="A14" s="1596" t="s">
        <v>469</v>
      </c>
      <c r="B14" s="1598">
        <v>3000</v>
      </c>
      <c r="C14" s="1763">
        <f>'Expenditures 15-22'!K75</f>
        <v>35256</v>
      </c>
      <c r="D14" s="1763">
        <f>'Expenditures 15-22'!K130</f>
        <v>0</v>
      </c>
      <c r="E14" s="518" t="s">
        <v>1231</v>
      </c>
      <c r="F14" s="1763">
        <f>'Expenditures 15-22'!K185</f>
        <v>0</v>
      </c>
      <c r="G14" s="1763">
        <f>'Expenditures 15-22'!K280</f>
        <v>6557</v>
      </c>
      <c r="H14" s="510"/>
      <c r="I14" s="468" t="s">
        <v>1231</v>
      </c>
      <c r="J14" s="468" t="s">
        <v>1231</v>
      </c>
      <c r="K14" s="510" t="s">
        <v>1231</v>
      </c>
      <c r="L14" s="347"/>
    </row>
    <row r="15" spans="1:13" ht="15.75" customHeight="1" x14ac:dyDescent="0.2">
      <c r="A15" s="1596" t="s">
        <v>109</v>
      </c>
      <c r="B15" s="1598">
        <v>4000</v>
      </c>
      <c r="C15" s="1763">
        <f>'Expenditures 15-22'!K102</f>
        <v>155100</v>
      </c>
      <c r="D15" s="1763">
        <f>'Expenditures 15-22'!K139</f>
        <v>33608</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580862</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10554297</v>
      </c>
      <c r="D17" s="1708">
        <f t="shared" si="2"/>
        <v>1859710</v>
      </c>
      <c r="E17" s="1708">
        <f t="shared" si="2"/>
        <v>580862</v>
      </c>
      <c r="F17" s="1708">
        <f t="shared" si="2"/>
        <v>602299</v>
      </c>
      <c r="G17" s="1708">
        <f t="shared" si="2"/>
        <v>494172</v>
      </c>
      <c r="H17" s="1708">
        <f t="shared" si="2"/>
        <v>1228450</v>
      </c>
      <c r="I17" s="468"/>
      <c r="J17" s="1708">
        <f>SUM(J12:J16)</f>
        <v>0</v>
      </c>
      <c r="K17" s="1708">
        <f>SUM(K12:K16)</f>
        <v>0</v>
      </c>
      <c r="L17" s="347"/>
    </row>
    <row r="18" spans="1:12" ht="15" customHeight="1" thickTop="1" x14ac:dyDescent="0.2">
      <c r="A18" s="1764" t="s">
        <v>1753</v>
      </c>
      <c r="B18" s="1765">
        <v>4180</v>
      </c>
      <c r="C18" s="1762">
        <f t="shared" ref="C18:H18" si="3">C9</f>
        <v>4230273</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14784570</v>
      </c>
      <c r="D19" s="1708">
        <f t="shared" si="4"/>
        <v>1859710</v>
      </c>
      <c r="E19" s="1708">
        <f t="shared" si="4"/>
        <v>580862</v>
      </c>
      <c r="F19" s="1708">
        <f t="shared" si="4"/>
        <v>602299</v>
      </c>
      <c r="G19" s="1708">
        <f t="shared" si="4"/>
        <v>494172</v>
      </c>
      <c r="H19" s="1708">
        <f t="shared" si="4"/>
        <v>1228450</v>
      </c>
      <c r="I19" s="468"/>
      <c r="J19" s="1708">
        <f>SUM(J17:J18)</f>
        <v>0</v>
      </c>
      <c r="K19" s="1708">
        <f>SUM(K17:K18)</f>
        <v>0</v>
      </c>
      <c r="L19" s="347"/>
    </row>
    <row r="20" spans="1:12" ht="16.5" thickTop="1" thickBot="1" x14ac:dyDescent="0.25">
      <c r="A20" s="2146" t="s">
        <v>1754</v>
      </c>
      <c r="B20" s="2147"/>
      <c r="C20" s="1766">
        <f>C8-C17</f>
        <v>2747841</v>
      </c>
      <c r="D20" s="1766">
        <f t="shared" ref="D20:K20" si="5">D8-D17</f>
        <v>355245</v>
      </c>
      <c r="E20" s="1766">
        <f t="shared" si="5"/>
        <v>-577472</v>
      </c>
      <c r="F20" s="1766">
        <f t="shared" si="5"/>
        <v>615600</v>
      </c>
      <c r="G20" s="1766">
        <f t="shared" si="5"/>
        <v>-205474</v>
      </c>
      <c r="H20" s="1766">
        <f t="shared" si="5"/>
        <v>-910979</v>
      </c>
      <c r="I20" s="1766">
        <f t="shared" si="5"/>
        <v>251310</v>
      </c>
      <c r="J20" s="1766">
        <f t="shared" si="5"/>
        <v>28643</v>
      </c>
      <c r="K20" s="1766">
        <f t="shared" si="5"/>
        <v>28652</v>
      </c>
      <c r="L20" s="347"/>
    </row>
    <row r="21" spans="1:12" ht="16.7" customHeight="1" thickTop="1" x14ac:dyDescent="0.2">
      <c r="A21" s="2158" t="s">
        <v>616</v>
      </c>
      <c r="B21" s="2159"/>
      <c r="C21" s="1590"/>
      <c r="D21" s="1591"/>
      <c r="E21" s="1591"/>
      <c r="F21" s="1591"/>
      <c r="G21" s="1591"/>
      <c r="H21" s="1591"/>
      <c r="I21" s="1591"/>
      <c r="J21" s="1591"/>
      <c r="K21" s="1592"/>
      <c r="L21" s="522"/>
    </row>
    <row r="22" spans="1:12" ht="15.75" customHeight="1" collapsed="1" x14ac:dyDescent="0.2">
      <c r="A22" s="2154" t="s">
        <v>617</v>
      </c>
      <c r="B22" s="2155"/>
      <c r="C22" s="476"/>
      <c r="D22" s="476"/>
      <c r="E22" s="476"/>
      <c r="F22" s="476"/>
      <c r="G22" s="476"/>
      <c r="H22" s="476"/>
      <c r="I22" s="476"/>
      <c r="J22" s="476"/>
      <c r="K22" s="476"/>
      <c r="L22" s="347"/>
    </row>
    <row r="23" spans="1:12" s="484" customFormat="1" ht="15.75" customHeight="1" x14ac:dyDescent="0.2">
      <c r="A23" s="2150" t="s">
        <v>311</v>
      </c>
      <c r="B23" s="2151"/>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52" t="s">
        <v>1038</v>
      </c>
      <c r="B32" s="2153"/>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563862</v>
      </c>
      <c r="F43" s="467">
        <v>0</v>
      </c>
      <c r="G43" s="467">
        <v>0</v>
      </c>
      <c r="H43" s="467">
        <v>3226147</v>
      </c>
      <c r="I43" s="467">
        <v>0</v>
      </c>
      <c r="J43" s="467">
        <v>0</v>
      </c>
      <c r="K43" s="467">
        <v>0</v>
      </c>
      <c r="L43" s="522"/>
    </row>
    <row r="44" spans="1:12" s="484" customFormat="1" ht="13.5" customHeight="1" thickBot="1" x14ac:dyDescent="0.25">
      <c r="A44" s="2160" t="s">
        <v>392</v>
      </c>
      <c r="B44" s="2161"/>
      <c r="C44" s="1723">
        <f>SUM(C24:C43)</f>
        <v>0</v>
      </c>
      <c r="D44" s="1723">
        <f t="shared" ref="D44:K44" si="6">SUM(D24:D43)</f>
        <v>0</v>
      </c>
      <c r="E44" s="1723">
        <f t="shared" si="6"/>
        <v>563862</v>
      </c>
      <c r="F44" s="1723">
        <f t="shared" si="6"/>
        <v>0</v>
      </c>
      <c r="G44" s="1723">
        <f t="shared" si="6"/>
        <v>0</v>
      </c>
      <c r="H44" s="1723">
        <f t="shared" si="6"/>
        <v>3226147</v>
      </c>
      <c r="I44" s="1723">
        <f t="shared" si="6"/>
        <v>0</v>
      </c>
      <c r="J44" s="1723">
        <f t="shared" si="6"/>
        <v>0</v>
      </c>
      <c r="K44" s="1723">
        <f t="shared" si="6"/>
        <v>0</v>
      </c>
      <c r="L44" s="522"/>
    </row>
    <row r="45" spans="1:12" ht="15.75" customHeight="1" thickTop="1" x14ac:dyDescent="0.2">
      <c r="A45" s="2154" t="s">
        <v>110</v>
      </c>
      <c r="B45" s="2155"/>
      <c r="C45" s="526"/>
      <c r="D45" s="526"/>
      <c r="E45" s="526"/>
      <c r="F45" s="526"/>
      <c r="G45" s="526"/>
      <c r="H45" s="526"/>
      <c r="I45" s="526"/>
      <c r="J45" s="526"/>
      <c r="K45" s="526"/>
      <c r="L45" s="347"/>
    </row>
    <row r="46" spans="1:12" s="484" customFormat="1" ht="15.75" customHeight="1" x14ac:dyDescent="0.2">
      <c r="A46" s="2162" t="s">
        <v>111</v>
      </c>
      <c r="B46" s="2163"/>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563862</v>
      </c>
      <c r="E75" s="528">
        <v>0</v>
      </c>
      <c r="F75" s="530">
        <v>0</v>
      </c>
      <c r="G75" s="530">
        <v>0</v>
      </c>
      <c r="H75" s="530">
        <v>0</v>
      </c>
      <c r="I75" s="528">
        <v>0</v>
      </c>
      <c r="J75" s="528">
        <v>0</v>
      </c>
      <c r="K75" s="530">
        <v>0</v>
      </c>
      <c r="L75" s="522"/>
    </row>
    <row r="76" spans="1:12" s="484" customFormat="1" ht="14.25" thickTop="1" thickBot="1" x14ac:dyDescent="0.25">
      <c r="A76" s="2136" t="s">
        <v>460</v>
      </c>
      <c r="B76" s="2137"/>
      <c r="C76" s="1723">
        <f t="shared" ref="C76:K76" si="7">SUM(C47:C75)</f>
        <v>0</v>
      </c>
      <c r="D76" s="1723">
        <f t="shared" si="7"/>
        <v>563862</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8" t="s">
        <v>1239</v>
      </c>
      <c r="B77" s="2139"/>
      <c r="C77" s="1723">
        <f t="shared" ref="C77:K77" si="8">C44-C76</f>
        <v>0</v>
      </c>
      <c r="D77" s="1723">
        <f t="shared" si="8"/>
        <v>-563862</v>
      </c>
      <c r="E77" s="1723">
        <f t="shared" si="8"/>
        <v>563862</v>
      </c>
      <c r="F77" s="1723">
        <f t="shared" si="8"/>
        <v>0</v>
      </c>
      <c r="G77" s="1723">
        <f t="shared" si="8"/>
        <v>0</v>
      </c>
      <c r="H77" s="1723">
        <f t="shared" si="8"/>
        <v>3226147</v>
      </c>
      <c r="I77" s="1723">
        <f t="shared" si="8"/>
        <v>0</v>
      </c>
      <c r="J77" s="1723">
        <f t="shared" si="8"/>
        <v>0</v>
      </c>
      <c r="K77" s="1723">
        <f t="shared" si="8"/>
        <v>0</v>
      </c>
      <c r="L77" s="347"/>
    </row>
    <row r="78" spans="1:12" ht="21.75" customHeight="1" thickTop="1" thickBot="1" x14ac:dyDescent="0.25">
      <c r="A78" s="2142" t="s">
        <v>618</v>
      </c>
      <c r="B78" s="2143"/>
      <c r="C78" s="1722">
        <f t="shared" ref="C78:K78" si="9">C20+C77</f>
        <v>2747841</v>
      </c>
      <c r="D78" s="1722">
        <f t="shared" si="9"/>
        <v>-208617</v>
      </c>
      <c r="E78" s="1722">
        <f t="shared" si="9"/>
        <v>-13610</v>
      </c>
      <c r="F78" s="1722">
        <f t="shared" si="9"/>
        <v>615600</v>
      </c>
      <c r="G78" s="1722">
        <f t="shared" si="9"/>
        <v>-205474</v>
      </c>
      <c r="H78" s="1722">
        <f t="shared" si="9"/>
        <v>2315168</v>
      </c>
      <c r="I78" s="1722">
        <f t="shared" si="9"/>
        <v>251310</v>
      </c>
      <c r="J78" s="1722">
        <f t="shared" si="9"/>
        <v>28643</v>
      </c>
      <c r="K78" s="1722">
        <f t="shared" si="9"/>
        <v>28652</v>
      </c>
      <c r="L78" s="531"/>
    </row>
    <row r="79" spans="1:12" ht="13.5" thickTop="1" x14ac:dyDescent="0.2">
      <c r="A79" s="1514" t="s">
        <v>2073</v>
      </c>
      <c r="B79" s="532"/>
      <c r="C79" s="467">
        <v>3257822</v>
      </c>
      <c r="D79" s="467">
        <v>4642833</v>
      </c>
      <c r="E79" s="467">
        <v>368728</v>
      </c>
      <c r="F79" s="467">
        <v>763305</v>
      </c>
      <c r="G79" s="467">
        <v>618481</v>
      </c>
      <c r="H79" s="467">
        <v>475855</v>
      </c>
      <c r="I79" s="467">
        <v>2911107</v>
      </c>
      <c r="J79" s="467">
        <v>84382</v>
      </c>
      <c r="K79" s="467">
        <v>85346</v>
      </c>
      <c r="L79" s="347"/>
    </row>
    <row r="80" spans="1:12" x14ac:dyDescent="0.2">
      <c r="A80" s="2148" t="s">
        <v>1898</v>
      </c>
      <c r="B80" s="2149"/>
      <c r="C80" s="467">
        <v>0</v>
      </c>
      <c r="D80" s="467">
        <v>0</v>
      </c>
      <c r="E80" s="467">
        <v>0</v>
      </c>
      <c r="F80" s="467">
        <v>0</v>
      </c>
      <c r="G80" s="467">
        <v>0</v>
      </c>
      <c r="H80" s="467">
        <v>0</v>
      </c>
      <c r="I80" s="467">
        <v>0</v>
      </c>
      <c r="J80" s="467">
        <v>0</v>
      </c>
      <c r="K80" s="467">
        <v>0</v>
      </c>
      <c r="L80" s="347"/>
    </row>
    <row r="81" spans="1:12" ht="13.5" thickBot="1" x14ac:dyDescent="0.25">
      <c r="A81" s="2140" t="s">
        <v>2074</v>
      </c>
      <c r="B81" s="2141"/>
      <c r="C81" s="1708">
        <f>(SUM(C78:C80))</f>
        <v>6005663</v>
      </c>
      <c r="D81" s="1708">
        <f>SUM(D78:D80)</f>
        <v>4434216</v>
      </c>
      <c r="E81" s="1708">
        <f t="shared" ref="E81:K81" si="10">SUM(E78:E80)</f>
        <v>355118</v>
      </c>
      <c r="F81" s="1708">
        <f t="shared" si="10"/>
        <v>1378905</v>
      </c>
      <c r="G81" s="1708">
        <f t="shared" si="10"/>
        <v>413007</v>
      </c>
      <c r="H81" s="1708">
        <f t="shared" si="10"/>
        <v>2791023</v>
      </c>
      <c r="I81" s="1708">
        <f t="shared" si="10"/>
        <v>3162417</v>
      </c>
      <c r="J81" s="1708">
        <f t="shared" si="10"/>
        <v>113025</v>
      </c>
      <c r="K81" s="1708">
        <f t="shared" si="10"/>
        <v>113998</v>
      </c>
      <c r="L81" s="347"/>
    </row>
    <row r="82" spans="1:12" ht="0.75" customHeight="1" thickTop="1" thickBot="1" x14ac:dyDescent="0.25">
      <c r="A82" s="534" t="s">
        <v>361</v>
      </c>
      <c r="B82" s="535"/>
      <c r="C82" s="536">
        <f>(C81-C79)</f>
        <v>2747841</v>
      </c>
      <c r="D82" s="536">
        <f t="shared" ref="D82:K82" si="11">(D81-D79)</f>
        <v>-208617</v>
      </c>
      <c r="E82" s="536">
        <f t="shared" si="11"/>
        <v>-13610</v>
      </c>
      <c r="F82" s="536">
        <f t="shared" si="11"/>
        <v>615600</v>
      </c>
      <c r="G82" s="536">
        <f t="shared" si="11"/>
        <v>-205474</v>
      </c>
      <c r="H82" s="536">
        <f t="shared" si="11"/>
        <v>2315168</v>
      </c>
      <c r="I82" s="536">
        <f t="shared" si="11"/>
        <v>251310</v>
      </c>
      <c r="J82" s="536">
        <f t="shared" si="11"/>
        <v>28643</v>
      </c>
      <c r="K82" s="536">
        <f t="shared" si="11"/>
        <v>28652</v>
      </c>
    </row>
    <row r="83" spans="1:12" ht="14.25" hidden="1" thickTop="1" thickBot="1" x14ac:dyDescent="0.25">
      <c r="A83" s="537" t="s">
        <v>362</v>
      </c>
      <c r="B83" s="464"/>
      <c r="C83" s="538">
        <f>C82/C81</f>
        <v>0.45754165693279825</v>
      </c>
      <c r="D83" s="538">
        <f t="shared" ref="D83:K83" si="12">D82/D81</f>
        <v>-4.7047099194085271E-2</v>
      </c>
      <c r="E83" s="538">
        <f t="shared" si="12"/>
        <v>-3.8325289058848043E-2</v>
      </c>
      <c r="F83" s="538">
        <f t="shared" si="12"/>
        <v>0.4464411979070349</v>
      </c>
      <c r="G83" s="538">
        <f t="shared" si="12"/>
        <v>-0.49750730617156608</v>
      </c>
      <c r="H83" s="538">
        <f t="shared" si="12"/>
        <v>0.82950516710181177</v>
      </c>
      <c r="I83" s="538">
        <f t="shared" si="12"/>
        <v>7.946769828267429E-2</v>
      </c>
      <c r="J83" s="538">
        <f t="shared" si="12"/>
        <v>0.2534218093342181</v>
      </c>
      <c r="K83" s="538">
        <f t="shared" si="12"/>
        <v>0.25133774276741699</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G77" sqref="AG77"/>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4" t="s">
        <v>1905</v>
      </c>
      <c r="B1" s="452"/>
      <c r="C1" s="453" t="s">
        <v>445</v>
      </c>
      <c r="D1" s="453" t="s">
        <v>446</v>
      </c>
      <c r="E1" s="453" t="s">
        <v>447</v>
      </c>
      <c r="F1" s="453" t="s">
        <v>448</v>
      </c>
      <c r="G1" s="453" t="s">
        <v>449</v>
      </c>
      <c r="H1" s="453" t="s">
        <v>450</v>
      </c>
      <c r="I1" s="453" t="s">
        <v>451</v>
      </c>
      <c r="J1" s="453" t="s">
        <v>452</v>
      </c>
      <c r="K1" s="453" t="s">
        <v>780</v>
      </c>
    </row>
    <row r="2" spans="1:12" ht="36" x14ac:dyDescent="0.2">
      <c r="A2" s="2145"/>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8901112</v>
      </c>
      <c r="D5" s="480">
        <v>2139900</v>
      </c>
      <c r="E5" s="480">
        <v>0</v>
      </c>
      <c r="F5" s="546">
        <v>837136</v>
      </c>
      <c r="G5" s="466">
        <v>27566</v>
      </c>
      <c r="H5" s="466">
        <v>0</v>
      </c>
      <c r="I5" s="466">
        <v>222630</v>
      </c>
      <c r="J5" s="466">
        <v>27566</v>
      </c>
      <c r="K5" s="466">
        <v>27566</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49644</v>
      </c>
      <c r="D7" s="466">
        <v>0</v>
      </c>
      <c r="E7" s="468"/>
      <c r="F7" s="467">
        <v>0</v>
      </c>
      <c r="G7" s="467">
        <v>0</v>
      </c>
      <c r="H7" s="467">
        <v>0</v>
      </c>
      <c r="I7" s="468"/>
      <c r="J7" s="468"/>
      <c r="K7" s="468"/>
    </row>
    <row r="8" spans="1:12" x14ac:dyDescent="0.2">
      <c r="A8" s="463" t="s">
        <v>433</v>
      </c>
      <c r="B8" s="470">
        <v>1150</v>
      </c>
      <c r="C8" s="475"/>
      <c r="D8" s="475"/>
      <c r="E8" s="476"/>
      <c r="F8" s="476"/>
      <c r="G8" s="480">
        <v>27566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8950756</v>
      </c>
      <c r="D12" s="1727">
        <f t="shared" si="0"/>
        <v>2139900</v>
      </c>
      <c r="E12" s="1727">
        <f t="shared" si="0"/>
        <v>0</v>
      </c>
      <c r="F12" s="1727">
        <f t="shared" si="0"/>
        <v>837136</v>
      </c>
      <c r="G12" s="1727">
        <f t="shared" si="0"/>
        <v>55132</v>
      </c>
      <c r="H12" s="1727">
        <f t="shared" si="0"/>
        <v>0</v>
      </c>
      <c r="I12" s="1727">
        <f t="shared" si="0"/>
        <v>222630</v>
      </c>
      <c r="J12" s="1727">
        <f t="shared" si="0"/>
        <v>27566</v>
      </c>
      <c r="K12" s="1708">
        <f t="shared" si="0"/>
        <v>27566</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1407</v>
      </c>
      <c r="D14" s="466">
        <v>249</v>
      </c>
      <c r="E14" s="466">
        <v>0</v>
      </c>
      <c r="F14" s="466">
        <v>174</v>
      </c>
      <c r="G14" s="466">
        <v>36</v>
      </c>
      <c r="H14" s="466">
        <v>0</v>
      </c>
      <c r="I14" s="466">
        <v>34</v>
      </c>
      <c r="J14" s="467">
        <v>18</v>
      </c>
      <c r="K14" s="466">
        <v>18</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2943132</v>
      </c>
      <c r="D16" s="466">
        <v>0</v>
      </c>
      <c r="E16" s="466">
        <v>0</v>
      </c>
      <c r="F16" s="466">
        <v>0</v>
      </c>
      <c r="G16" s="466">
        <v>230100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2944539</v>
      </c>
      <c r="D18" s="1730">
        <f t="shared" ref="D18:K18" si="1">SUM(D14:D17)</f>
        <v>249</v>
      </c>
      <c r="E18" s="1730">
        <f t="shared" si="1"/>
        <v>0</v>
      </c>
      <c r="F18" s="1730">
        <f t="shared" si="1"/>
        <v>174</v>
      </c>
      <c r="G18" s="1730">
        <f t="shared" si="1"/>
        <v>230136</v>
      </c>
      <c r="H18" s="1730">
        <f t="shared" si="1"/>
        <v>0</v>
      </c>
      <c r="I18" s="1730">
        <f t="shared" si="1"/>
        <v>34</v>
      </c>
      <c r="J18" s="1730">
        <f t="shared" si="1"/>
        <v>18</v>
      </c>
      <c r="K18" s="1731">
        <f t="shared" si="1"/>
        <v>18</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11379</v>
      </c>
      <c r="D65" s="466">
        <v>38211</v>
      </c>
      <c r="E65" s="466">
        <v>3390</v>
      </c>
      <c r="F65" s="467">
        <v>4910</v>
      </c>
      <c r="G65" s="466">
        <v>3430</v>
      </c>
      <c r="H65" s="466">
        <v>6100</v>
      </c>
      <c r="I65" s="466">
        <v>28646</v>
      </c>
      <c r="J65" s="467">
        <v>1059</v>
      </c>
      <c r="K65" s="466">
        <v>1068</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11379</v>
      </c>
      <c r="D67" s="1708">
        <f t="shared" ref="D67:K67" si="2">SUM(D65:D66)</f>
        <v>38211</v>
      </c>
      <c r="E67" s="1708">
        <f t="shared" si="2"/>
        <v>3390</v>
      </c>
      <c r="F67" s="1708">
        <f t="shared" si="2"/>
        <v>4910</v>
      </c>
      <c r="G67" s="1708">
        <f t="shared" si="2"/>
        <v>3430</v>
      </c>
      <c r="H67" s="1708">
        <f t="shared" si="2"/>
        <v>6100</v>
      </c>
      <c r="I67" s="1708">
        <f t="shared" si="2"/>
        <v>28646</v>
      </c>
      <c r="J67" s="1708">
        <f t="shared" si="2"/>
        <v>1059</v>
      </c>
      <c r="K67" s="1708">
        <f t="shared" si="2"/>
        <v>1068</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130383</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391</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528</v>
      </c>
      <c r="D74" s="468"/>
      <c r="E74" s="468"/>
      <c r="F74" s="468"/>
      <c r="G74" s="468"/>
      <c r="H74" s="468"/>
      <c r="I74" s="468"/>
      <c r="J74" s="468"/>
      <c r="K74" s="468"/>
    </row>
    <row r="75" spans="1:11" ht="12.75" customHeight="1" thickBot="1" x14ac:dyDescent="0.25">
      <c r="A75" s="1728" t="s">
        <v>569</v>
      </c>
      <c r="B75" s="1729"/>
      <c r="C75" s="1708">
        <f>SUM(C69:C74)</f>
        <v>131302</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21342</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8814</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30156</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30470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15153</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45623</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420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13077</v>
      </c>
      <c r="D99" s="466">
        <v>11950</v>
      </c>
      <c r="E99" s="466">
        <v>0</v>
      </c>
      <c r="F99" s="466">
        <v>10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1700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311371</v>
      </c>
      <c r="I103" s="468"/>
      <c r="J103" s="508"/>
      <c r="K103" s="508"/>
    </row>
    <row r="104" spans="1:12" ht="12.75" customHeight="1" x14ac:dyDescent="0.2">
      <c r="A104" s="463" t="s">
        <v>885</v>
      </c>
      <c r="B104" s="470">
        <v>1991</v>
      </c>
      <c r="C104" s="487">
        <v>6265</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34824</v>
      </c>
      <c r="D107" s="466">
        <v>24225</v>
      </c>
      <c r="E107" s="466">
        <v>0</v>
      </c>
      <c r="F107" s="466">
        <v>0</v>
      </c>
      <c r="G107" s="466">
        <v>0</v>
      </c>
      <c r="H107" s="466">
        <v>0</v>
      </c>
      <c r="I107" s="466">
        <v>0</v>
      </c>
      <c r="J107" s="467">
        <v>0</v>
      </c>
      <c r="K107" s="466">
        <v>0</v>
      </c>
    </row>
    <row r="108" spans="1:12" ht="12.75" customHeight="1" thickBot="1" x14ac:dyDescent="0.25">
      <c r="A108" s="1728" t="s">
        <v>508</v>
      </c>
      <c r="B108" s="1732"/>
      <c r="C108" s="1727">
        <f>SUM(C95:C107)</f>
        <v>55866</v>
      </c>
      <c r="D108" s="1727">
        <f t="shared" ref="D108:K108" si="3">SUM(D95:D107)</f>
        <v>36595</v>
      </c>
      <c r="E108" s="1727">
        <f t="shared" si="3"/>
        <v>0</v>
      </c>
      <c r="F108" s="1727">
        <f t="shared" si="3"/>
        <v>10</v>
      </c>
      <c r="G108" s="1727">
        <f t="shared" si="3"/>
        <v>0</v>
      </c>
      <c r="H108" s="1727">
        <f t="shared" si="3"/>
        <v>311371</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12169621</v>
      </c>
      <c r="D109" s="1735">
        <f t="shared" si="4"/>
        <v>2214955</v>
      </c>
      <c r="E109" s="1735">
        <f t="shared" si="4"/>
        <v>3390</v>
      </c>
      <c r="F109" s="1735">
        <f t="shared" si="4"/>
        <v>842230</v>
      </c>
      <c r="G109" s="1735">
        <f t="shared" si="4"/>
        <v>288698</v>
      </c>
      <c r="H109" s="1735">
        <f t="shared" si="4"/>
        <v>317471</v>
      </c>
      <c r="I109" s="1735">
        <f t="shared" si="4"/>
        <v>251310</v>
      </c>
      <c r="J109" s="1735">
        <f t="shared" si="4"/>
        <v>28643</v>
      </c>
      <c r="K109" s="1722">
        <f t="shared" si="4"/>
        <v>28652</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413500</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413500</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3057</v>
      </c>
      <c r="D124" s="559"/>
      <c r="E124" s="468"/>
      <c r="F124" s="546">
        <v>0</v>
      </c>
      <c r="G124" s="468"/>
      <c r="H124" s="468"/>
      <c r="I124" s="468"/>
      <c r="J124" s="468"/>
      <c r="K124" s="468"/>
    </row>
    <row r="125" spans="1:11" ht="12.75" customHeight="1" x14ac:dyDescent="0.2">
      <c r="A125" s="463" t="s">
        <v>1521</v>
      </c>
      <c r="B125" s="560">
        <v>3105</v>
      </c>
      <c r="C125" s="466">
        <v>36551</v>
      </c>
      <c r="D125" s="559"/>
      <c r="E125" s="468"/>
      <c r="F125" s="466">
        <v>0</v>
      </c>
      <c r="G125" s="468"/>
      <c r="H125" s="468"/>
      <c r="I125" s="468"/>
      <c r="J125" s="468"/>
      <c r="K125" s="468"/>
    </row>
    <row r="126" spans="1:11" ht="12.75" customHeight="1" x14ac:dyDescent="0.2">
      <c r="A126" s="463" t="s">
        <v>922</v>
      </c>
      <c r="B126" s="560">
        <v>3110</v>
      </c>
      <c r="C126" s="549">
        <v>58575</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98183</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3104</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3104</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1202</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9411</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220447</v>
      </c>
      <c r="G151" s="467">
        <v>0</v>
      </c>
      <c r="H151" s="468"/>
      <c r="I151" s="468"/>
      <c r="J151" s="468"/>
      <c r="K151" s="468"/>
    </row>
    <row r="152" spans="1:11" ht="12.75" customHeight="1" x14ac:dyDescent="0.2">
      <c r="A152" s="463" t="s">
        <v>1117</v>
      </c>
      <c r="B152" s="560">
        <v>3510</v>
      </c>
      <c r="C152" s="549">
        <v>0</v>
      </c>
      <c r="D152" s="466">
        <v>0</v>
      </c>
      <c r="E152" s="559"/>
      <c r="F152" s="466">
        <v>135224</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355671</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257451</v>
      </c>
      <c r="D158" s="576">
        <v>0</v>
      </c>
      <c r="E158" s="559"/>
      <c r="F158" s="574">
        <v>19998</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64" t="s">
        <v>418</v>
      </c>
      <c r="B172" s="2165"/>
      <c r="C172" s="1742">
        <f t="shared" ref="C172:K172" si="6">SUM(C131,C140,C144,C145:C149,C154,C155:C170,C171)</f>
        <v>370851</v>
      </c>
      <c r="D172" s="1742">
        <f t="shared" si="6"/>
        <v>0</v>
      </c>
      <c r="E172" s="1742">
        <f t="shared" si="6"/>
        <v>0</v>
      </c>
      <c r="F172" s="1742">
        <f t="shared" si="6"/>
        <v>375669</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784351</v>
      </c>
      <c r="D173" s="1735">
        <f>SUM(D121,D172)</f>
        <v>0</v>
      </c>
      <c r="E173" s="1735">
        <f>SUM(E121,E172)</f>
        <v>0</v>
      </c>
      <c r="F173" s="1735">
        <f t="shared" ref="F173:K173" si="7">SUM(F121,F172)</f>
        <v>375669</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6" t="s">
        <v>1572</v>
      </c>
      <c r="B175" s="2167"/>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70" t="s">
        <v>1764</v>
      </c>
      <c r="B178" s="2171"/>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4" t="s">
        <v>1763</v>
      </c>
      <c r="B179" s="2175"/>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2" t="s">
        <v>818</v>
      </c>
      <c r="B184" s="2173"/>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8" t="s">
        <v>1906</v>
      </c>
      <c r="B185" s="2169"/>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94812</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5450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100262</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109955</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109955</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77346</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77346</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27197</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13604</v>
      </c>
      <c r="D270" s="574">
        <v>0</v>
      </c>
      <c r="E270" s="468"/>
      <c r="F270" s="574">
        <v>0</v>
      </c>
      <c r="G270" s="574">
        <v>0</v>
      </c>
      <c r="H270" s="468"/>
      <c r="I270" s="468"/>
      <c r="J270" s="468"/>
      <c r="K270" s="468"/>
    </row>
    <row r="271" spans="1:11" ht="12.75" customHeight="1" thickTop="1" thickBot="1" x14ac:dyDescent="0.25">
      <c r="A271" s="463" t="s">
        <v>395</v>
      </c>
      <c r="B271" s="470">
        <v>4992</v>
      </c>
      <c r="C271" s="573">
        <v>19802</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348166</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348166</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13302138</v>
      </c>
      <c r="D275" s="1735">
        <f t="shared" si="12"/>
        <v>2214955</v>
      </c>
      <c r="E275" s="1735">
        <f t="shared" si="12"/>
        <v>3390</v>
      </c>
      <c r="F275" s="1735">
        <f t="shared" si="12"/>
        <v>1217899</v>
      </c>
      <c r="G275" s="1735">
        <f t="shared" si="12"/>
        <v>288698</v>
      </c>
      <c r="H275" s="1735">
        <f t="shared" si="12"/>
        <v>317471</v>
      </c>
      <c r="I275" s="1735">
        <f t="shared" si="12"/>
        <v>251310</v>
      </c>
      <c r="J275" s="1735">
        <f t="shared" si="12"/>
        <v>28643</v>
      </c>
      <c r="K275" s="1722">
        <f t="shared" si="12"/>
        <v>28652</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3" firstPageNumber="9" fitToHeight="0"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G77" sqref="AG7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4"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8"/>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4" t="s">
        <v>315</v>
      </c>
      <c r="B3" s="2185"/>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3721526</v>
      </c>
      <c r="D5" s="466">
        <v>1032709</v>
      </c>
      <c r="E5" s="466">
        <v>52628</v>
      </c>
      <c r="F5" s="466">
        <v>166255</v>
      </c>
      <c r="G5" s="466">
        <v>46633</v>
      </c>
      <c r="H5" s="466">
        <v>0</v>
      </c>
      <c r="I5" s="467">
        <v>0</v>
      </c>
      <c r="J5" s="467">
        <v>0</v>
      </c>
      <c r="K5" s="1691">
        <f>SUM(C5:J5)</f>
        <v>5019751</v>
      </c>
      <c r="L5" s="466">
        <v>5703612</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116148</v>
      </c>
      <c r="D7" s="467">
        <v>26553</v>
      </c>
      <c r="E7" s="467">
        <v>1189</v>
      </c>
      <c r="F7" s="467">
        <v>9599</v>
      </c>
      <c r="G7" s="467">
        <v>0</v>
      </c>
      <c r="H7" s="467">
        <v>0</v>
      </c>
      <c r="I7" s="467">
        <v>0</v>
      </c>
      <c r="J7" s="467">
        <v>0</v>
      </c>
      <c r="K7" s="1691">
        <f t="shared" ref="K7:K32" si="0">SUM(C7:J7)</f>
        <v>153489</v>
      </c>
      <c r="L7" s="466">
        <v>120200</v>
      </c>
    </row>
    <row r="8" spans="1:14" x14ac:dyDescent="0.2">
      <c r="A8" s="1524" t="s">
        <v>166</v>
      </c>
      <c r="B8" s="613">
        <v>1200</v>
      </c>
      <c r="C8" s="466">
        <v>989288</v>
      </c>
      <c r="D8" s="466">
        <v>147035</v>
      </c>
      <c r="E8" s="466">
        <v>0</v>
      </c>
      <c r="F8" s="466">
        <v>0</v>
      </c>
      <c r="G8" s="466">
        <v>0</v>
      </c>
      <c r="H8" s="466">
        <v>0</v>
      </c>
      <c r="I8" s="467">
        <v>0</v>
      </c>
      <c r="J8" s="467">
        <v>0</v>
      </c>
      <c r="K8" s="1691">
        <f t="shared" si="0"/>
        <v>1136323</v>
      </c>
      <c r="L8" s="466">
        <v>965500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15611</v>
      </c>
      <c r="D10" s="466">
        <v>13</v>
      </c>
      <c r="E10" s="466">
        <v>0</v>
      </c>
      <c r="F10" s="466">
        <v>63664</v>
      </c>
      <c r="G10" s="466">
        <v>0</v>
      </c>
      <c r="H10" s="466">
        <v>0</v>
      </c>
      <c r="I10" s="467">
        <v>0</v>
      </c>
      <c r="J10" s="467">
        <v>0</v>
      </c>
      <c r="K10" s="1691">
        <f t="shared" si="0"/>
        <v>79288</v>
      </c>
      <c r="L10" s="466">
        <v>73345</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244129</v>
      </c>
      <c r="D14" s="466">
        <v>20527</v>
      </c>
      <c r="E14" s="466">
        <v>55793</v>
      </c>
      <c r="F14" s="466">
        <v>57834</v>
      </c>
      <c r="G14" s="466">
        <v>0</v>
      </c>
      <c r="H14" s="466">
        <v>0</v>
      </c>
      <c r="I14" s="467">
        <v>0</v>
      </c>
      <c r="J14" s="467">
        <v>0</v>
      </c>
      <c r="K14" s="1691">
        <f t="shared" si="0"/>
        <v>378283</v>
      </c>
      <c r="L14" s="466">
        <v>339510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47872</v>
      </c>
      <c r="D17" s="467">
        <v>19861</v>
      </c>
      <c r="E17" s="467">
        <v>0</v>
      </c>
      <c r="F17" s="467">
        <v>0</v>
      </c>
      <c r="G17" s="467">
        <v>0</v>
      </c>
      <c r="H17" s="467">
        <v>0</v>
      </c>
      <c r="I17" s="467">
        <v>0</v>
      </c>
      <c r="J17" s="467">
        <v>0</v>
      </c>
      <c r="K17" s="1691">
        <f t="shared" si="0"/>
        <v>67733</v>
      </c>
      <c r="L17" s="466">
        <v>57000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8533</v>
      </c>
      <c r="I21" s="615"/>
      <c r="J21" s="476"/>
      <c r="K21" s="1691">
        <f t="shared" si="0"/>
        <v>8533</v>
      </c>
      <c r="L21" s="466">
        <v>8500</v>
      </c>
    </row>
    <row r="22" spans="1:12" x14ac:dyDescent="0.2">
      <c r="A22" s="1525" t="s">
        <v>764</v>
      </c>
      <c r="B22" s="601" t="s">
        <v>751</v>
      </c>
      <c r="C22" s="476"/>
      <c r="D22" s="476"/>
      <c r="E22" s="476"/>
      <c r="F22" s="476"/>
      <c r="G22" s="476"/>
      <c r="H22" s="474">
        <v>176176</v>
      </c>
      <c r="I22" s="615"/>
      <c r="J22" s="476"/>
      <c r="K22" s="1691">
        <f t="shared" si="0"/>
        <v>176176</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5134574</v>
      </c>
      <c r="D33" s="1690">
        <f t="shared" ref="D33:L33" si="1">SUM(D5:D32)</f>
        <v>1246698</v>
      </c>
      <c r="E33" s="1690">
        <f t="shared" si="1"/>
        <v>109610</v>
      </c>
      <c r="F33" s="1690">
        <f t="shared" si="1"/>
        <v>297352</v>
      </c>
      <c r="G33" s="1690">
        <f t="shared" si="1"/>
        <v>46633</v>
      </c>
      <c r="H33" s="1690">
        <f t="shared" si="1"/>
        <v>184709</v>
      </c>
      <c r="I33" s="1690">
        <f t="shared" si="1"/>
        <v>0</v>
      </c>
      <c r="J33" s="1690">
        <f t="shared" si="1"/>
        <v>0</v>
      </c>
      <c r="K33" s="1690">
        <f t="shared" si="1"/>
        <v>7019576</v>
      </c>
      <c r="L33" s="1690">
        <f t="shared" si="1"/>
        <v>7267667</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260585</v>
      </c>
      <c r="D37" s="466">
        <v>61526</v>
      </c>
      <c r="E37" s="466">
        <v>4353</v>
      </c>
      <c r="F37" s="466">
        <v>1623</v>
      </c>
      <c r="G37" s="466">
        <v>0</v>
      </c>
      <c r="H37" s="466">
        <v>0</v>
      </c>
      <c r="I37" s="467">
        <v>0</v>
      </c>
      <c r="J37" s="467">
        <v>0</v>
      </c>
      <c r="K37" s="1691">
        <f t="shared" si="2"/>
        <v>328087</v>
      </c>
      <c r="L37" s="466">
        <v>306500</v>
      </c>
    </row>
    <row r="38" spans="1:14" x14ac:dyDescent="0.2">
      <c r="A38" s="1524" t="s">
        <v>207</v>
      </c>
      <c r="B38" s="613">
        <v>2130</v>
      </c>
      <c r="C38" s="466">
        <v>90273</v>
      </c>
      <c r="D38" s="466">
        <v>76</v>
      </c>
      <c r="E38" s="466">
        <v>110</v>
      </c>
      <c r="F38" s="466">
        <v>2983</v>
      </c>
      <c r="G38" s="466">
        <v>0</v>
      </c>
      <c r="H38" s="466">
        <v>0</v>
      </c>
      <c r="I38" s="467">
        <v>0</v>
      </c>
      <c r="J38" s="467">
        <v>0</v>
      </c>
      <c r="K38" s="1691">
        <f t="shared" si="2"/>
        <v>93442</v>
      </c>
      <c r="L38" s="466">
        <v>80100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68835</v>
      </c>
      <c r="D40" s="466">
        <v>21717</v>
      </c>
      <c r="E40" s="466">
        <v>0</v>
      </c>
      <c r="F40" s="466">
        <v>0</v>
      </c>
      <c r="G40" s="466">
        <v>0</v>
      </c>
      <c r="H40" s="466">
        <v>0</v>
      </c>
      <c r="I40" s="467">
        <v>0</v>
      </c>
      <c r="J40" s="467">
        <v>0</v>
      </c>
      <c r="K40" s="1691">
        <f t="shared" si="2"/>
        <v>90552</v>
      </c>
      <c r="L40" s="466">
        <v>84000</v>
      </c>
    </row>
    <row r="41" spans="1:14" x14ac:dyDescent="0.2">
      <c r="A41" s="1524" t="s">
        <v>1768</v>
      </c>
      <c r="B41" s="613">
        <v>2190</v>
      </c>
      <c r="C41" s="466">
        <v>5452</v>
      </c>
      <c r="D41" s="466">
        <v>0</v>
      </c>
      <c r="E41" s="466">
        <v>0</v>
      </c>
      <c r="F41" s="466">
        <v>15472</v>
      </c>
      <c r="G41" s="466">
        <v>0</v>
      </c>
      <c r="H41" s="466">
        <v>0</v>
      </c>
      <c r="I41" s="467">
        <v>0</v>
      </c>
      <c r="J41" s="467">
        <v>0</v>
      </c>
      <c r="K41" s="1691">
        <f t="shared" si="2"/>
        <v>20924</v>
      </c>
      <c r="L41" s="466">
        <v>19500</v>
      </c>
    </row>
    <row r="42" spans="1:14" ht="12.75" customHeight="1" thickBot="1" x14ac:dyDescent="0.25">
      <c r="A42" s="1688" t="s">
        <v>581</v>
      </c>
      <c r="B42" s="1689" t="s">
        <v>740</v>
      </c>
      <c r="C42" s="1690">
        <f>SUM(C36:C41)</f>
        <v>425145</v>
      </c>
      <c r="D42" s="1690">
        <f t="shared" ref="D42:L42" si="3">SUM(D36:D41)</f>
        <v>83319</v>
      </c>
      <c r="E42" s="1690">
        <f t="shared" si="3"/>
        <v>4463</v>
      </c>
      <c r="F42" s="1690">
        <f t="shared" si="3"/>
        <v>20078</v>
      </c>
      <c r="G42" s="1690">
        <f t="shared" si="3"/>
        <v>0</v>
      </c>
      <c r="H42" s="1690">
        <f t="shared" si="3"/>
        <v>0</v>
      </c>
      <c r="I42" s="1690">
        <f t="shared" si="3"/>
        <v>0</v>
      </c>
      <c r="J42" s="1690">
        <f t="shared" si="3"/>
        <v>0</v>
      </c>
      <c r="K42" s="1690">
        <f t="shared" si="3"/>
        <v>533005</v>
      </c>
      <c r="L42" s="1690">
        <f t="shared" si="3"/>
        <v>490100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2644</v>
      </c>
      <c r="F44" s="480">
        <v>0</v>
      </c>
      <c r="G44" s="480">
        <v>0</v>
      </c>
      <c r="H44" s="480">
        <v>0</v>
      </c>
      <c r="I44" s="467">
        <v>0</v>
      </c>
      <c r="J44" s="467">
        <v>0</v>
      </c>
      <c r="K44" s="1692">
        <f>SUM(C44:J44)</f>
        <v>2644</v>
      </c>
      <c r="L44" s="480">
        <v>5200</v>
      </c>
    </row>
    <row r="45" spans="1:14" x14ac:dyDescent="0.2">
      <c r="A45" s="1524" t="s">
        <v>869</v>
      </c>
      <c r="B45" s="613">
        <v>2220</v>
      </c>
      <c r="C45" s="467">
        <v>106559</v>
      </c>
      <c r="D45" s="466">
        <v>18345</v>
      </c>
      <c r="E45" s="466">
        <v>176</v>
      </c>
      <c r="F45" s="466">
        <v>15386</v>
      </c>
      <c r="G45" s="466">
        <v>0</v>
      </c>
      <c r="H45" s="466">
        <v>0</v>
      </c>
      <c r="I45" s="467">
        <v>0</v>
      </c>
      <c r="J45" s="467">
        <v>0</v>
      </c>
      <c r="K45" s="1692">
        <f>SUM(C45:J45)</f>
        <v>140466</v>
      </c>
      <c r="L45" s="466">
        <v>136650</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106559</v>
      </c>
      <c r="D47" s="1690">
        <f t="shared" ref="D47:K47" si="4">SUM(D44:D46)</f>
        <v>18345</v>
      </c>
      <c r="E47" s="1690">
        <f t="shared" si="4"/>
        <v>2820</v>
      </c>
      <c r="F47" s="1690">
        <f t="shared" si="4"/>
        <v>15386</v>
      </c>
      <c r="G47" s="1690">
        <f t="shared" si="4"/>
        <v>0</v>
      </c>
      <c r="H47" s="1690">
        <f t="shared" si="4"/>
        <v>0</v>
      </c>
      <c r="I47" s="1690">
        <f t="shared" si="4"/>
        <v>0</v>
      </c>
      <c r="J47" s="1690">
        <f t="shared" si="4"/>
        <v>0</v>
      </c>
      <c r="K47" s="1690">
        <f t="shared" si="4"/>
        <v>143110</v>
      </c>
      <c r="L47" s="1690">
        <f>SUM(L44:L46)</f>
        <v>141850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14304</v>
      </c>
      <c r="D49" s="480">
        <v>0</v>
      </c>
      <c r="E49" s="480">
        <v>213219</v>
      </c>
      <c r="F49" s="480">
        <v>4089</v>
      </c>
      <c r="G49" s="480">
        <v>0</v>
      </c>
      <c r="H49" s="480">
        <v>41100</v>
      </c>
      <c r="I49" s="467">
        <v>0</v>
      </c>
      <c r="J49" s="467">
        <v>0</v>
      </c>
      <c r="K49" s="1692">
        <f>SUM(C49:J49)</f>
        <v>272712</v>
      </c>
      <c r="L49" s="466">
        <v>134950</v>
      </c>
    </row>
    <row r="50" spans="1:14" x14ac:dyDescent="0.2">
      <c r="A50" s="1524" t="s">
        <v>872</v>
      </c>
      <c r="B50" s="613">
        <v>2320</v>
      </c>
      <c r="C50" s="466">
        <v>212347</v>
      </c>
      <c r="D50" s="466">
        <v>43657</v>
      </c>
      <c r="E50" s="466">
        <v>18878</v>
      </c>
      <c r="F50" s="466">
        <v>17631</v>
      </c>
      <c r="G50" s="466">
        <v>1249</v>
      </c>
      <c r="H50" s="466">
        <v>0</v>
      </c>
      <c r="I50" s="467">
        <v>0</v>
      </c>
      <c r="J50" s="467">
        <v>0</v>
      </c>
      <c r="K50" s="1692">
        <f>SUM(C50:J50)</f>
        <v>293762</v>
      </c>
      <c r="L50" s="466">
        <v>259125</v>
      </c>
    </row>
    <row r="51" spans="1:14" x14ac:dyDescent="0.2">
      <c r="A51" s="1524" t="s">
        <v>44</v>
      </c>
      <c r="B51" s="613">
        <v>2330</v>
      </c>
      <c r="C51" s="466">
        <v>0</v>
      </c>
      <c r="D51" s="466">
        <v>0</v>
      </c>
      <c r="E51" s="466">
        <v>0</v>
      </c>
      <c r="F51" s="466">
        <v>2101</v>
      </c>
      <c r="G51" s="466">
        <v>0</v>
      </c>
      <c r="H51" s="466">
        <v>0</v>
      </c>
      <c r="I51" s="467">
        <v>0</v>
      </c>
      <c r="J51" s="467">
        <v>0</v>
      </c>
      <c r="K51" s="1692">
        <f>SUM(C51:J51)</f>
        <v>2101</v>
      </c>
      <c r="L51" s="466">
        <v>1625</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226651</v>
      </c>
      <c r="D53" s="1690">
        <f t="shared" ref="D53:L53" si="5">SUM(D49:D52)</f>
        <v>43657</v>
      </c>
      <c r="E53" s="1690">
        <f t="shared" si="5"/>
        <v>232097</v>
      </c>
      <c r="F53" s="1690">
        <f t="shared" si="5"/>
        <v>23821</v>
      </c>
      <c r="G53" s="1690">
        <f t="shared" si="5"/>
        <v>1249</v>
      </c>
      <c r="H53" s="1690">
        <f t="shared" si="5"/>
        <v>41100</v>
      </c>
      <c r="I53" s="1690">
        <f t="shared" si="5"/>
        <v>0</v>
      </c>
      <c r="J53" s="1690">
        <f t="shared" si="5"/>
        <v>0</v>
      </c>
      <c r="K53" s="1690">
        <f t="shared" si="5"/>
        <v>568575</v>
      </c>
      <c r="L53" s="1690">
        <f t="shared" si="5"/>
        <v>395700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581961</v>
      </c>
      <c r="D55" s="480">
        <v>135192</v>
      </c>
      <c r="E55" s="480">
        <v>17053</v>
      </c>
      <c r="F55" s="480">
        <v>4330</v>
      </c>
      <c r="G55" s="480">
        <v>0</v>
      </c>
      <c r="H55" s="480">
        <v>2311</v>
      </c>
      <c r="I55" s="467">
        <v>0</v>
      </c>
      <c r="J55" s="467">
        <v>0</v>
      </c>
      <c r="K55" s="1692">
        <f>SUM(C55:J55)</f>
        <v>740847</v>
      </c>
      <c r="L55" s="480">
        <v>562215</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581961</v>
      </c>
      <c r="D57" s="1694">
        <f t="shared" ref="D57:K57" si="6">SUM(D55:D56)</f>
        <v>135192</v>
      </c>
      <c r="E57" s="1694">
        <f t="shared" si="6"/>
        <v>17053</v>
      </c>
      <c r="F57" s="1694">
        <f t="shared" si="6"/>
        <v>4330</v>
      </c>
      <c r="G57" s="1694">
        <f t="shared" si="6"/>
        <v>0</v>
      </c>
      <c r="H57" s="1694">
        <f t="shared" si="6"/>
        <v>2311</v>
      </c>
      <c r="I57" s="1694">
        <f t="shared" si="6"/>
        <v>0</v>
      </c>
      <c r="J57" s="1694">
        <f t="shared" si="6"/>
        <v>0</v>
      </c>
      <c r="K57" s="1694">
        <f t="shared" si="6"/>
        <v>740847</v>
      </c>
      <c r="L57" s="1690">
        <f>SUM(L55:L56)</f>
        <v>562215</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84917</v>
      </c>
      <c r="D60" s="466">
        <v>114</v>
      </c>
      <c r="E60" s="466">
        <v>1995</v>
      </c>
      <c r="F60" s="466">
        <v>2680</v>
      </c>
      <c r="G60" s="466">
        <v>0</v>
      </c>
      <c r="H60" s="466">
        <v>0</v>
      </c>
      <c r="I60" s="467">
        <v>0</v>
      </c>
      <c r="J60" s="467">
        <v>0</v>
      </c>
      <c r="K60" s="1692">
        <f t="shared" si="7"/>
        <v>89706</v>
      </c>
      <c r="L60" s="466">
        <v>58650</v>
      </c>
      <c r="M60" s="608"/>
      <c r="N60" s="608"/>
    </row>
    <row r="61" spans="1:14" s="343" customFormat="1" x14ac:dyDescent="0.2">
      <c r="A61" s="1524" t="s">
        <v>206</v>
      </c>
      <c r="B61" s="613">
        <v>2540</v>
      </c>
      <c r="C61" s="467">
        <v>483567</v>
      </c>
      <c r="D61" s="466">
        <v>272</v>
      </c>
      <c r="E61" s="466">
        <v>0</v>
      </c>
      <c r="F61" s="466">
        <v>0</v>
      </c>
      <c r="G61" s="466">
        <v>0</v>
      </c>
      <c r="H61" s="466">
        <v>0</v>
      </c>
      <c r="I61" s="467">
        <v>0</v>
      </c>
      <c r="J61" s="467">
        <v>0</v>
      </c>
      <c r="K61" s="1692">
        <f t="shared" si="7"/>
        <v>483839</v>
      </c>
      <c r="L61" s="466">
        <v>433000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187814</v>
      </c>
      <c r="D63" s="466">
        <v>163</v>
      </c>
      <c r="E63" s="466">
        <v>2700</v>
      </c>
      <c r="F63" s="466">
        <v>144439</v>
      </c>
      <c r="G63" s="466">
        <v>0</v>
      </c>
      <c r="H63" s="466">
        <v>0</v>
      </c>
      <c r="I63" s="467">
        <v>0</v>
      </c>
      <c r="J63" s="467">
        <v>0</v>
      </c>
      <c r="K63" s="1692">
        <f t="shared" si="7"/>
        <v>335116</v>
      </c>
      <c r="L63" s="466">
        <v>316900</v>
      </c>
    </row>
    <row r="64" spans="1:14" s="608" customFormat="1" x14ac:dyDescent="0.2">
      <c r="A64" s="1529" t="s">
        <v>103</v>
      </c>
      <c r="B64" s="629">
        <v>2570</v>
      </c>
      <c r="C64" s="480">
        <v>0</v>
      </c>
      <c r="D64" s="480">
        <v>0</v>
      </c>
      <c r="E64" s="480">
        <v>0</v>
      </c>
      <c r="F64" s="480">
        <v>2264</v>
      </c>
      <c r="G64" s="480">
        <v>0</v>
      </c>
      <c r="H64" s="480">
        <v>0</v>
      </c>
      <c r="I64" s="467">
        <v>0</v>
      </c>
      <c r="J64" s="467">
        <v>0</v>
      </c>
      <c r="K64" s="1692">
        <f t="shared" si="7"/>
        <v>2264</v>
      </c>
      <c r="L64" s="480">
        <v>9500</v>
      </c>
    </row>
    <row r="65" spans="1:14" s="343" customFormat="1" ht="12.75" customHeight="1" thickBot="1" x14ac:dyDescent="0.25">
      <c r="A65" s="1688" t="s">
        <v>743</v>
      </c>
      <c r="B65" s="1689" t="s">
        <v>35</v>
      </c>
      <c r="C65" s="1690">
        <f>SUM(C59:C64)</f>
        <v>756298</v>
      </c>
      <c r="D65" s="1690">
        <f t="shared" ref="D65:L65" si="8">SUM(D59:D64)</f>
        <v>549</v>
      </c>
      <c r="E65" s="1690">
        <f t="shared" si="8"/>
        <v>4695</v>
      </c>
      <c r="F65" s="1690">
        <f t="shared" si="8"/>
        <v>149383</v>
      </c>
      <c r="G65" s="1690">
        <f t="shared" si="8"/>
        <v>0</v>
      </c>
      <c r="H65" s="1690">
        <f t="shared" si="8"/>
        <v>0</v>
      </c>
      <c r="I65" s="1690">
        <f t="shared" si="8"/>
        <v>0</v>
      </c>
      <c r="J65" s="1690">
        <f t="shared" si="8"/>
        <v>0</v>
      </c>
      <c r="K65" s="1690">
        <f t="shared" si="8"/>
        <v>910925</v>
      </c>
      <c r="L65" s="1690">
        <f t="shared" si="8"/>
        <v>818050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8693</v>
      </c>
      <c r="D68" s="466">
        <v>1113</v>
      </c>
      <c r="E68" s="466">
        <v>3766</v>
      </c>
      <c r="F68" s="466">
        <v>0</v>
      </c>
      <c r="G68" s="466">
        <v>0</v>
      </c>
      <c r="H68" s="466">
        <v>0</v>
      </c>
      <c r="I68" s="467">
        <v>0</v>
      </c>
      <c r="J68" s="467">
        <v>0</v>
      </c>
      <c r="K68" s="1692">
        <f>SUM(C68:J68)</f>
        <v>13572</v>
      </c>
      <c r="L68" s="466">
        <v>17600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150077</v>
      </c>
      <c r="D70" s="466">
        <v>156</v>
      </c>
      <c r="E70" s="466">
        <v>67511</v>
      </c>
      <c r="F70" s="466">
        <v>18567</v>
      </c>
      <c r="G70" s="466">
        <v>198020</v>
      </c>
      <c r="H70" s="466">
        <v>0</v>
      </c>
      <c r="I70" s="467">
        <v>0</v>
      </c>
      <c r="J70" s="467">
        <v>0</v>
      </c>
      <c r="K70" s="1692">
        <f>SUM(C70:J70)</f>
        <v>434331</v>
      </c>
      <c r="L70" s="466">
        <v>380885</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158770</v>
      </c>
      <c r="D72" s="1690">
        <f t="shared" ref="D72:K72" si="9">SUM(D67:D71)</f>
        <v>1269</v>
      </c>
      <c r="E72" s="1690">
        <f t="shared" si="9"/>
        <v>71277</v>
      </c>
      <c r="F72" s="1690">
        <f t="shared" si="9"/>
        <v>18567</v>
      </c>
      <c r="G72" s="1690">
        <f t="shared" si="9"/>
        <v>198020</v>
      </c>
      <c r="H72" s="1690">
        <f t="shared" si="9"/>
        <v>0</v>
      </c>
      <c r="I72" s="1690">
        <f t="shared" si="9"/>
        <v>0</v>
      </c>
      <c r="J72" s="1690">
        <f t="shared" si="9"/>
        <v>0</v>
      </c>
      <c r="K72" s="1690">
        <f t="shared" si="9"/>
        <v>447903</v>
      </c>
      <c r="L72" s="1690">
        <f>SUM(L67:L71)</f>
        <v>398485</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2255384</v>
      </c>
      <c r="D74" s="1697">
        <f t="shared" ref="D74:K74" si="10">SUM(D42,D47,D53,D57,D65,D72,D73)</f>
        <v>282331</v>
      </c>
      <c r="E74" s="1697">
        <f t="shared" si="10"/>
        <v>332405</v>
      </c>
      <c r="F74" s="1697">
        <f t="shared" si="10"/>
        <v>231565</v>
      </c>
      <c r="G74" s="1697">
        <f t="shared" si="10"/>
        <v>199269</v>
      </c>
      <c r="H74" s="1697">
        <f t="shared" si="10"/>
        <v>43411</v>
      </c>
      <c r="I74" s="1697">
        <f t="shared" si="10"/>
        <v>0</v>
      </c>
      <c r="J74" s="1697">
        <f t="shared" si="10"/>
        <v>0</v>
      </c>
      <c r="K74" s="1697">
        <f t="shared" si="10"/>
        <v>3344365</v>
      </c>
      <c r="L74" s="1697">
        <f>SUM(L42,L47,L53,L57,L65,L72,L73)</f>
        <v>2806400</v>
      </c>
    </row>
    <row r="75" spans="1:14" s="259" customFormat="1" ht="15.75" customHeight="1" thickTop="1" thickBot="1" x14ac:dyDescent="0.25">
      <c r="A75" s="1630" t="s">
        <v>49</v>
      </c>
      <c r="B75" s="1631" t="s">
        <v>596</v>
      </c>
      <c r="C75" s="571">
        <v>32976</v>
      </c>
      <c r="D75" s="571">
        <v>0</v>
      </c>
      <c r="E75" s="571">
        <v>0</v>
      </c>
      <c r="F75" s="571">
        <v>2280</v>
      </c>
      <c r="G75" s="571">
        <v>0</v>
      </c>
      <c r="H75" s="571">
        <v>0</v>
      </c>
      <c r="I75" s="529">
        <v>0</v>
      </c>
      <c r="J75" s="529">
        <v>0</v>
      </c>
      <c r="K75" s="1690">
        <f>SUM(C75:J75)</f>
        <v>35256</v>
      </c>
      <c r="L75" s="574">
        <v>31500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1775</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0</v>
      </c>
      <c r="F84" s="615"/>
      <c r="G84" s="615"/>
      <c r="H84" s="1690">
        <f>SUM(H78:H83)</f>
        <v>0</v>
      </c>
      <c r="I84" s="476"/>
      <c r="J84" s="476"/>
      <c r="K84" s="1690">
        <f>SUM(K78:K83)</f>
        <v>0</v>
      </c>
      <c r="L84" s="1690">
        <f>SUM(L78:L83)</f>
        <v>1775</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134235</v>
      </c>
      <c r="I86" s="476"/>
      <c r="J86" s="476"/>
      <c r="K86" s="1697">
        <f t="shared" ref="K86:K98" si="12">H86</f>
        <v>134235</v>
      </c>
      <c r="L86" s="528">
        <v>118500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20865</v>
      </c>
      <c r="I88" s="476"/>
      <c r="J88" s="476"/>
      <c r="K88" s="1697">
        <f t="shared" si="12"/>
        <v>20865</v>
      </c>
      <c r="L88" s="528">
        <v>25500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155100</v>
      </c>
      <c r="I92" s="476"/>
      <c r="J92" s="476"/>
      <c r="K92" s="1697">
        <f t="shared" si="12"/>
        <v>155100</v>
      </c>
      <c r="L92" s="1690">
        <f>SUM(L85:L91)</f>
        <v>144000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0</v>
      </c>
      <c r="F102" s="615"/>
      <c r="G102" s="615"/>
      <c r="H102" s="1697">
        <f>SUM(H84,H92,H100,H101)</f>
        <v>155100</v>
      </c>
      <c r="I102" s="476"/>
      <c r="J102" s="476"/>
      <c r="K102" s="1697">
        <f>SUM(K84,K92,K100,K101)</f>
        <v>155100</v>
      </c>
      <c r="L102" s="1697">
        <f>SUM(L84,L92,L100,L101)</f>
        <v>145775</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7422934</v>
      </c>
      <c r="D114" s="1690">
        <f t="shared" ref="D114:K114" si="13">SUM(D33,D74,D75,D102,D112,D113)</f>
        <v>1529029</v>
      </c>
      <c r="E114" s="1690">
        <f t="shared" si="13"/>
        <v>442015</v>
      </c>
      <c r="F114" s="1690">
        <f t="shared" si="13"/>
        <v>531197</v>
      </c>
      <c r="G114" s="1690">
        <f t="shared" si="13"/>
        <v>245902</v>
      </c>
      <c r="H114" s="1690">
        <f>SUM(H33,H74,H75,H102,H112,H113)</f>
        <v>383220</v>
      </c>
      <c r="I114" s="1690">
        <f t="shared" si="13"/>
        <v>0</v>
      </c>
      <c r="J114" s="1690">
        <f t="shared" si="13"/>
        <v>0</v>
      </c>
      <c r="K114" s="1690">
        <f t="shared" si="13"/>
        <v>10554297</v>
      </c>
      <c r="L114" s="1690">
        <f>SUM(L33,L74,L75,L102,L112,L113)</f>
        <v>10251342</v>
      </c>
    </row>
    <row r="115" spans="1:14" ht="13.5" thickTop="1" x14ac:dyDescent="0.2">
      <c r="A115" s="2176" t="s">
        <v>1053</v>
      </c>
      <c r="B115" s="2177"/>
      <c r="C115" s="617"/>
      <c r="D115" s="617"/>
      <c r="E115" s="617"/>
      <c r="F115" s="617"/>
      <c r="G115" s="617"/>
      <c r="H115" s="617"/>
      <c r="I115" s="617"/>
      <c r="J115" s="617"/>
      <c r="K115" s="1704">
        <f>'Revenues 9-14'!C275-'Expenditures 15-22'!K114</f>
        <v>2747841</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1" t="s">
        <v>314</v>
      </c>
      <c r="B117" s="2182"/>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0</v>
      </c>
      <c r="D124" s="466">
        <v>0</v>
      </c>
      <c r="E124" s="466">
        <v>342162</v>
      </c>
      <c r="F124" s="466">
        <v>368941</v>
      </c>
      <c r="G124" s="466">
        <v>1114999</v>
      </c>
      <c r="H124" s="466">
        <v>0</v>
      </c>
      <c r="I124" s="467">
        <v>0</v>
      </c>
      <c r="J124" s="467">
        <v>0</v>
      </c>
      <c r="K124" s="1690">
        <f>SUM(C124:J124)</f>
        <v>1826102</v>
      </c>
      <c r="L124" s="466">
        <v>3381333</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342162</v>
      </c>
      <c r="F127" s="1690">
        <f t="shared" si="14"/>
        <v>368941</v>
      </c>
      <c r="G127" s="1690">
        <f t="shared" si="14"/>
        <v>1114999</v>
      </c>
      <c r="H127" s="1690">
        <f t="shared" si="14"/>
        <v>0</v>
      </c>
      <c r="I127" s="1690">
        <f t="shared" si="14"/>
        <v>0</v>
      </c>
      <c r="J127" s="1690">
        <f t="shared" si="14"/>
        <v>0</v>
      </c>
      <c r="K127" s="1690">
        <f t="shared" si="14"/>
        <v>1826102</v>
      </c>
      <c r="L127" s="1690">
        <f t="shared" si="14"/>
        <v>3381333</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0</v>
      </c>
      <c r="D129" s="1697">
        <f t="shared" ref="D129:L129" si="15">SUM(D120,D127,D128)</f>
        <v>0</v>
      </c>
      <c r="E129" s="1697">
        <f t="shared" si="15"/>
        <v>342162</v>
      </c>
      <c r="F129" s="1697">
        <f t="shared" si="15"/>
        <v>368941</v>
      </c>
      <c r="G129" s="1697">
        <f t="shared" si="15"/>
        <v>1114999</v>
      </c>
      <c r="H129" s="1697">
        <f t="shared" si="15"/>
        <v>0</v>
      </c>
      <c r="I129" s="1697">
        <f t="shared" si="15"/>
        <v>0</v>
      </c>
      <c r="J129" s="1697">
        <f t="shared" si="15"/>
        <v>0</v>
      </c>
      <c r="K129" s="1697">
        <f t="shared" si="15"/>
        <v>1826102</v>
      </c>
      <c r="L129" s="1697">
        <f t="shared" si="15"/>
        <v>3381333</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13000</v>
      </c>
    </row>
    <row r="135" spans="1:14" x14ac:dyDescent="0.2">
      <c r="A135" s="1524" t="s">
        <v>721</v>
      </c>
      <c r="B135" s="613">
        <v>4140</v>
      </c>
      <c r="C135" s="615"/>
      <c r="D135" s="615"/>
      <c r="E135" s="467">
        <v>0</v>
      </c>
      <c r="F135" s="615"/>
      <c r="G135" s="615"/>
      <c r="H135" s="466">
        <v>33608</v>
      </c>
      <c r="I135" s="476"/>
      <c r="J135" s="615"/>
      <c r="K135" s="1692">
        <f>SUM(E135,H135)</f>
        <v>33608</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33608</v>
      </c>
      <c r="I137" s="476"/>
      <c r="J137" s="615"/>
      <c r="K137" s="1690">
        <f>SUM(K133:K136)</f>
        <v>33608</v>
      </c>
      <c r="L137" s="1690">
        <f>SUM(L133:L136)</f>
        <v>13000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33608</v>
      </c>
      <c r="I139" s="476"/>
      <c r="J139" s="615"/>
      <c r="K139" s="1692">
        <f>SUM(K137,K138)</f>
        <v>33608</v>
      </c>
      <c r="L139" s="1699">
        <f>SUM(L137,L138)</f>
        <v>13000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563793</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563793</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93" t="s">
        <v>641</v>
      </c>
      <c r="B151" s="2173"/>
      <c r="C151" s="1690">
        <f>SUM(C129,C130,C139,C149,C150)</f>
        <v>0</v>
      </c>
      <c r="D151" s="1690">
        <f t="shared" ref="D151:K151" si="16">SUM(D129,D130,D139,D149,D150)</f>
        <v>0</v>
      </c>
      <c r="E151" s="1690">
        <f t="shared" si="16"/>
        <v>342162</v>
      </c>
      <c r="F151" s="1690">
        <f t="shared" si="16"/>
        <v>368941</v>
      </c>
      <c r="G151" s="1690">
        <f t="shared" si="16"/>
        <v>1114999</v>
      </c>
      <c r="H151" s="1690">
        <f t="shared" si="16"/>
        <v>33608</v>
      </c>
      <c r="I151" s="1690">
        <f t="shared" si="16"/>
        <v>0</v>
      </c>
      <c r="J151" s="1690">
        <f t="shared" si="16"/>
        <v>0</v>
      </c>
      <c r="K151" s="1690">
        <f t="shared" si="16"/>
        <v>1859710</v>
      </c>
      <c r="L151" s="1690">
        <f>SUM(L129,L130,L139,L149,L150)</f>
        <v>3958126</v>
      </c>
    </row>
    <row r="152" spans="1:14" ht="12.75" customHeight="1" thickTop="1" x14ac:dyDescent="0.2">
      <c r="A152" s="2196" t="s">
        <v>1240</v>
      </c>
      <c r="B152" s="2197"/>
      <c r="C152" s="617"/>
      <c r="D152" s="617"/>
      <c r="E152" s="617"/>
      <c r="F152" s="617"/>
      <c r="G152" s="617"/>
      <c r="H152" s="617"/>
      <c r="I152" s="617"/>
      <c r="J152" s="615"/>
      <c r="K152" s="1704">
        <f>'Revenues 9-14'!D275-'Expenditures 15-22'!K151</f>
        <v>355245</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1" t="s">
        <v>642</v>
      </c>
      <c r="B154" s="2183"/>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44360</v>
      </c>
      <c r="I169" s="615"/>
      <c r="J169" s="615"/>
      <c r="K169" s="1691">
        <f>SUM(C169:H169)</f>
        <v>44360</v>
      </c>
      <c r="L169" s="655">
        <v>0</v>
      </c>
    </row>
    <row r="170" spans="1:14" ht="33.75" customHeight="1" x14ac:dyDescent="0.2">
      <c r="A170" s="668" t="s">
        <v>1769</v>
      </c>
      <c r="B170" s="670" t="s">
        <v>31</v>
      </c>
      <c r="C170" s="615"/>
      <c r="D170" s="615"/>
      <c r="E170" s="615"/>
      <c r="F170" s="615"/>
      <c r="G170" s="615"/>
      <c r="H170" s="567">
        <v>519502</v>
      </c>
      <c r="I170" s="615"/>
      <c r="J170" s="615"/>
      <c r="K170" s="1691">
        <f>SUM(C170:J170)</f>
        <v>519502</v>
      </c>
      <c r="L170" s="567">
        <v>0</v>
      </c>
    </row>
    <row r="171" spans="1:14" ht="15.75" customHeight="1" x14ac:dyDescent="0.2">
      <c r="A171" s="620" t="s">
        <v>790</v>
      </c>
      <c r="B171" s="671" t="s">
        <v>86</v>
      </c>
      <c r="C171" s="615"/>
      <c r="D171" s="615"/>
      <c r="E171" s="466">
        <v>0</v>
      </c>
      <c r="F171" s="615"/>
      <c r="G171" s="615"/>
      <c r="H171" s="567">
        <v>17000</v>
      </c>
      <c r="I171" s="476"/>
      <c r="J171" s="615"/>
      <c r="K171" s="1691">
        <f>SUM(C171:J171)</f>
        <v>17000</v>
      </c>
      <c r="L171" s="567">
        <v>17350</v>
      </c>
    </row>
    <row r="172" spans="1:14" ht="12.75" customHeight="1" thickBot="1" x14ac:dyDescent="0.25">
      <c r="A172" s="1688" t="s">
        <v>659</v>
      </c>
      <c r="B172" s="1689" t="s">
        <v>513</v>
      </c>
      <c r="C172" s="615"/>
      <c r="D172" s="615"/>
      <c r="E172" s="1697">
        <f>SUM(E168,E169,E170,E171)</f>
        <v>0</v>
      </c>
      <c r="F172" s="615"/>
      <c r="G172" s="615"/>
      <c r="H172" s="1697">
        <f>SUM(H168,H169,H170,H171)</f>
        <v>580862</v>
      </c>
      <c r="I172" s="637"/>
      <c r="J172" s="615"/>
      <c r="K172" s="1697">
        <f>SUM(K168,K169,K170,K171)</f>
        <v>580862</v>
      </c>
      <c r="L172" s="1697">
        <f>SUM(L168,L169,L170,L171)</f>
        <v>17350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580862</v>
      </c>
      <c r="I174" s="637"/>
      <c r="J174" s="615"/>
      <c r="K174" s="1697">
        <f>SUM(K160,K172,K173)</f>
        <v>580862</v>
      </c>
      <c r="L174" s="1697">
        <f>SUM(L160,L172,L173)</f>
        <v>17350</v>
      </c>
    </row>
    <row r="175" spans="1:14" ht="13.5" thickTop="1" x14ac:dyDescent="0.2">
      <c r="A175" s="2176" t="s">
        <v>1053</v>
      </c>
      <c r="B175" s="2177"/>
      <c r="C175" s="615"/>
      <c r="D175" s="615"/>
      <c r="E175" s="615"/>
      <c r="F175" s="615"/>
      <c r="G175" s="615"/>
      <c r="H175" s="617"/>
      <c r="I175" s="615"/>
      <c r="J175" s="615"/>
      <c r="K175" s="1704">
        <f>'Revenues 9-14'!E275-'Expenditures 15-22'!K174</f>
        <v>-577472</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373993</v>
      </c>
      <c r="D182" s="467">
        <v>266</v>
      </c>
      <c r="E182" s="467">
        <v>139199</v>
      </c>
      <c r="F182" s="467">
        <v>67446</v>
      </c>
      <c r="G182" s="467">
        <v>21395</v>
      </c>
      <c r="H182" s="466">
        <v>0</v>
      </c>
      <c r="I182" s="467">
        <v>0</v>
      </c>
      <c r="J182" s="467">
        <v>0</v>
      </c>
      <c r="K182" s="1691">
        <f>SUM(C182:J182)</f>
        <v>602299</v>
      </c>
      <c r="L182" s="466">
        <v>607134</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373993</v>
      </c>
      <c r="D184" s="1697">
        <f t="shared" ref="D184:J184" si="17">SUM(D180,D182,D183)</f>
        <v>266</v>
      </c>
      <c r="E184" s="1697">
        <f t="shared" si="17"/>
        <v>139199</v>
      </c>
      <c r="F184" s="1697">
        <f t="shared" si="17"/>
        <v>67446</v>
      </c>
      <c r="G184" s="1697">
        <f t="shared" si="17"/>
        <v>21395</v>
      </c>
      <c r="H184" s="1697">
        <f t="shared" si="17"/>
        <v>0</v>
      </c>
      <c r="I184" s="1697">
        <f t="shared" si="17"/>
        <v>0</v>
      </c>
      <c r="J184" s="1697">
        <f t="shared" si="17"/>
        <v>0</v>
      </c>
      <c r="K184" s="1697">
        <f>SUM(K180,K182,K183)</f>
        <v>602299</v>
      </c>
      <c r="L184" s="1697">
        <f>SUM(L180, L182:L183)</f>
        <v>607134</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373993</v>
      </c>
      <c r="D210" s="1690">
        <f>SUM(D184,D185)</f>
        <v>266</v>
      </c>
      <c r="E210" s="1690">
        <f>SUM(E184,E185,E196)</f>
        <v>139199</v>
      </c>
      <c r="F210" s="1690">
        <f>SUM(F184,F185)</f>
        <v>67446</v>
      </c>
      <c r="G210" s="1690">
        <f>SUM(G184,G185)</f>
        <v>21395</v>
      </c>
      <c r="H210" s="1690">
        <f>SUM(H184,H185,H196,H208,H209)</f>
        <v>0</v>
      </c>
      <c r="I210" s="1690">
        <f>SUM(I184,I185)</f>
        <v>0</v>
      </c>
      <c r="J210" s="1690">
        <f>SUM(J184,J185)</f>
        <v>0</v>
      </c>
      <c r="K210" s="1691">
        <f>SUM(K184,K185,K196,K208,K209)</f>
        <v>602299</v>
      </c>
      <c r="L210" s="1690">
        <f>SUM(L184,L185,L196,L208,L209)</f>
        <v>607134</v>
      </c>
    </row>
    <row r="211" spans="1:14" ht="13.5" thickTop="1" x14ac:dyDescent="0.2">
      <c r="A211" s="2176" t="s">
        <v>1053</v>
      </c>
      <c r="B211" s="2177"/>
      <c r="C211" s="617"/>
      <c r="D211" s="617"/>
      <c r="E211" s="617"/>
      <c r="F211" s="617"/>
      <c r="G211" s="617"/>
      <c r="H211" s="617"/>
      <c r="I211" s="615"/>
      <c r="J211" s="615"/>
      <c r="K211" s="1704">
        <f>'Revenues 9-14'!F275-'Expenditures 15-22'!K210</f>
        <v>615600</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8" t="s">
        <v>1022</v>
      </c>
      <c r="B213" s="2199"/>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68430</v>
      </c>
      <c r="E215" s="615"/>
      <c r="F215" s="615"/>
      <c r="G215" s="615"/>
      <c r="H215" s="615"/>
      <c r="I215" s="615"/>
      <c r="J215" s="615"/>
      <c r="K215" s="1691">
        <f>D215</f>
        <v>68430</v>
      </c>
      <c r="L215" s="466">
        <v>114000</v>
      </c>
    </row>
    <row r="216" spans="1:14" x14ac:dyDescent="0.2">
      <c r="A216" s="1524" t="s">
        <v>165</v>
      </c>
      <c r="B216" s="613" t="s">
        <v>1024</v>
      </c>
      <c r="C216" s="615"/>
      <c r="D216" s="467">
        <v>9043</v>
      </c>
      <c r="E216" s="615"/>
      <c r="F216" s="615"/>
      <c r="G216" s="615"/>
      <c r="H216" s="615"/>
      <c r="I216" s="615"/>
      <c r="J216" s="615"/>
      <c r="K216" s="1691">
        <f t="shared" ref="K216:K228" si="19">D216</f>
        <v>9043</v>
      </c>
      <c r="L216" s="466">
        <v>8500</v>
      </c>
    </row>
    <row r="217" spans="1:14" x14ac:dyDescent="0.2">
      <c r="A217" s="1524" t="s">
        <v>166</v>
      </c>
      <c r="B217" s="613">
        <v>1200</v>
      </c>
      <c r="C217" s="615"/>
      <c r="D217" s="466">
        <v>86521</v>
      </c>
      <c r="E217" s="615"/>
      <c r="F217" s="615"/>
      <c r="G217" s="615"/>
      <c r="H217" s="615"/>
      <c r="I217" s="615"/>
      <c r="J217" s="615"/>
      <c r="K217" s="1691">
        <f t="shared" si="19"/>
        <v>86521</v>
      </c>
      <c r="L217" s="466">
        <v>56000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226</v>
      </c>
      <c r="E219" s="615"/>
      <c r="F219" s="615"/>
      <c r="G219" s="615"/>
      <c r="H219" s="615"/>
      <c r="I219" s="615"/>
      <c r="J219" s="615"/>
      <c r="K219" s="1691">
        <f t="shared" si="19"/>
        <v>226</v>
      </c>
      <c r="L219" s="466">
        <v>1000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14184</v>
      </c>
      <c r="E223" s="615"/>
      <c r="F223" s="615"/>
      <c r="G223" s="615"/>
      <c r="H223" s="615"/>
      <c r="I223" s="615"/>
      <c r="J223" s="615"/>
      <c r="K223" s="1691">
        <f t="shared" si="19"/>
        <v>14184</v>
      </c>
      <c r="L223" s="466">
        <v>11050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660</v>
      </c>
      <c r="E226" s="615"/>
      <c r="F226" s="615"/>
      <c r="G226" s="615"/>
      <c r="H226" s="615"/>
      <c r="I226" s="615"/>
      <c r="J226" s="615"/>
      <c r="K226" s="1691">
        <f t="shared" si="19"/>
        <v>660</v>
      </c>
      <c r="L226" s="466">
        <v>900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179064</v>
      </c>
      <c r="E229" s="615"/>
      <c r="F229" s="615"/>
      <c r="G229" s="615"/>
      <c r="H229" s="615"/>
      <c r="I229" s="615"/>
      <c r="J229" s="615"/>
      <c r="K229" s="1690">
        <f>SUM(K215:K228)</f>
        <v>179064</v>
      </c>
      <c r="L229" s="1690">
        <f>SUM(L215:L228)</f>
        <v>191450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9030</v>
      </c>
      <c r="E233" s="615"/>
      <c r="F233" s="615"/>
      <c r="G233" s="615"/>
      <c r="H233" s="615"/>
      <c r="I233" s="615"/>
      <c r="J233" s="615"/>
      <c r="K233" s="1691">
        <f t="shared" si="20"/>
        <v>9030</v>
      </c>
      <c r="L233" s="466">
        <v>9000</v>
      </c>
    </row>
    <row r="234" spans="1:12" x14ac:dyDescent="0.2">
      <c r="A234" s="1524" t="s">
        <v>207</v>
      </c>
      <c r="B234" s="613">
        <v>2130</v>
      </c>
      <c r="C234" s="615"/>
      <c r="D234" s="466">
        <v>15226</v>
      </c>
      <c r="E234" s="615"/>
      <c r="F234" s="615"/>
      <c r="G234" s="615"/>
      <c r="H234" s="615"/>
      <c r="I234" s="615"/>
      <c r="J234" s="615"/>
      <c r="K234" s="1691">
        <f t="shared" si="20"/>
        <v>15226</v>
      </c>
      <c r="L234" s="466">
        <v>14000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945</v>
      </c>
      <c r="E236" s="615"/>
      <c r="F236" s="615"/>
      <c r="G236" s="615"/>
      <c r="H236" s="615"/>
      <c r="I236" s="615"/>
      <c r="J236" s="615"/>
      <c r="K236" s="1691">
        <f t="shared" si="20"/>
        <v>945</v>
      </c>
      <c r="L236" s="466">
        <v>900</v>
      </c>
    </row>
    <row r="237" spans="1:12" x14ac:dyDescent="0.2">
      <c r="A237" s="1524" t="s">
        <v>167</v>
      </c>
      <c r="B237" s="613">
        <v>2190</v>
      </c>
      <c r="C237" s="615"/>
      <c r="D237" s="466">
        <v>1000</v>
      </c>
      <c r="E237" s="615"/>
      <c r="F237" s="615"/>
      <c r="G237" s="615"/>
      <c r="H237" s="615"/>
      <c r="I237" s="615"/>
      <c r="J237" s="615"/>
      <c r="K237" s="1691">
        <f t="shared" si="20"/>
        <v>1000</v>
      </c>
      <c r="L237" s="466">
        <v>800</v>
      </c>
    </row>
    <row r="238" spans="1:12" ht="12.75" customHeight="1" thickBot="1" x14ac:dyDescent="0.25">
      <c r="A238" s="1688" t="s">
        <v>581</v>
      </c>
      <c r="B238" s="1695" t="s">
        <v>740</v>
      </c>
      <c r="C238" s="615"/>
      <c r="D238" s="1690">
        <f>SUM(D232:D237)</f>
        <v>26201</v>
      </c>
      <c r="E238" s="615"/>
      <c r="F238" s="615"/>
      <c r="G238" s="615"/>
      <c r="H238" s="615"/>
      <c r="I238" s="615"/>
      <c r="J238" s="615"/>
      <c r="K238" s="1690">
        <f>SUM(K232:K237)</f>
        <v>26201</v>
      </c>
      <c r="L238" s="1690">
        <f>SUM(L232:L237)</f>
        <v>24700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100</v>
      </c>
    </row>
    <row r="241" spans="1:12" x14ac:dyDescent="0.2">
      <c r="A241" s="1524" t="s">
        <v>869</v>
      </c>
      <c r="B241" s="613">
        <v>2220</v>
      </c>
      <c r="C241" s="615"/>
      <c r="D241" s="466">
        <v>5529</v>
      </c>
      <c r="E241" s="615"/>
      <c r="F241" s="615"/>
      <c r="G241" s="615"/>
      <c r="H241" s="615"/>
      <c r="I241" s="615"/>
      <c r="J241" s="615"/>
      <c r="K241" s="1692">
        <f>D241</f>
        <v>5529</v>
      </c>
      <c r="L241" s="466">
        <v>6450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5529</v>
      </c>
      <c r="E243" s="615"/>
      <c r="F243" s="615"/>
      <c r="G243" s="615"/>
      <c r="H243" s="615"/>
      <c r="I243" s="615"/>
      <c r="J243" s="615"/>
      <c r="K243" s="1690">
        <f>SUM(K240:K242)</f>
        <v>5529</v>
      </c>
      <c r="L243" s="1690">
        <f>SUM(L240:L242)</f>
        <v>6550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2770</v>
      </c>
      <c r="E245" s="615"/>
      <c r="F245" s="615"/>
      <c r="G245" s="615"/>
      <c r="H245" s="615"/>
      <c r="I245" s="615"/>
      <c r="J245" s="615"/>
      <c r="K245" s="1692">
        <f>D245</f>
        <v>2770</v>
      </c>
      <c r="L245" s="480">
        <v>2350</v>
      </c>
    </row>
    <row r="246" spans="1:12" x14ac:dyDescent="0.2">
      <c r="A246" s="1524" t="s">
        <v>872</v>
      </c>
      <c r="B246" s="613">
        <v>2320</v>
      </c>
      <c r="C246" s="615"/>
      <c r="D246" s="466">
        <v>14613</v>
      </c>
      <c r="E246" s="615"/>
      <c r="F246" s="615"/>
      <c r="G246" s="615"/>
      <c r="H246" s="615"/>
      <c r="I246" s="615"/>
      <c r="J246" s="615"/>
      <c r="K246" s="1692">
        <f t="shared" ref="K246:K256" si="21">D246</f>
        <v>14613</v>
      </c>
      <c r="L246" s="466">
        <v>13250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17383</v>
      </c>
      <c r="E257" s="615"/>
      <c r="F257" s="615"/>
      <c r="G257" s="615"/>
      <c r="H257" s="615"/>
      <c r="I257" s="615"/>
      <c r="J257" s="615"/>
      <c r="K257" s="1690">
        <f>SUM(K245:K256)</f>
        <v>17383</v>
      </c>
      <c r="L257" s="1690">
        <f>SUM(L245:L256)</f>
        <v>15600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37029</v>
      </c>
      <c r="E259" s="615"/>
      <c r="F259" s="615"/>
      <c r="G259" s="615"/>
      <c r="H259" s="615"/>
      <c r="I259" s="615"/>
      <c r="J259" s="615"/>
      <c r="K259" s="1692">
        <f>D259</f>
        <v>37029</v>
      </c>
      <c r="L259" s="480">
        <v>32200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37029</v>
      </c>
      <c r="E261" s="615"/>
      <c r="F261" s="615"/>
      <c r="G261" s="615"/>
      <c r="H261" s="615"/>
      <c r="I261" s="615"/>
      <c r="J261" s="615"/>
      <c r="K261" s="1690">
        <f>SUM(K259:K260)</f>
        <v>37029</v>
      </c>
      <c r="L261" s="1690">
        <f>SUM(L259:L260)</f>
        <v>32200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13671</v>
      </c>
      <c r="E264" s="615"/>
      <c r="F264" s="615"/>
      <c r="G264" s="615"/>
      <c r="H264" s="615"/>
      <c r="I264" s="615"/>
      <c r="J264" s="615"/>
      <c r="K264" s="1692">
        <f t="shared" ref="K264:K269" si="22">D264</f>
        <v>13671</v>
      </c>
      <c r="L264" s="466">
        <v>14500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83446</v>
      </c>
      <c r="E266" s="615"/>
      <c r="F266" s="615"/>
      <c r="G266" s="615"/>
      <c r="H266" s="615"/>
      <c r="I266" s="615"/>
      <c r="J266" s="615"/>
      <c r="K266" s="1692">
        <f t="shared" si="22"/>
        <v>83446</v>
      </c>
      <c r="L266" s="466">
        <v>83500</v>
      </c>
    </row>
    <row r="267" spans="1:14" x14ac:dyDescent="0.2">
      <c r="A267" s="1524" t="s">
        <v>1010</v>
      </c>
      <c r="B267" s="613">
        <v>2550</v>
      </c>
      <c r="C267" s="615"/>
      <c r="D267" s="466">
        <v>68161</v>
      </c>
      <c r="E267" s="615"/>
      <c r="F267" s="615"/>
      <c r="G267" s="615"/>
      <c r="H267" s="615"/>
      <c r="I267" s="615"/>
      <c r="J267" s="615"/>
      <c r="K267" s="1692">
        <f t="shared" si="22"/>
        <v>68161</v>
      </c>
      <c r="L267" s="466">
        <v>72500</v>
      </c>
    </row>
    <row r="268" spans="1:14" x14ac:dyDescent="0.2">
      <c r="A268" s="1524" t="s">
        <v>102</v>
      </c>
      <c r="B268" s="613">
        <v>2560</v>
      </c>
      <c r="C268" s="615"/>
      <c r="D268" s="466">
        <v>30413</v>
      </c>
      <c r="E268" s="615"/>
      <c r="F268" s="615"/>
      <c r="G268" s="615"/>
      <c r="H268" s="615"/>
      <c r="I268" s="615"/>
      <c r="J268" s="615"/>
      <c r="K268" s="1692">
        <f t="shared" si="22"/>
        <v>30413</v>
      </c>
      <c r="L268" s="466">
        <v>25075</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195691</v>
      </c>
      <c r="E270" s="615"/>
      <c r="F270" s="615"/>
      <c r="G270" s="615"/>
      <c r="H270" s="615"/>
      <c r="I270" s="615"/>
      <c r="J270" s="615"/>
      <c r="K270" s="1690">
        <f>SUM(K263:K269)</f>
        <v>195691</v>
      </c>
      <c r="L270" s="1690">
        <f>SUM(L263:L269)</f>
        <v>195575</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126</v>
      </c>
      <c r="E273" s="615"/>
      <c r="F273" s="615"/>
      <c r="G273" s="615"/>
      <c r="H273" s="615"/>
      <c r="I273" s="615"/>
      <c r="J273" s="615"/>
      <c r="K273" s="1692">
        <f>D273</f>
        <v>126</v>
      </c>
      <c r="L273" s="466">
        <v>200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26592</v>
      </c>
      <c r="E275" s="615"/>
      <c r="F275" s="615"/>
      <c r="G275" s="615"/>
      <c r="H275" s="615"/>
      <c r="I275" s="615"/>
      <c r="J275" s="615"/>
      <c r="K275" s="1692">
        <f>D275</f>
        <v>26592</v>
      </c>
      <c r="L275" s="466">
        <v>26500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26718</v>
      </c>
      <c r="E277" s="615"/>
      <c r="F277" s="615"/>
      <c r="G277" s="615"/>
      <c r="H277" s="615"/>
      <c r="I277" s="615"/>
      <c r="J277" s="615"/>
      <c r="K277" s="1690">
        <f>SUM(K272:K276)</f>
        <v>26718</v>
      </c>
      <c r="L277" s="1690">
        <f>SUM(L272:L276)</f>
        <v>26700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308551</v>
      </c>
      <c r="E279" s="615"/>
      <c r="F279" s="615"/>
      <c r="G279" s="615"/>
      <c r="H279" s="615"/>
      <c r="I279" s="615"/>
      <c r="J279" s="615"/>
      <c r="K279" s="1697">
        <f>SUM(K238,K243,K257,K261,K270,K277,K278)</f>
        <v>308551</v>
      </c>
      <c r="L279" s="1697">
        <f>SUM(L238,L243,L257,L261,L270,L277,L278)</f>
        <v>301325</v>
      </c>
    </row>
    <row r="280" spans="1:12" ht="15.75" customHeight="1" thickTop="1" thickBot="1" x14ac:dyDescent="0.25">
      <c r="A280" s="1644" t="s">
        <v>930</v>
      </c>
      <c r="B280" s="1633">
        <v>3000</v>
      </c>
      <c r="C280" s="615"/>
      <c r="D280" s="574">
        <v>6557</v>
      </c>
      <c r="E280" s="615"/>
      <c r="F280" s="615"/>
      <c r="G280" s="615"/>
      <c r="H280" s="615"/>
      <c r="I280" s="615"/>
      <c r="J280" s="615"/>
      <c r="K280" s="1699">
        <f>D280</f>
        <v>6557</v>
      </c>
      <c r="L280" s="574">
        <v>6000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4" t="s">
        <v>526</v>
      </c>
      <c r="B295" s="2195"/>
      <c r="C295" s="615"/>
      <c r="D295" s="1690">
        <f>SUM(D229,D279,D280,D285)</f>
        <v>494172</v>
      </c>
      <c r="E295" s="615"/>
      <c r="F295" s="615"/>
      <c r="G295" s="615"/>
      <c r="H295" s="1690">
        <f>H293</f>
        <v>0</v>
      </c>
      <c r="I295" s="615"/>
      <c r="J295" s="615"/>
      <c r="K295" s="1690">
        <f>SUM(K229,K279,K280,K285,K293,K294)</f>
        <v>494172</v>
      </c>
      <c r="L295" s="1690">
        <f>SUM(L229,L279,L280,L285,L293,L294)</f>
        <v>498775</v>
      </c>
    </row>
    <row r="296" spans="1:14" ht="13.5" thickTop="1" x14ac:dyDescent="0.2">
      <c r="A296" s="2176" t="s">
        <v>1053</v>
      </c>
      <c r="B296" s="2177"/>
      <c r="C296" s="615"/>
      <c r="D296" s="617"/>
      <c r="E296" s="615"/>
      <c r="F296" s="615"/>
      <c r="G296" s="615"/>
      <c r="H296" s="686"/>
      <c r="I296" s="615"/>
      <c r="J296" s="615"/>
      <c r="K296" s="1704">
        <f>'Revenues 9-14'!G275-'Expenditures 15-22'!K295</f>
        <v>-205474</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6" t="s">
        <v>145</v>
      </c>
      <c r="B298" s="2180"/>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1228450</v>
      </c>
      <c r="H301" s="466">
        <v>0</v>
      </c>
      <c r="I301" s="467">
        <v>0</v>
      </c>
      <c r="J301" s="467">
        <v>0</v>
      </c>
      <c r="K301" s="1691">
        <f>SUM(C301:J301)</f>
        <v>1228450</v>
      </c>
      <c r="L301" s="467">
        <v>1600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1228450</v>
      </c>
      <c r="H303" s="1697">
        <f t="shared" si="23"/>
        <v>0</v>
      </c>
      <c r="I303" s="1697">
        <f t="shared" si="23"/>
        <v>0</v>
      </c>
      <c r="J303" s="1697">
        <f t="shared" si="23"/>
        <v>0</v>
      </c>
      <c r="K303" s="1697">
        <f t="shared" si="23"/>
        <v>1228450</v>
      </c>
      <c r="L303" s="1697">
        <f t="shared" si="23"/>
        <v>1600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91" t="s">
        <v>295</v>
      </c>
      <c r="B312" s="2192"/>
      <c r="C312" s="1690">
        <f>SUM(C303)</f>
        <v>0</v>
      </c>
      <c r="D312" s="1690">
        <f>SUM(D303)</f>
        <v>0</v>
      </c>
      <c r="E312" s="1690">
        <f>SUM(E303,E310)</f>
        <v>0</v>
      </c>
      <c r="F312" s="1690">
        <f>SUM(F303)</f>
        <v>0</v>
      </c>
      <c r="G312" s="1690">
        <f>SUM(G303)</f>
        <v>1228450</v>
      </c>
      <c r="H312" s="1690">
        <f>SUM(H303,H310)</f>
        <v>0</v>
      </c>
      <c r="I312" s="1690">
        <f>SUM(I303)</f>
        <v>0</v>
      </c>
      <c r="J312" s="1690">
        <f>SUM(J303)</f>
        <v>0</v>
      </c>
      <c r="K312" s="1690">
        <f>SUM(K303,K310,K311)</f>
        <v>1228450</v>
      </c>
      <c r="L312" s="1690">
        <f>SUM(L303,L310,L311)</f>
        <v>1600</v>
      </c>
      <c r="M312" s="664"/>
      <c r="N312" s="664"/>
    </row>
    <row r="313" spans="1:14" ht="13.5" thickTop="1" x14ac:dyDescent="0.2">
      <c r="A313" s="2187" t="s">
        <v>1053</v>
      </c>
      <c r="B313" s="2188"/>
      <c r="C313" s="625"/>
      <c r="D313" s="625"/>
      <c r="E313" s="625"/>
      <c r="F313" s="625"/>
      <c r="G313" s="625"/>
      <c r="H313" s="625"/>
      <c r="I313" s="625"/>
      <c r="J313" s="625"/>
      <c r="K313" s="1705">
        <f>'Revenues 9-14'!H275-'Expenditures 15-22'!K312</f>
        <v>-910979</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00" t="s">
        <v>151</v>
      </c>
      <c r="B315" s="2201"/>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2" t="s">
        <v>954</v>
      </c>
      <c r="B317" s="2201"/>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0</v>
      </c>
      <c r="F320" s="467">
        <v>0</v>
      </c>
      <c r="G320" s="467">
        <v>0</v>
      </c>
      <c r="H320" s="467">
        <v>0</v>
      </c>
      <c r="I320" s="467">
        <v>0</v>
      </c>
      <c r="J320" s="467">
        <v>0</v>
      </c>
      <c r="K320" s="1691">
        <f t="shared" ref="K320:K327" si="24">SUM(C320:J320)</f>
        <v>0</v>
      </c>
      <c r="L320" s="467">
        <v>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0</v>
      </c>
      <c r="F322" s="467">
        <v>0</v>
      </c>
      <c r="G322" s="467">
        <v>0</v>
      </c>
      <c r="H322" s="467">
        <v>0</v>
      </c>
      <c r="I322" s="467">
        <v>0</v>
      </c>
      <c r="J322" s="467">
        <v>0</v>
      </c>
      <c r="K322" s="1691">
        <f t="shared" si="24"/>
        <v>0</v>
      </c>
      <c r="L322" s="467">
        <v>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0</v>
      </c>
      <c r="F330" s="1690">
        <f t="shared" si="25"/>
        <v>0</v>
      </c>
      <c r="G330" s="1690">
        <f t="shared" si="25"/>
        <v>0</v>
      </c>
      <c r="H330" s="1690">
        <f t="shared" si="25"/>
        <v>0</v>
      </c>
      <c r="I330" s="1690">
        <f t="shared" si="25"/>
        <v>0</v>
      </c>
      <c r="J330" s="1690">
        <f t="shared" si="25"/>
        <v>0</v>
      </c>
      <c r="K330" s="1690">
        <f>SUM(K319:K329)</f>
        <v>0</v>
      </c>
      <c r="L330" s="1690">
        <f>SUM(L319:L329)</f>
        <v>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0</v>
      </c>
      <c r="F342" s="1690">
        <f>SUM(F330)</f>
        <v>0</v>
      </c>
      <c r="G342" s="1690">
        <f>SUM(G330)</f>
        <v>0</v>
      </c>
      <c r="H342" s="1690">
        <f>SUM(H330,H334,H340)</f>
        <v>0</v>
      </c>
      <c r="I342" s="1690">
        <f>SUM(I330)</f>
        <v>0</v>
      </c>
      <c r="J342" s="1690">
        <f>SUM(J330)</f>
        <v>0</v>
      </c>
      <c r="K342" s="1690">
        <f>SUM(K330,K334,K340)</f>
        <v>0</v>
      </c>
      <c r="L342" s="1697">
        <f>SUM(L330,L340,L341)</f>
        <v>0</v>
      </c>
    </row>
    <row r="343" spans="1:14" ht="12.75" customHeight="1" thickTop="1" x14ac:dyDescent="0.2">
      <c r="A343" s="2189" t="s">
        <v>1053</v>
      </c>
      <c r="B343" s="2190"/>
      <c r="C343" s="615"/>
      <c r="D343" s="615"/>
      <c r="E343" s="615"/>
      <c r="F343" s="615"/>
      <c r="G343" s="615"/>
      <c r="H343" s="615"/>
      <c r="I343" s="615"/>
      <c r="J343" s="615"/>
      <c r="K343" s="1704">
        <f>'Revenues 9-14'!J275-'Expenditures 15-22'!K342</f>
        <v>28643</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9" t="s">
        <v>1023</v>
      </c>
      <c r="B345" s="2180"/>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176" t="s">
        <v>1053</v>
      </c>
      <c r="B368" s="2177"/>
      <c r="C368" s="653"/>
      <c r="D368" s="653"/>
      <c r="E368" s="625"/>
      <c r="F368" s="625"/>
      <c r="G368" s="625"/>
      <c r="H368" s="625"/>
      <c r="I368" s="625"/>
      <c r="J368" s="622"/>
      <c r="K368" s="1691">
        <f>'Revenues 9-14'!K275-'Expenditures 15-22'!K367</f>
        <v>28652</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office/2006/metadata/properties"/>
    <ds:schemaRef ds:uri="http://schemas.openxmlformats.org/package/2006/metadata/core-properties"/>
    <ds:schemaRef ds:uri="http://schemas.microsoft.com/office/infopath/2007/PartnerControls"/>
    <ds:schemaRef ds:uri="http://www.w3.org/XML/1998/namespace"/>
    <ds:schemaRef ds:uri="http://purl.org/dc/terms/"/>
    <ds:schemaRef ds:uri="4d435f69-8686-490b-bd6d-b153bf22ab50"/>
    <ds:schemaRef ds:uri="d21dc803-237d-4c68-8692-8d731fd29118"/>
    <ds:schemaRef ds:uri="http://schemas.microsoft.com/office/2006/documentManagement/types"/>
    <ds:schemaRef ds:uri="6ce3111e-7420-4802-b50a-75d4e9a0b980"/>
    <ds:schemaRef ds:uri="http://schemas.microsoft.com/sharepoint/v3"/>
    <ds:schemaRef ds:uri="http://purl.org/dc/dcmitype/"/>
    <ds:schemaRef ds:uri="http://purl.org/dc/elements/1.1/"/>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2018-001</vt:lpstr>
      <vt:lpstr>2018-002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2018-10-12T14:21:49Z</cp:lastPrinted>
  <dcterms:created xsi:type="dcterms:W3CDTF">2003-10-29T19:06:34Z</dcterms:created>
  <dcterms:modified xsi:type="dcterms:W3CDTF">2018-10-29T19:56:11Z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