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firstSheet="11" activeTab="1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9" i="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F33" i="181"/>
  <c r="G33" i="181" s="1"/>
  <c r="E33" i="181"/>
  <c r="F32" i="181"/>
  <c r="G32" i="181" s="1"/>
  <c r="E32" i="181"/>
  <c r="F31" i="181"/>
  <c r="G31" i="181" s="1"/>
  <c r="E31" i="181"/>
  <c r="F30" i="181"/>
  <c r="G30" i="181" s="1"/>
  <c r="E30" i="181"/>
  <c r="F29" i="181"/>
  <c r="G29" i="181" s="1"/>
  <c r="E29" i="181"/>
  <c r="E28" i="181"/>
  <c r="F28" i="181" s="1"/>
  <c r="G28" i="181" s="1"/>
  <c r="F27" i="181"/>
  <c r="G27" i="181" s="1"/>
  <c r="E27" i="181"/>
  <c r="F26" i="181"/>
  <c r="G26" i="181" s="1"/>
  <c r="E26" i="181"/>
  <c r="F25" i="181"/>
  <c r="G25" i="181" s="1"/>
  <c r="E25" i="181"/>
  <c r="F24" i="181"/>
  <c r="G24" i="181" s="1"/>
  <c r="E24" i="181"/>
  <c r="E23" i="181"/>
  <c r="F23" i="181" s="1"/>
  <c r="G23" i="181" s="1"/>
  <c r="F22" i="181"/>
  <c r="G22" i="181" s="1"/>
  <c r="E22" i="181"/>
  <c r="F21" i="181"/>
  <c r="G21" i="181" s="1"/>
  <c r="E21" i="181"/>
  <c r="F20" i="181"/>
  <c r="G20" i="181" s="1"/>
  <c r="E20" i="181"/>
  <c r="F19" i="181"/>
  <c r="G19" i="181" s="1"/>
  <c r="E19" i="181"/>
  <c r="F36" i="181"/>
  <c r="G36" i="181" s="1"/>
  <c r="E36" i="181"/>
  <c r="F18" i="181"/>
  <c r="G18" i="181" s="1"/>
  <c r="E18" i="181"/>
  <c r="D37" i="181" l="1"/>
  <c r="D80" i="36" l="1"/>
  <c r="B7797" i="106"/>
  <c r="E37" i="181"/>
  <c r="E17" i="181"/>
  <c r="E16" i="181"/>
  <c r="F16" i="181" s="1"/>
  <c r="G16" i="181" s="1"/>
  <c r="F17" i="181" l="1"/>
  <c r="G17" i="181" s="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B4411" i="106" s="1"/>
  <c r="D4411" i="106" s="1"/>
  <c r="C224" i="5"/>
  <c r="C228" i="5"/>
  <c r="C259" i="5"/>
  <c r="B7761" i="106"/>
  <c r="L127" i="29"/>
  <c r="L129" i="29" s="1"/>
  <c r="L139" i="29"/>
  <c r="L149" i="29"/>
  <c r="I7" i="145"/>
  <c r="I6" i="145"/>
  <c r="D78" i="36"/>
  <c r="K75" i="29"/>
  <c r="K130" i="29"/>
  <c r="K185" i="29"/>
  <c r="K122" i="29"/>
  <c r="F15" i="145" s="1"/>
  <c r="F19" i="145" s="1"/>
  <c r="K67" i="29"/>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c r="B6304" i="106"/>
  <c r="D6304" i="106"/>
  <c r="B6305" i="106"/>
  <c r="D6305" i="106" s="1"/>
  <c r="B6307" i="106"/>
  <c r="D6307" i="106"/>
  <c r="B6308" i="106"/>
  <c r="D6308" i="106"/>
  <c r="B6309" i="106"/>
  <c r="D6309" i="106"/>
  <c r="B6310" i="106"/>
  <c r="D6310" i="106" s="1"/>
  <c r="B6311" i="106"/>
  <c r="D6311" i="106"/>
  <c r="B6312" i="106"/>
  <c r="D6312" i="106"/>
  <c r="B6313" i="106"/>
  <c r="D6313" i="106"/>
  <c r="B6314" i="106"/>
  <c r="D6314" i="106" s="1"/>
  <c r="B6315" i="106"/>
  <c r="D6315" i="106"/>
  <c r="B6316" i="106"/>
  <c r="D6316" i="106"/>
  <c r="B6317" i="106"/>
  <c r="D6317" i="106"/>
  <c r="B6319" i="106"/>
  <c r="D6319" i="106" s="1"/>
  <c r="B6320" i="106"/>
  <c r="D6320" i="106"/>
  <c r="B6321" i="106"/>
  <c r="D6321" i="106"/>
  <c r="B6322" i="106"/>
  <c r="D6322" i="106"/>
  <c r="B6323" i="106"/>
  <c r="D6323" i="106" s="1"/>
  <c r="B6324" i="106"/>
  <c r="D6324" i="106"/>
  <c r="B6325" i="106"/>
  <c r="D6325" i="106"/>
  <c r="B6326" i="106"/>
  <c r="D6326" i="106"/>
  <c r="B6327" i="106"/>
  <c r="D6327" i="106" s="1"/>
  <c r="B6328" i="106"/>
  <c r="D6328" i="106"/>
  <c r="B6329" i="106"/>
  <c r="D6329" i="106"/>
  <c r="B6330" i="106"/>
  <c r="D6330" i="106"/>
  <c r="B6331" i="106"/>
  <c r="D6331" i="106" s="1"/>
  <c r="B6332" i="106"/>
  <c r="D6332" i="106"/>
  <c r="B6333" i="106"/>
  <c r="D6333" i="106"/>
  <c r="B6334" i="106"/>
  <c r="D6334" i="106"/>
  <c r="B6335" i="106"/>
  <c r="D6335" i="106" s="1"/>
  <c r="B6336" i="106"/>
  <c r="D6336" i="106"/>
  <c r="B6337" i="106"/>
  <c r="D6337" i="106"/>
  <c r="B6338" i="106"/>
  <c r="D6338" i="106"/>
  <c r="B6339" i="106"/>
  <c r="D6339" i="106" s="1"/>
  <c r="B6340" i="106"/>
  <c r="D6340" i="106"/>
  <c r="B6341" i="106"/>
  <c r="D6341" i="106"/>
  <c r="B6342" i="106"/>
  <c r="D6342" i="106"/>
  <c r="B6343" i="106"/>
  <c r="D6343" i="106" s="1"/>
  <c r="B6344" i="106"/>
  <c r="D6344" i="106"/>
  <c r="B6345" i="106"/>
  <c r="D6345" i="106"/>
  <c r="B6346" i="106"/>
  <c r="D6346" i="106"/>
  <c r="B6347" i="106"/>
  <c r="D6347" i="106" s="1"/>
  <c r="B6348" i="106"/>
  <c r="D6348" i="106"/>
  <c r="B6349" i="106"/>
  <c r="D6349" i="106"/>
  <c r="B6350" i="106"/>
  <c r="D6350" i="106"/>
  <c r="B6353" i="106"/>
  <c r="D6353" i="106" s="1"/>
  <c r="B6354" i="106"/>
  <c r="D6354" i="106"/>
  <c r="B6355" i="106"/>
  <c r="D6355" i="106"/>
  <c r="B6356" i="106"/>
  <c r="D6356" i="106"/>
  <c r="B6358" i="106"/>
  <c r="D6358" i="106" s="1"/>
  <c r="B6359" i="106"/>
  <c r="D6359" i="106"/>
  <c r="B6360" i="106"/>
  <c r="D6360" i="106"/>
  <c r="B6361" i="106"/>
  <c r="D6361" i="106"/>
  <c r="B6362" i="106"/>
  <c r="D6362" i="106" s="1"/>
  <c r="B6363" i="106"/>
  <c r="D6363" i="106"/>
  <c r="B6364" i="106"/>
  <c r="D6364" i="106"/>
  <c r="B6365" i="106"/>
  <c r="D6365" i="106"/>
  <c r="B6366" i="106"/>
  <c r="D6366" i="106" s="1"/>
  <c r="B6367" i="106"/>
  <c r="D6367" i="106"/>
  <c r="B6368" i="106"/>
  <c r="D6368" i="106"/>
  <c r="B6369" i="106"/>
  <c r="D6369" i="106"/>
  <c r="B6370" i="106"/>
  <c r="D6370" i="106" s="1"/>
  <c r="B6371" i="106"/>
  <c r="D6371" i="106"/>
  <c r="B6372" i="106"/>
  <c r="D6372" i="106"/>
  <c r="B6373" i="106"/>
  <c r="D6373" i="106"/>
  <c r="B6374" i="106"/>
  <c r="D6374" i="106" s="1"/>
  <c r="B6375" i="106"/>
  <c r="D6375" i="106"/>
  <c r="B6376" i="106"/>
  <c r="D6376" i="106"/>
  <c r="B6377" i="106"/>
  <c r="D6377" i="106"/>
  <c r="B6378" i="106"/>
  <c r="D6378" i="106" s="1"/>
  <c r="B6379" i="106"/>
  <c r="D6379" i="106"/>
  <c r="B6380" i="106"/>
  <c r="D6380" i="106"/>
  <c r="B6381" i="106"/>
  <c r="D6381" i="106"/>
  <c r="B6382" i="106"/>
  <c r="D6382" i="106" s="1"/>
  <c r="B6383" i="106"/>
  <c r="D6383" i="106"/>
  <c r="B6384" i="106"/>
  <c r="D6384" i="106"/>
  <c r="B6385" i="106"/>
  <c r="D6385" i="106"/>
  <c r="B6386" i="106"/>
  <c r="D6386" i="106" s="1"/>
  <c r="B6387" i="106"/>
  <c r="D6387" i="106"/>
  <c r="B6388" i="106"/>
  <c r="D6388" i="106"/>
  <c r="B6389" i="106"/>
  <c r="D6389" i="106"/>
  <c r="B6390" i="106"/>
  <c r="D6390" i="106" s="1"/>
  <c r="B6391" i="106"/>
  <c r="D6391" i="106"/>
  <c r="B6392" i="106"/>
  <c r="D6392" i="106"/>
  <c r="B6393" i="106"/>
  <c r="D6393" i="106"/>
  <c r="B6394" i="106"/>
  <c r="D6394" i="106" s="1"/>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5" i="127"/>
  <c r="B66" i="127"/>
  <c r="D26" i="108"/>
  <c r="E26" i="108"/>
  <c r="F26" i="108"/>
  <c r="G26" i="108"/>
  <c r="D27"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E4" i="4"/>
  <c r="B2630" i="106" s="1"/>
  <c r="D2630"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1" i="34"/>
  <c r="F127" i="34"/>
  <c r="B5847" i="106"/>
  <c r="D5847" i="106" s="1"/>
  <c r="B5752" i="106"/>
  <c r="D5752" i="106" s="1"/>
  <c r="B5599" i="106"/>
  <c r="D5599" i="106" s="1"/>
  <c r="K274" i="5"/>
  <c r="H173" i="5"/>
  <c r="B5906" i="106" s="1"/>
  <c r="D5906"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B3649" i="106" l="1"/>
  <c r="D3649" i="106" s="1"/>
  <c r="G367" i="29"/>
  <c r="C172" i="5"/>
  <c r="B5214" i="106" s="1"/>
  <c r="D5214" i="106" s="1"/>
  <c r="F130" i="34"/>
  <c r="F21" i="8"/>
  <c r="B1329" i="106"/>
  <c r="D1329" i="106" s="1"/>
  <c r="F61" i="34"/>
  <c r="B7041" i="106"/>
  <c r="D7041" i="106" s="1"/>
  <c r="K173" i="5"/>
  <c r="K6" i="4" s="1"/>
  <c r="B3570" i="106" s="1"/>
  <c r="D3570" i="106" s="1"/>
  <c r="F136" i="34"/>
  <c r="I173" i="5"/>
  <c r="B4216" i="106" s="1"/>
  <c r="D4216" i="106" s="1"/>
  <c r="B7235" i="106"/>
  <c r="D7235" i="106" s="1"/>
  <c r="G210" i="29"/>
  <c r="F77" i="4"/>
  <c r="B3255" i="106" s="1"/>
  <c r="D3255" i="106" s="1"/>
  <c r="G15" i="145"/>
  <c r="H4" i="4"/>
  <c r="B2655" i="106" s="1"/>
  <c r="D2655" i="106" s="1"/>
  <c r="K350" i="29"/>
  <c r="B3621" i="106"/>
  <c r="D3621" i="106" s="1"/>
  <c r="C367" i="29"/>
  <c r="D5" i="4"/>
  <c r="B3406" i="106" s="1"/>
  <c r="D3406" i="106" s="1"/>
  <c r="H342" i="29"/>
  <c r="J41" i="3"/>
  <c r="K76" i="4"/>
  <c r="B3586" i="106" s="1"/>
  <c r="D3586" i="106" s="1"/>
  <c r="L342" i="29"/>
  <c r="D54" i="36"/>
  <c r="F19" i="7"/>
  <c r="B1807" i="106" s="1"/>
  <c r="D1807" i="106" s="1"/>
  <c r="B6995" i="106"/>
  <c r="D6995" i="106" s="1"/>
  <c r="C173" i="5"/>
  <c r="B5223" i="106" s="1"/>
  <c r="D5223" i="106" s="1"/>
  <c r="C109" i="5"/>
  <c r="B5121" i="106" s="1"/>
  <c r="D5121" i="106" s="1"/>
  <c r="D4" i="7"/>
  <c r="B1760" i="106" s="1"/>
  <c r="D1760" i="106" s="1"/>
  <c r="C129" i="29"/>
  <c r="B1225" i="106" s="1"/>
  <c r="D1225" i="106" s="1"/>
  <c r="F28" i="108"/>
  <c r="F41" i="108" s="1"/>
  <c r="G43" i="108" s="1"/>
  <c r="E28" i="108"/>
  <c r="D109" i="5"/>
  <c r="E29" i="108"/>
  <c r="G29" i="108"/>
  <c r="K184" i="29"/>
  <c r="F13" i="4" s="1"/>
  <c r="B2596" i="106" s="1"/>
  <c r="D2596" i="106" s="1"/>
  <c r="F111" i="34"/>
  <c r="B1410" i="106"/>
  <c r="D1410" i="106" s="1"/>
  <c r="G109" i="5"/>
  <c r="C342" i="29"/>
  <c r="B7216" i="106" s="1"/>
  <c r="D7216" i="106" s="1"/>
  <c r="H29" i="118"/>
  <c r="K28" i="118" s="1"/>
  <c r="O27" i="118" s="1"/>
  <c r="O29" i="118" s="1"/>
  <c r="B4268" i="106"/>
  <c r="D4268" i="106" s="1"/>
  <c r="D31"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H367" i="29" l="1"/>
  <c r="B3660" i="106" s="1"/>
  <c r="D3660" i="106" s="1"/>
  <c r="B1365" i="106"/>
  <c r="D1365" i="106" s="1"/>
  <c r="F65" i="34"/>
  <c r="B1879" i="106"/>
  <c r="D1879" i="106" s="1"/>
  <c r="H22" i="37"/>
  <c r="F274" i="5"/>
  <c r="F275" i="5" s="1"/>
  <c r="B3670" i="106"/>
  <c r="D3670" i="106" s="1"/>
  <c r="K352" i="29"/>
  <c r="K367" i="29" s="1"/>
  <c r="L16" i="11"/>
  <c r="B2061" i="106" s="1"/>
  <c r="D2061" i="106" s="1"/>
  <c r="C114" i="29"/>
  <c r="B757" i="106" s="1"/>
  <c r="D757" i="106" s="1"/>
  <c r="C6" i="4"/>
  <c r="B2553" i="106" s="1"/>
  <c r="D2553" i="106" s="1"/>
  <c r="C4" i="4"/>
  <c r="B2551" i="106" s="1"/>
  <c r="D2551" i="106" s="1"/>
  <c r="B5356" i="106"/>
  <c r="D5356" i="106" s="1"/>
  <c r="D4" i="4"/>
  <c r="B2564" i="106" s="1"/>
  <c r="D2564" i="106" s="1"/>
  <c r="B1381" i="106"/>
  <c r="D1381" i="106" s="1"/>
  <c r="B5653" i="106"/>
  <c r="D5653" i="106" s="1"/>
  <c r="B6024" i="106"/>
  <c r="D6024" i="106" s="1"/>
  <c r="G4" i="4"/>
  <c r="B2603" i="106" s="1"/>
  <c r="D2603" i="106" s="1"/>
  <c r="D19" i="7"/>
  <c r="B1775" i="106" s="1"/>
  <c r="D1775"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F8" i="4"/>
  <c r="F10" i="4" s="1"/>
  <c r="B4125" i="106" s="1"/>
  <c r="D4125" i="106" s="1"/>
  <c r="E41" i="108"/>
  <c r="E44" i="108" s="1"/>
  <c r="E45" i="108" s="1"/>
  <c r="G41" i="108"/>
  <c r="G44" i="108" s="1"/>
  <c r="G45" i="108" s="1"/>
  <c r="J17" i="4"/>
  <c r="J19" i="4" s="1"/>
  <c r="B6229" i="106" s="1"/>
  <c r="D622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595" i="106"/>
  <c r="D259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<sst xmlns="http://schemas.openxmlformats.org/spreadsheetml/2006/main" count="5040" uniqueCount="2112">
  <si>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</si>
  <si>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</si>
  <si>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</si>
  <si>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</si>
  <si>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</si>
  <si>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</si>
  <si>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</si>
  <si>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</si>
  <si>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</si>
  <si>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</si>
  <si>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</si>
  <si>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</si>
  <si>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</si>
  <si>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</si>
  <si>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</si>
  <si>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</si>
  <si>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</si>
  <si>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</si>
  <si>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</si>
  <si>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</si>
  <si>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</si>
  <si>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</si>
  <si>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</si>
  <si>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</si>
  <si>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</si>
  <si>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</si>
  <si>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</si>
  <si>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</si>
  <si>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</si>
  <si>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</si>
  <si>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</si>
  <si>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</si>
  <si>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</si>
  <si>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</si>
  <si>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</si>
  <si>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</si>
  <si>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</si>
  <si>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</si>
  <si>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</si>
  <si>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</si>
  <si>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</si>
  <si>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</si>
  <si>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</si>
  <si>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</si>
  <si>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</si>
  <si>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</si>
  <si>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</si>
  <si>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</si>
  <si>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</si>
  <si>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</si>
  <si>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</si>
  <si>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</si>
  <si>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</si>
  <si>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</si>
  <si>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</si>
  <si>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</si>
  <si>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</si>
  <si>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</si>
  <si>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</si>
  <si>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</si>
  <si>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</si>
  <si>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</si>
  <si>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</si>
  <si>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</si>
  <si>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</si>
  <si>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</si>
  <si>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</si>
  <si>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</si>
  <si>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</si>
  <si>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</si>
  <si>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</si>
  <si>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</si>
  <si>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</si>
  <si>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</si>
  <si>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</si>
  <si>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</si>
  <si>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</si>
  <si>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</si>
  <si>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</si>
  <si>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</si>
  <si>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</si>
  <si>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</si>
  <si>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</si>
  <si>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</si>
  <si>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</si>
  <si>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</si>
  <si>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</si>
  <si>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</si>
  <si>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</si>
  <si>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</si>
  <si>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</si>
  <si>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</si>
  <si>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</si>
  <si>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</si>
  <si>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</si>
  <si>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</si>
  <si>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</si>
  <si>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</si>
  <si>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</si>
  <si>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</si>
  <si>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</si>
  <si>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</si>
  <si>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</si>
  <si>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</si>
  <si>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</si>
  <si>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</si>
  <si>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</si>
  <si>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</si>
  <si>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</si>
  <si>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</si>
  <si>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</si>
  <si>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</si>
  <si>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</si>
  <si>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</si>
  <si>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</si>
  <si>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</si>
  <si>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</si>
  <si>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</si>
  <si>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</si>
  <si>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</si>
  <si>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</si>
  <si>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</si>
  <si>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</si>
  <si>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</si>
  <si>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</si>
  <si>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</si>
  <si>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</si>
  <si>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</si>
  <si>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</si>
  <si>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</si>
  <si>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</si>
  <si>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</si>
  <si>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</si>
  <si>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</si>
  <si>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</si>
  <si>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</si>
  <si>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</si>
  <si>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</si>
  <si>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</si>
  <si>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</si>
  <si>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</si>
  <si>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</si>
  <si>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</si>
  <si>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</si>
  <si>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</si>
  <si>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</si>
  <si>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</si>
  <si>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</si>
  <si>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</si>
  <si>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</si>
  <si>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</si>
  <si>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</si>
  <si>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</si>
  <si>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</si>
  <si>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</si>
  <si>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</si>
  <si>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</si>
  <si>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</si>
  <si>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</si>
  <si>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</si>
  <si>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</si>
  <si>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</si>
  <si>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</si>
  <si>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</si>
  <si>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</si>
  <si>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</si>
  <si>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</si>
  <si>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</si>
  <si>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</si>
  <si>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</si>
  <si>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</si>
  <si>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</si>
  <si>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</si>
  <si>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</si>
  <si>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</si>
  <si>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</si>
  <si>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</si>
  <si>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</si>
  <si>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</si>
  <si>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</si>
  <si>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</si>
  <si>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</si>
  <si>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</si>
  <si>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</si>
  <si>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</si>
  <si>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</si>
  <si>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</si>
  <si>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</si>
  <si>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</si>
  <si>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</si>
  <si>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</si>
  <si>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</si>
  <si>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</si>
  <si>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</si>
  <si>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</si>
  <si>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</si>
  <si>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</si>
  <si>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</si>
  <si>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</si>
  <si>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</si>
  <si>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</si>
  <si>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</si>
  <si>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</si>
  <si>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</si>
  <si>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</si>
  <si>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</si>
  <si>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</si>
  <si>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</si>
  <si>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</si>
  <si>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</si>
  <si>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</si>
  <si>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</si>
  <si>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</si>
  <si>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</si>
  <si>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</si>
  <si>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</si>
  <si>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</si>
  <si>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</si>
  <si>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</si>
  <si>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</si>
  <si>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</si>
  <si>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</si>
  <si>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</si>
  <si>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</si>
  <si>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</si>
  <si>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</si>
  <si>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</si>
  <si>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</si>
  <si>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</si>
  <si>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</si>
  <si>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</si>
  <si>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</si>
  <si>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</si>
  <si>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</si>
  <si>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</si>
  <si>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</si>
  <si>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</si>
  <si>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</si>
  <si>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</si>
  <si>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</si>
  <si>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</si>
  <si>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</si>
  <si>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</si>
  <si>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</si>
  <si>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</si>
  <si>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</si>
  <si>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</si>
  <si>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</si>
  <si>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</si>
  <si>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</si>
  <si>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</si>
  <si>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</si>
  <si>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</si>
  <si>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</si>
  <si>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</si>
  <si>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</si>
  <si>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</si>
  <si>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</si>
  <si>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</si>
  <si>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</si>
  <si>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</si>
  <si>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</si>
  <si>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</si>
  <si>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</si>
  <si>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</si>
  <si>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</si>
  <si>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</si>
  <si>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</si>
  <si>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</si>
  <si>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</si>
  <si>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</si>
  <si>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</si>
  <si>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</si>
  <si>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</si>
  <si>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</si>
  <si>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</si>
  <si>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</si>
  <si>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</si>
  <si>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</si>
  <si>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</si>
  <si>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</si>
  <si>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</si>
  <si>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</si>
  <si>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</si>
  <si>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</si>
  <si>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</si>
  <si>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</si>
  <si>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</si>
  <si>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</si>
  <si>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</si>
  <si>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</si>
  <si>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</si>
  <si>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</si>
  <si>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</si>
  <si>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</si>
  <si>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</si>
  <si>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</si>
  <si>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</si>
  <si>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</si>
  <si>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</si>
  <si>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</si>
  <si>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</si>
  <si>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</si>
  <si>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</si>
  <si>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</si>
  <si>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</si>
  <si>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</si>
  <si>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</si>
  <si>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</si>
  <si>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</si>
  <si>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</si>
  <si>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</si>
  <si>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</si>
  <si>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</si>
  <si>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</si>
  <si>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</si>
  <si>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</si>
  <si>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</si>
  <si>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</si>
  <si>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</si>
  <si>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</si>
  <si>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</si>
  <si>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</si>
  <si>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</si>
  <si>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</si>
  <si>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</si>
  <si>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</si>
  <si>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</si>
  <si>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</si>
  <si>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</si>
  <si>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</si>
  <si>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</si>
  <si>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</si>
  <si>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</si>
  <si>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</si>
  <si>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</si>
  <si>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</si>
  <si>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</si>
  <si>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</si>
  <si>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</si>
  <si>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</si>
  <si>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</si>
  <si>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</si>
  <si>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</si>
  <si>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</si>
  <si>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</si>
  <si>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</si>
  <si>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</si>
  <si>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</si>
  <si>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</si>
  <si>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</si>
  <si>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</si>
  <si>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</si>
  <si>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</si>
  <si>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</si>
  <si>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</si>
  <si>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</si>
  <si>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</si>
  <si>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</si>
  <si>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</si>
  <si>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</si>
  <si>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</si>
  <si>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</si>
  <si>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</si>
  <si>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</si>
  <si>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</si>
  <si>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</si>
  <si>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</si>
  <si>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</si>
  <si>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</si>
  <si>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</si>
  <si>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</si>
  <si>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</si>
  <si>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</si>
  <si>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</si>
  <si>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</si>
  <si>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</si>
  <si>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</si>
  <si>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</si>
  <si>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</si>
  <si>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</si>
  <si>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</si>
  <si>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</si>
  <si>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</si>
  <si>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</si>
  <si>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</si>
  <si>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</si>
  <si>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</si>
  <si>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</si>
  <si>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</si>
  <si>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</si>
  <si>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</si>
  <si>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</si>
  <si>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</si>
  <si>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</si>
  <si>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</si>
  <si>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</si>
  <si>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</si>
  <si>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</si>
  <si>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</si>
  <si>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</si>
  <si>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</si>
  <si>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</si>
  <si>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</si>
  <si>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</si>
  <si>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</si>
  <si>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</si>
  <si>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</si>
  <si>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</si>
  <si>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</si>
  <si>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</si>
  <si>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</si>
  <si>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</si>
  <si>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</si>
  <si>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</si>
  <si>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</si>
  <si>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</si>
  <si>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</si>
  <si>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</si>
  <si>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</si>
  <si>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</si>
  <si>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</si>
  <si>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</si>
  <si>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</si>
  <si>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</si>
  <si>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</si>
  <si>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</si>
  <si>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</si>
  <si>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</si>
  <si>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</si>
  <si>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</si>
  <si>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</si>
  <si>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</si>
  <si>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</si>
  <si>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</si>
  <si>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</si>
  <si>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</si>
  <si>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</si>
  <si>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</si>
  <si>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</si>
  <si>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</si>
  <si>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</si>
  <si>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</si>
  <si>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</si>
  <si>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</si>
  <si>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</si>
  <si>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</si>
  <si>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</si>
  <si>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</si>
  <si>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</si>
  <si>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</si>
  <si>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</si>
  <si>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</si>
  <si>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</si>
  <si>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</si>
  <si>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</si>
  <si>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</si>
  <si>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</si>
  <si>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</si>
  <si>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</si>
  <si>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</si>
  <si>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</si>
  <si>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</si>
  <si>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</si>
  <si>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</si>
  <si>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</si>
  <si>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</si>
  <si>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</si>
  <si>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</si>
  <si>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</si>
  <si>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</si>
  <si>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</si>
  <si>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</si>
  <si>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</si>
  <si>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</si>
  <si>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</si>
  <si>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</si>
  <si>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</si>
  <si>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</si>
  <si>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</si>
  <si>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</si>
  <si>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</si>
  <si>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</si>
  <si>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</si>
  <si>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</si>
  <si>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</si>
  <si>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</si>
  <si>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</si>
  <si>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</si>
  <si>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</si>
  <si>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</si>
  <si>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</si>
  <si>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</si>
  <si>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</si>
  <si>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</si>
  <si>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</si>
  <si>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</si>
  <si>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</si>
  <si>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</si>
  <si>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</si>
  <si>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</si>
  <si>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</si>
  <si>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</si>
  <si>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</si>
  <si>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</si>
  <si>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</si>
  <si>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</si>
  <si>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</si>
  <si>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</si>
  <si>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</si>
  <si>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</si>
  <si>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</si>
  <si>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</si>
  <si>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</si>
  <si>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</si>
  <si>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</si>
  <si>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</si>
  <si>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</si>
  <si>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</si>
  <si>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</si>
  <si>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</si>
  <si>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</si>
  <si>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</si>
  <si>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</si>
  <si>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</si>
  <si>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</si>
  <si>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</si>
  <si>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</si>
  <si>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</si>
  <si>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</si>
  <si>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</si>
  <si>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</si>
  <si>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</si>
  <si>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</si>
  <si>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</si>
  <si>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</si>
  <si>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</si>
  <si>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</si>
  <si>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</si>
  <si>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</si>
  <si>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</si>
  <si>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</si>
  <si>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</si>
  <si>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</si>
  <si>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</si>
  <si>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</si>
  <si>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</si>
  <si>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</si>
  <si>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</si>
  <si>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</si>
  <si>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</si>
  <si>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</si>
  <si>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</si>
  <si>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</si>
  <si>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</si>
  <si>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</si>
  <si>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</si>
  <si>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</si>
  <si>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</si>
  <si>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</si>
  <si>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</si>
  <si>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</si>
  <si>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</si>
  <si>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</si>
  <si>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</si>
  <si>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</si>
  <si>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</si>
  <si>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</si>
  <si>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</si>
  <si>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</si>
  <si>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</si>
  <si>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</si>
  <si>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</si>
  <si>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</si>
  <si>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</si>
  <si>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</si>
  <si>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</si>
  <si>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</si>
  <si>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</si>
  <si>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</si>
  <si>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</si>
  <si>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</si>
  <si>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</si>
  <si>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</si>
  <si>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</si>
  <si>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</si>
  <si>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</si>
  <si>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</si>
  <si>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</si>
  <si>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</si>
  <si>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</si>
  <si>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</si>
  <si>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</si>
  <si>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</si>
  <si>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</si>
  <si>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</si>
  <si>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</si>
  <si>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</si>
  <si>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</si>
  <si>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</si>
  <si>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</si>
  <si>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</si>
  <si>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</si>
  <si>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</si>
  <si>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</si>
  <si>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</si>
  <si>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</si>
  <si>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</si>
  <si>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</si>
  <si>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</si>
  <si>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</si>
  <si>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</si>
  <si>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</si>
  <si>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</si>
  <si>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</si>
  <si>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</si>
  <si>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</si>
  <si>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</si>
  <si>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</si>
  <si>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</si>
  <si>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</si>
  <si>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</si>
  <si>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</si>
  <si>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</si>
  <si>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</si>
  <si>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</si>
  <si>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</si>
  <si>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</si>
  <si>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</si>
  <si>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</si>
  <si>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</si>
  <si>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</si>
  <si>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</si>
  <si>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</si>
  <si>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</si>
  <si>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</si>
  <si>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</si>
  <si>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</si>
  <si>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</si>
  <si>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</si>
  <si>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</si>
  <si>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</si>
  <si>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</si>
  <si>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</si>
  <si>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</si>
  <si>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</si>
  <si>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</si>
  <si>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</si>
  <si>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</si>
  <si>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</si>
  <si>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</si>
  <si>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</si>
  <si>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</si>
  <si>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</si>
  <si>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</si>
  <si>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</si>
  <si>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</si>
  <si>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</si>
  <si>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</si>
  <si>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</si>
  <si>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</si>
  <si>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</si>
  <si>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</si>
  <si>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</si>
  <si>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</si>
  <si>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</si>
  <si>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</si>
  <si>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</si>
  <si>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</si>
  <si>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</si>
  <si>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</si>
  <si>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</si>
  <si>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</si>
  <si>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</si>
  <si>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</si>
  <si>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</si>
  <si>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</si>
  <si>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</si>
  <si>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</si>
  <si>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</si>
  <si>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</si>
  <si>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</si>
  <si>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</si>
  <si>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</si>
  <si>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</si>
  <si>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</si>
  <si>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</si>
  <si>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</si>
  <si>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</si>
  <si>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</si>
  <si>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</si>
  <si>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</si>
  <si>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</si>
  <si>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</si>
  <si>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</si>
  <si>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</si>
  <si>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</si>
  <si>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</si>
  <si>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</si>
  <si>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</si>
  <si>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</si>
  <si>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</si>
  <si>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</si>
  <si>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</si>
  <si>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</si>
  <si>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</si>
  <si>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</si>
  <si>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</si>
  <si>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</si>
  <si>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</si>
  <si>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</si>
  <si>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</si>
  <si>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</si>
  <si>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</si>
  <si>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</si>
  <si>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</si>
  <si>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</si>
  <si>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</si>
  <si>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</si>
  <si>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</si>
  <si>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</si>
  <si>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</si>
  <si>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</si>
  <si>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</si>
  <si>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</si>
  <si>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</si>
  <si>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</si>
  <si>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</si>
  <si>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</si>
  <si>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</si>
  <si>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</si>
  <si>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</si>
  <si>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</si>
  <si>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</si>
  <si>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</si>
  <si>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</si>
  <si>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</si>
  <si>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</si>
  <si>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</si>
  <si>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</si>
  <si>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</si>
  <si>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</si>
  <si>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</si>
  <si>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</si>
  <si>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</si>
  <si>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</si>
  <si>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</si>
  <si>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</si>
  <si>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</si>
  <si>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</si>
  <si>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</si>
  <si>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</si>
  <si>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</si>
  <si>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</si>
  <si>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</si>
  <si>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</si>
  <si>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</si>
  <si>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</si>
  <si>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</si>
  <si>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</si>
  <si>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</si>
  <si>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</si>
  <si>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</si>
  <si>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</si>
  <si>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</si>
  <si>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</si>
  <si>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</si>
  <si>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</si>
  <si>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</si>
  <si>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</si>
  <si>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</si>
  <si>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</si>
  <si>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</si>
  <si>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</si>
  <si>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</si>
  <si>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</si>
  <si>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</si>
  <si>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</si>
  <si>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</si>
  <si>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</si>
  <si>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</si>
  <si>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</si>
  <si>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</si>
  <si>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</si>
  <si>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</si>
  <si>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</si>
  <si>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</si>
  <si>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</si>
  <si>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</si>
  <si>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</si>
  <si>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</si>
  <si>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</si>
  <si>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</si>
  <si>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</si>
  <si>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</si>
  <si>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</si>
  <si>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</si>
  <si>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</si>
  <si>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</si>
  <si>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</si>
  <si>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</si>
  <si>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</si>
  <si>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</si>
  <si>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</si>
  <si>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</si>
  <si>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</si>
  <si>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</si>
  <si>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</si>
  <si>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</si>
  <si>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</si>
  <si>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</si>
  <si>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</si>
  <si>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</si>
  <si>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</si>
  <si>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</si>
  <si>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</si>
  <si>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</si>
  <si>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</si>
  <si>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</si>
  <si>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</si>
  <si>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</si>
  <si>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</si>
  <si>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</si>
  <si>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</si>
  <si>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</si>
  <si>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</si>
  <si>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</si>
  <si>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</si>
  <si>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</si>
  <si>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</si>
  <si>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</si>
  <si>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</si>
  <si>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</si>
  <si>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</si>
  <si>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</si>
  <si>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</si>
  <si>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</si>
  <si>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</si>
  <si>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</si>
  <si>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</si>
  <si>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</si>
  <si>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</si>
  <si>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</si>
  <si>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</si>
  <si>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</si>
  <si>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</si>
  <si>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</si>
  <si>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</si>
  <si>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</si>
  <si>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</si>
  <si>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</si>
  <si>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</si>
  <si>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</si>
  <si>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</si>
  <si>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</si>
  <si>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</si>
  <si>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</si>
  <si>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</si>
  <si>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</si>
  <si>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</si>
  <si>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</si>
  <si>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</si>
  <si>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</si>
  <si>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</si>
  <si>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</si>
  <si>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</si>
  <si>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</si>
  <si>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</si>
  <si>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</si>
  <si>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</si>
  <si>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</si>
  <si>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</si>
  <si>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</si>
  <si>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</si>
  <si>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</si>
  <si>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</si>
  <si>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</si>
  <si>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</si>
  <si>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</si>
  <si>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</si>
  <si>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</si>
  <si>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</si>
  <si>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</si>
  <si>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</si>
  <si>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</si>
  <si>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</si>
  <si>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</si>
  <si>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</si>
  <si>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</si>
  <si>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</si>
  <si>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</si>
  <si>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</si>
  <si>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</si>
  <si>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</si>
  <si>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</si>
  <si>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</si>
  <si>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</si>
  <si>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</si>
  <si>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</si>
  <si>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</si>
  <si>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</si>
  <si>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</si>
  <si>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</si>
  <si>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</si>
  <si>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</si>
  <si>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</si>
  <si>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</si>
  <si>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</si>
  <si>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</si>
  <si>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</si>
  <si>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</si>
  <si>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</si>
  <si>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</si>
  <si>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</si>
  <si>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</si>
  <si>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</si>
  <si>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</si>
  <si>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</si>
  <si>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</si>
  <si>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</si>
  <si>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</si>
  <si>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</si>
  <si>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</si>
  <si>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</si>
  <si>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</si>
  <si>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</si>
  <si>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</si>
  <si>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</si>
  <si>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</si>
  <si>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</si>
  <si>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</si>
  <si>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</si>
  <si>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</si>
  <si>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</si>
  <si>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</si>
  <si>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</si>
  <si>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</si>
  <si>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</si>
  <si>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</si>
  <si>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</si>
  <si>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</si>
  <si>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</si>
  <si>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</si>
  <si>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</si>
  <si>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</si>
  <si>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</si>
  <si>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</si>
  <si>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</si>
  <si>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</si>
  <si>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</si>
  <si>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</si>
  <si>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</si>
  <si>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</si>
  <si>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</si>
  <si>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</si>
  <si>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</si>
  <si>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</si>
  <si>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</si>
  <si>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</si>
  <si>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</si>
  <si>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</si>
  <si>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</si>
  <si>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</si>
  <si>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</si>
  <si>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</si>
  <si>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</si>
  <si>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</si>
  <si>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</si>
  <si>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</si>
  <si>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</si>
  <si>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</si>
  <si>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</si>
  <si>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</si>
  <si>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</si>
  <si>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</si>
  <si>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</si>
  <si>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</si>
  <si>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</si>
  <si>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</si>
  <si>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</si>
  <si>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</si>
  <si>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</si>
  <si>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</si>
  <si>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</si>
  <si>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</si>
  <si>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</si>
  <si>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</si>
  <si>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</si>
  <si>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</si>
  <si>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</si>
  <si>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</si>
  <si>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</si>
  <si>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</si>
  <si>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</si>
  <si>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</si>
  <si>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</si>
  <si>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</si>
  <si>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</si>
  <si>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</si>
  <si>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</si>
  <si>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</si>
  <si>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</si>
  <si>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</si>
  <si>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</si>
  <si>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</si>
  <si>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</si>
  <si>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</si>
  <si>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</si>
  <si>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</si>
  <si>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</si>
  <si>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</si>
  <si>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</si>
  <si>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</si>
  <si>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</si>
  <si>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</si>
  <si>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</si>
  <si>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</si>
  <si>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</si>
  <si>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</si>
  <si>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</si>
  <si>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</si>
  <si>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</si>
  <si>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</si>
  <si>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</si>
  <si>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</si>
  <si>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</si>
  <si>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</si>
  <si>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</si>
  <si>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</si>
  <si>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</si>
  <si>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</si>
  <si>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</si>
  <si>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</si>
  <si>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</si>
  <si>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</si>
  <si>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</si>
  <si>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</si>
  <si>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</si>
  <si>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</si>
  <si>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</si>
  <si>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</si>
  <si>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</si>
  <si>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</si>
  <si>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</si>
  <si>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</si>
  <si>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</si>
  <si>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</si>
  <si>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</si>
  <si>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</si>
  <si>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</si>
  <si>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</si>
  <si>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</si>
  <si>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</si>
  <si>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</si>
  <si>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</si>
  <si>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</si>
  <si>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</si>
  <si>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</si>
  <si>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</si>
  <si>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</si>
  <si>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</si>
  <si>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</si>
  <si>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</si>
  <si>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</si>
  <si>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</si>
  <si>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</si>
  <si>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</si>
  <si>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</si>
  <si>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</si>
  <si>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</si>
  <si>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</si>
  <si>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</si>
  <si>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</si>
  <si>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</si>
  <si>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</si>
  <si>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</si>
  <si>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</si>
  <si>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</si>
  <si>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</si>
  <si>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</si>
  <si>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</si>
  <si>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</si>
  <si>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</si>
  <si>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</si>
  <si>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</si>
  <si>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</si>
  <si>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</si>
  <si>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</si>
  <si>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</si>
  <si>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</si>
  <si>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</si>
  <si>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</si>
  <si>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</si>
  <si>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</si>
  <si>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</si>
  <si>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</si>
  <si>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</si>
  <si>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</si>
  <si>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</si>
  <si>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</si>
  <si>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</si>
  <si>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</si>
  <si>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</si>
  <si>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</si>
  <si>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</si>
  <si>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</si>
  <si>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</si>
  <si>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</si>
  <si>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</si>
  <si>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</si>
  <si>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</si>
  <si>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</si>
  <si>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</si>
  <si>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</si>
  <si>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</si>
  <si>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</si>
  <si>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</si>
  <si>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</si>
  <si>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</si>
  <si>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</si>
  <si>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</si>
  <si>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</si>
  <si>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</si>
  <si>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</si>
  <si>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</si>
  <si>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</si>
  <si>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</si>
  <si>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</si>
  <si>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</si>
  <si>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</si>
  <si>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</si>
  <si>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</si>
  <si>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</si>
  <si>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</si>
  <si>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</si>
  <si>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</si>
  <si>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</si>
  <si>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</si>
  <si>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</si>
  <si>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</si>
  <si>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</si>
  <si>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</si>
  <si>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</si>
  <si>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</si>
  <si>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</si>
  <si>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</si>
  <si>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</si>
  <si>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</si>
  <si>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</si>
  <si>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</si>
  <si>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</si>
  <si>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</si>
  <si>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</si>
  <si>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</si>
  <si>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</si>
  <si>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</si>
  <si>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</si>
  <si>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</si>
  <si>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</si>
  <si>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</si>
  <si>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</si>
  <si>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</si>
  <si>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</si>
  <si>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</si>
  <si>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</si>
  <si>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</si>
  <si>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</si>
  <si>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</si>
  <si>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</si>
  <si>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</si>
  <si>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</si>
  <si>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</si>
  <si>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</si>
  <si>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</si>
  <si>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</si>
  <si>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</si>
  <si>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</si>
  <si>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</si>
  <si>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</si>
  <si>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</si>
  <si>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</si>
  <si>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</si>
  <si>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</si>
  <si>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</si>
  <si>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</si>
  <si>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</si>
  <si>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</si>
  <si>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</si>
  <si>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</si>
  <si>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</si>
  <si>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</si>
  <si>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</si>
  <si>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</si>
  <si>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</si>
  <si>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</si>
  <si>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</si>
  <si>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</si>
  <si>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</si>
  <si>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</si>
  <si>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</si>
  <si>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</si>
  <si>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</si>
  <si>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</si>
  <si>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</si>
  <si>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</si>
  <si>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</si>
  <si>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</si>
  <si>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</si>
  <si>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</si>
  <si>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</si>
  <si>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</si>
  <si>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</si>
  <si>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</si>
  <si>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</si>
  <si>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</si>
  <si>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</si>
  <si>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</si>
  <si>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</si>
  <si>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</si>
  <si>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</si>
  <si>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</si>
  <si>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</si>
  <si>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</si>
  <si>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</si>
  <si>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</si>
  <si>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</si>
  <si>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</si>
  <si>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</si>
  <si>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</si>
  <si>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</si>
  <si>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</si>
  <si>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</si>
  <si>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</si>
  <si>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</si>
  <si>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</si>
  <si>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</si>
  <si>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</si>
  <si>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</si>
  <si>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</si>
  <si>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</si>
  <si>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</si>
  <si>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</si>
  <si>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</si>
  <si>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</si>
  <si>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</si>
  <si>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</si>
  <si>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</si>
  <si>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</si>
  <si>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</si>
  <si>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</si>
  <si>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</si>
  <si>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</si>
  <si>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</si>
  <si>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</si>
  <si>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</si>
  <si>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</si>
  <si>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</si>
  <si>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</si>
  <si>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</si>
  <si>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</si>
  <si>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</si>
  <si>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</si>
  <si>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</si>
  <si>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</si>
  <si>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</si>
  <si>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</si>
  <si>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</si>
  <si>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</si>
  <si>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</si>
  <si>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</si>
  <si>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</si>
  <si>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</si>
  <si>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</si>
  <si>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</si>
  <si>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</si>
  <si>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</si>
  <si>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</si>
  <si>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</si>
  <si>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</si>
  <si>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</si>
  <si>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</si>
  <si>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</si>
  <si>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</si>
  <si>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</si>
  <si>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</si>
  <si>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</si>
  <si>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</si>
  <si>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</si>
  <si>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</si>
  <si>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</si>
  <si>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</si>
  <si>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</si>
  <si>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</si>
  <si>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</si>
  <si>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</si>
  <si>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</si>
  <si>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</si>
  <si>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</si>
  <si>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</si>
  <si>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</si>
  <si>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</si>
  <si>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</si>
  <si>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</si>
  <si>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</si>
  <si>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</si>
  <si>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</si>
  <si>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</si>
  <si>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</si>
  <si>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</si>
  <si>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</si>
  <si>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</si>
  <si>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</si>
  <si>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</si>
  <si>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</si>
  <si>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</si>
  <si>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</si>
  <si>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</si>
  <si>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</si>
  <si>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</si>
  <si>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</si>
  <si>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</si>
  <si>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</si>
  <si>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</si>
  <si>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</si>
  <si>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</si>
  <si>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</si>
  <si>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</si>
  <si>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</si>
  <si>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</si>
  <si>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</si>
  <si>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</si>
  <si>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</si>
  <si>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</si>
  <si>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</si>
  <si>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</si>
  <si>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</si>
  <si>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</si>
  <si>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</si>
  <si>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</si>
  <si>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</si>
  <si>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</si>
  <si>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</si>
  <si>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</si>
  <si>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</si>
  <si>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</si>
  <si>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</si>
  <si>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</si>
  <si>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</si>
  <si>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</si>
  <si>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</si>
  <si>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</si>
  <si>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</si>
  <si>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</si>
  <si>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</si>
  <si>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</si>
  <si>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</si>
  <si>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</si>
  <si>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</si>
  <si>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</si>
  <si>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</si>
  <si>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</si>
  <si>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</si>
  <si>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</si>
  <si>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</si>
  <si>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</si>
  <si>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</si>
  <si>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</si>
  <si>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</si>
  <si>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</si>
  <si>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</si>
  <si>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</si>
  <si>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</si>
  <si>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</si>
  <si>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</si>
  <si>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</si>
  <si>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</si>
  <si>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</si>
  <si>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</si>
  <si>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</si>
  <si>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</si>
  <si>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</si>
  <si>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</si>
  <si>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</si>
  <si>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</si>
  <si>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</si>
  <si>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</si>
  <si>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</si>
  <si>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</si>
  <si>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</si>
  <si>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</si>
  <si>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</si>
  <si>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</si>
  <si>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</si>
  <si>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</si>
  <si>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</si>
  <si>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</si>
  <si>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</si>
  <si>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</si>
  <si>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</si>
  <si>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</si>
  <si>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</si>
  <si>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</si>
  <si>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</si>
  <si>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</si>
  <si>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</si>
  <si>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</si>
  <si>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</si>
  <si>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</si>
  <si>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</si>
  <si>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</si>
  <si>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</si>
  <si>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</si>
  <si>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</si>
  <si>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</si>
  <si>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</si>
  <si>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</si>
  <si>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</si>
  <si>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</si>
  <si>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</si>
  <si>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</si>
  <si>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</si>
  <si>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</si>
  <si>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</si>
  <si>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</si>
  <si>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</si>
  <si>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</si>
  <si>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</si>
  <si>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</si>
  <si>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</si>
  <si>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</si>
  <si>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</si>
  <si>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</si>
  <si>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</si>
  <si>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</si>
  <si>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</si>
  <si>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</si>
  <si>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</si>
  <si>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</si>
  <si>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</si>
  <si>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</si>
  <si>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</si>
  <si>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</si>
  <si>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</si>
  <si>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</si>
  <si>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</si>
  <si>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</si>
  <si>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</si>
  <si>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</si>
  <si>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</si>
  <si>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</si>
  <si>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</si>
  <si>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</si>
  <si>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</si>
  <si>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</si>
  <si>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</si>
  <si>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</si>
  <si>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</si>
  <si>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</si>
  <si>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</si>
  <si>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</si>
  <si>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</si>
  <si>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</si>
  <si>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</si>
  <si>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</si>
  <si>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</si>
  <si>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</si>
  <si>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</si>
  <si>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</si>
  <si>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</si>
  <si>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</si>
  <si>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</si>
  <si>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</si>
  <si>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</si>
  <si>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</si>
  <si>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</si>
  <si>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</si>
  <si>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</si>
  <si>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</si>
  <si>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</si>
  <si>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</si>
  <si>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</si>
  <si>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</si>
  <si>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</si>
  <si>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</si>
  <si>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</si>
  <si>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</si>
  <si>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</si>
  <si>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</si>
  <si>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</si>
  <si>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</si>
  <si>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</si>
  <si>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</si>
  <si>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</si>
  <si>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</si>
  <si>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</si>
  <si>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</si>
  <si>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</si>
  <si>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</si>
  <si>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</si>
  <si>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</si>
  <si>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</si>
  <si>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</si>
  <si>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</si>
  <si>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</si>
  <si>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</si>
  <si>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</si>
  <si>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</si>
  <si>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</si>
  <si>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</si>
  <si>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</si>
  <si>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</si>
  <si>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</si>
  <si>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</si>
  <si>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</si>
  <si>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</si>
  <si>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</si>
  <si>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</si>
  <si>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</si>
  <si>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</si>
  <si>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</si>
  <si>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</si>
  <si>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</si>
  <si>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</si>
  <si>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</si>
  <si>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</si>
  <si>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</si>
  <si>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</si>
  <si>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</si>
  <si>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</si>
  <si>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</si>
  <si>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</si>
  <si>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</si>
  <si>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</si>
  <si>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</si>
  <si>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</si>
  <si>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</si>
  <si>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</si>
  <si>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</si>
  <si>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</si>
  <si>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</si>
  <si>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</si>
  <si>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</si>
  <si>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</si>
  <si>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</si>
  <si>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</si>
  <si>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</si>
  <si>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</si>
  <si>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</si>
  <si>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</si>
  <si>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</si>
  <si>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</si>
  <si>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</si>
  <si>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</si>
  <si>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</si>
  <si>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</si>
  <si>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</si>
  <si>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</si>
  <si>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</si>
  <si>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</si>
  <si>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</si>
  <si>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</si>
  <si>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</si>
  <si>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</si>
  <si>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</si>
  <si>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</si>
  <si>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</si>
  <si>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</si>
  <si>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</si>
  <si>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</si>
  <si>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</si>
  <si>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</si>
  <si>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</si>
  <si>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</si>
  <si>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</si>
  <si>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</si>
  <si>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</si>
  <si>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</si>
  <si>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</si>
  <si>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</si>
  <si>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</si>
  <si>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</si>
  <si>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</si>
  <si>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</si>
  <si>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</si>
  <si>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</si>
  <si>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</si>
  <si>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</si>
  <si>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</si>
  <si>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</si>
  <si>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</si>
  <si>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</si>
  <si>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</si>
  <si>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</si>
  <si>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</si>
  <si>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</si>
  <si>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</si>
  <si>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</si>
  <si>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</si>
  <si>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</si>
  <si>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</si>
  <si>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</si>
  <si>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</si>
  <si>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</si>
  <si>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</si>
  <si>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</si>
  <si>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</si>
  <si>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</si>
  <si>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</si>
  <si>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</si>
  <si>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</si>
  <si>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</si>
  <si>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</si>
  <si>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</si>
  <si>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</si>
  <si>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</si>
  <si>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</si>
  <si>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</si>
  <si>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</si>
  <si>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</si>
  <si>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</si>
  <si>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</si>
  <si>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</si>
  <si>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</si>
  <si>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</si>
  <si>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</si>
  <si>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</si>
  <si>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</si>
  <si>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</si>
  <si>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</si>
  <si>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</si>
  <si>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</si>
  <si>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</si>
  <si>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</si>
  <si>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</si>
  <si>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</si>
  <si>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</si>
  <si>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</si>
  <si>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</si>
  <si>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</si>
  <si>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</si>
  <si>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</si>
  <si>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</si>
  <si>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</si>
  <si>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</si>
  <si>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</si>
  <si>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</si>
  <si>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</si>
  <si>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</si>
  <si>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</si>
  <si>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</si>
  <si>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</si>
  <si>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</si>
  <si>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</si>
  <si>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</si>
  <si>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</si>
  <si>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</si>
  <si>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</si>
  <si>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</si>
  <si>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</si>
  <si>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</si>
  <si>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</si>
  <si>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</si>
  <si>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</si>
  <si>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</si>
  <si>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</si>
  <si>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</si>
  <si>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</si>
  <si>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</si>
  <si>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</si>
  <si>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</si>
  <si>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</si>
  <si>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</si>
  <si>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</si>
  <si>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</si>
  <si>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</si>
  <si>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</si>
  <si>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</si>
  <si>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</si>
  <si>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</si>
  <si>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</si>
  <si>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</si>
  <si>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</si>
  <si>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</si>
  <si>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</si>
  <si>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</si>
  <si>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</si>
  <si>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</si>
  <si>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</si>
  <si>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</si>
  <si>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</si>
  <si>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</si>
  <si>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</si>
  <si>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</si>
  <si>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</si>
  <si>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</si>
  <si>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</si>
  <si>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</si>
  <si>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</si>
  <si>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</si>
  <si>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</si>
  <si>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</si>
  <si>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</si>
  <si>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</si>
  <si>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</si>
  <si>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</si>
  <si>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</si>
  <si>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</si>
  <si>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</si>
  <si>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</si>
  <si>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</si>
  <si>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</si>
  <si>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</si>
  <si>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</si>
  <si>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</si>
  <si>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</si>
  <si>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</si>
  <si>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</si>
  <si>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</si>
  <si>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</si>
  <si>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</si>
  <si>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</si>
  <si>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</si>
  <si>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</si>
  <si>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</si>
  <si>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</si>
  <si>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</si>
  <si>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</si>
  <si>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</si>
  <si>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</si>
  <si>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</si>
  <si>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</si>
  <si>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</si>
  <si>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</si>
  <si>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</si>
  <si>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</si>
  <si>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</si>
  <si>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</si>
  <si>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</si>
  <si>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</si>
  <si>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</si>
  <si>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</si>
  <si>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</si>
  <si>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</si>
  <si>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</si>
  <si>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</si>
  <si>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</si>
  <si>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</si>
  <si>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</si>
  <si>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</si>
  <si>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</si>
  <si>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</si>
  <si>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</si>
  <si>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</si>
  <si>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</si>
  <si>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</si>
  <si>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</si>
  <si>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</si>
  <si>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</si>
  <si>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</si>
  <si>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</si>
  <si>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</si>
  <si>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</si>
  <si>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</si>
  <si>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</si>
  <si>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</si>
  <si>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</si>
  <si>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</si>
  <si>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</si>
  <si>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</si>
  <si>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</si>
  <si>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</si>
  <si>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</si>
  <si>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</si>
  <si>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</si>
  <si>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</si>
  <si>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</si>
  <si>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</si>
  <si>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</si>
  <si>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</si>
  <si>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</si>
  <si>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</si>
  <si>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</si>
  <si>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</si>
  <si>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</si>
  <si>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</si>
  <si>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</si>
  <si>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</si>
  <si>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</si>
  <si>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</si>
  <si>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</si>
  <si>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</si>
  <si>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</si>
  <si>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</si>
  <si>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</si>
  <si>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</si>
  <si>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</si>
  <si>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</si>
  <si>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</si>
  <si>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</si>
  <si>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</si>
  <si>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</si>
  <si>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</si>
  <si>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</si>
  <si>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</si>
  <si>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</si>
  <si>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</si>
  <si>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</si>
  <si>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</si>
  <si>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</si>
  <si>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</si>
  <si>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</si>
  <si>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</si>
  <si>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</si>
  <si>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</si>
  <si>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</si>
  <si>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</si>
  <si>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</si>
  <si>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</si>
  <si>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</si>
  <si>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</si>
  <si>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</si>
  <si>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</si>
  <si>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</si>
  <si>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</si>
  <si>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</si>
  <si>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</si>
  <si>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</si>
  <si>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</si>
  <si>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</si>
  <si>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</si>
  <si>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</si>
  <si>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</si>
  <si>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</si>
  <si>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</si>
  <si>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</si>
  <si>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</si>
  <si>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</si>
  <si>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</si>
  <si>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</si>
  <si>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</si>
  <si>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</si>
  <si>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</si>
  <si>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</si>
  <si>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</si>
  <si>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</si>
  <si>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</si>
  <si>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</si>
  <si>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</si>
  <si>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</si>
  <si>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</si>
  <si>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</si>
  <si>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</si>
  <si>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</si>
  <si>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</si>
  <si>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</si>
  <si>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</si>
  <si>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</si>
  <si>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</si>
  <si>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</si>
  <si>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</si>
  <si>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</si>
  <si>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</si>
  <si>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</si>
  <si>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</si>
  <si>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</si>
  <si>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</si>
  <si>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</si>
  <si>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</si>
  <si>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</si>
  <si>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</si>
  <si>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</si>
  <si>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</si>
  <si>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</si>
  <si>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</si>
  <si>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</si>
  <si>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</si>
  <si>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</si>
  <si>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</si>
  <si>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</si>
  <si>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</si>
  <si>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</si>
  <si>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</si>
  <si>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</si>
  <si>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</si>
  <si>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</si>
  <si>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</si>
  <si>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</si>
  <si>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</si>
  <si>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</si>
  <si>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</si>
  <si>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</si>
  <si>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</si>
  <si>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</si>
  <si>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</si>
  <si>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</si>
  <si>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</si>
  <si>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</si>
  <si>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</si>
  <si>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</si>
  <si>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</si>
  <si>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</si>
  <si>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</si>
  <si>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</si>
  <si>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</si>
  <si>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</si>
  <si>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</si>
  <si>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</si>
  <si>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</si>
  <si>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</si>
  <si>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</si>
  <si>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</si>
  <si>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</si>
  <si>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</si>
  <si>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</si>
  <si>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</si>
  <si>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</si>
  <si>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</si>
  <si>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</si>
  <si>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</si>
  <si>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</si>
  <si>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</si>
  <si>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</si>
  <si>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</si>
  <si>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</si>
  <si>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</si>
  <si>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</si>
  <si>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</si>
  <si>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</si>
  <si>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</si>
  <si>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</si>
  <si>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</si>
  <si>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</si>
  <si>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</si>
  <si>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</si>
  <si>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</si>
  <si>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</si>
  <si>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</si>
  <si>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</si>
  <si>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</si>
  <si>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</si>
  <si>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</si>
  <si>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</si>
  <si>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</si>
  <si>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</si>
  <si>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</si>
  <si>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</si>
  <si>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</si>
  <si>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</si>
  <si>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</si>
  <si>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</si>
  <si>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</si>
  <si>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</si>
  <si>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</si>
  <si>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</si>
  <si>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</si>
  <si>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</si>
  <si>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</si>
  <si>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</si>
  <si>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</si>
  <si>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</si>
  <si>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</si>
  <si>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</si>
  <si>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</si>
  <si>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</si>
  <si>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</si>
  <si>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</si>
  <si>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</si>
  <si>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</si>
  <si>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</si>
  <si>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</si>
  <si>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</si>
  <si>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</si>
  <si>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</si>
  <si>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</si>
  <si>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</si>
  <si>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</si>
  <si>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</si>
  <si>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</si>
  <si>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</si>
  <si>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</si>
  <si>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</si>
  <si>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</si>
  <si>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</si>
  <si>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</si>
  <si>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</si>
  <si>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</si>
  <si>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</si>
  <si>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</si>
  <si>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</si>
  <si>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</si>
  <si>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</si>
  <si>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</si>
  <si>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</si>
  <si>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</si>
  <si>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</si>
  <si>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</si>
  <si>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</si>
  <si>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</si>
  <si>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</si>
  <si>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</si>
  <si>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</si>
  <si>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</si>
  <si>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</si>
  <si>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</si>
  <si>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</si>
  <si>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</si>
  <si>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</si>
  <si>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</si>
  <si>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</si>
  <si>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</si>
  <si>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</si>
  <si>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</si>
  <si>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</si>
  <si>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</si>
  <si>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</si>
  <si>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</si>
  <si>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</si>
  <si>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</si>
  <si>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</si>
  <si>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</si>
  <si>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</si>
  <si>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</si>
  <si>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</si>
  <si>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</si>
  <si>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</si>
  <si>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</si>
  <si>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</si>
  <si>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</si>
  <si>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</si>
  <si>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</si>
  <si>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</si>
  <si>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</si>
  <si>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</si>
  <si>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</si>
  <si>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</si>
  <si>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</si>
  <si>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</si>
  <si>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</si>
  <si>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</si>
  <si>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</si>
  <si>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</si>
  <si>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</si>
  <si>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</si>
  <si>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</si>
  <si>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</si>
  <si>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</si>
  <si>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</si>
  <si>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</si>
  <si>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</si>
  <si>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</si>
  <si>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</si>
  <si>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</si>
  <si>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</si>
  <si>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</si>
  <si>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</si>
  <si>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</si>
  <si>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</si>
  <si>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</si>
  <si>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</si>
  <si>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</si>
  <si>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</si>
  <si>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</si>
  <si>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</si>
  <si>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</si>
  <si>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</si>
  <si>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</si>
  <si>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</si>
  <si>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</si>
  <si>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</si>
  <si>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</si>
  <si>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</si>
  <si>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</si>
  <si>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</si>
  <si>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</si>
  <si>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</si>
  <si>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</si>
  <si>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</si>
  <si>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</si>
  <si>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NEWKIRK &amp; ASSOCIATES, INC.</t>
  </si>
  <si>
    <t>WILLIAM J. NEWKIRK</t>
  </si>
  <si>
    <t>2 W. MAIN STREET</t>
  </si>
  <si>
    <t>PLANO</t>
  </si>
  <si>
    <t>IL</t>
  </si>
  <si>
    <t>630-552-1040</t>
  </si>
  <si>
    <t>630-552-7399</t>
  </si>
  <si>
    <t>066-004656</t>
  </si>
  <si>
    <t>NEWKIRKCPA@SBCGLOBAL.NET</t>
  </si>
  <si>
    <t>47-071-2690-04</t>
  </si>
  <si>
    <t>OGLE</t>
  </si>
  <si>
    <t>ESWOOD CCSD #269</t>
  </si>
  <si>
    <t>304 N. MAIN STREET</t>
  </si>
  <si>
    <t>LINDENWOOD</t>
  </si>
  <si>
    <t>JSCHWARTZ@ESWOODSCHOOL.ORG</t>
  </si>
  <si>
    <t>JOSEPH SCHWARTZ</t>
  </si>
  <si>
    <t>815-393-4477</t>
  </si>
  <si>
    <t>815-393-4478</t>
  </si>
  <si>
    <t>FREEDOM FIELD</t>
  </si>
  <si>
    <t>ROCK WIND</t>
  </si>
  <si>
    <t>Private Note Payable</t>
  </si>
  <si>
    <t>ED-Speech Pathology-Purchased Service</t>
  </si>
  <si>
    <t>Jeanine Holtsford</t>
  </si>
  <si>
    <t>Ogle County Educational Cooperative (OCEC)</t>
  </si>
  <si>
    <t>Illinois Counties Risk Management Trust</t>
  </si>
  <si>
    <t>Page 24 adjustments were for distinguishment of debt as a result of a memorandum of understanding to remove the wind turbine and cancel all debt related to it.</t>
  </si>
  <si>
    <t>Page 10, Line 81 - Activity Fund revenues from fundraising efforts and health insurance reimbursement for FMLA</t>
  </si>
  <si>
    <t>Page 10, Line 87 - Instrument and facilities rental</t>
  </si>
  <si>
    <t>Page 11, Line 107 - Vendor rebate</t>
  </si>
  <si>
    <t>Page 12, Line 177- REAP Grant</t>
  </si>
  <si>
    <t>Page 15, Line 41 - IT support wages</t>
  </si>
  <si>
    <t>Page 19, Line 231 - IT support FICA and medicare</t>
  </si>
  <si>
    <t>Page 12, Line 171- State Library Grant</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</si>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</sst>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0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10" fillId="0" borderId="0" xfId="0" applyFont="1" applyFill="1"/>
    <xf numFmtId="0" fontId="0" fillId="0" borderId="0" xfId="0" applyFill="1"/>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22"/>
    <cellStyle name="Normal 3 4"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2</xdr:row>
          <xdr:rowOff>28575</xdr:rowOff>
        </xdr:from>
        <xdr:to>
          <xdr:col>1</xdr:col>
          <xdr:colOff>904875</xdr:colOff>
          <xdr:row>6</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1390650</xdr:colOff>
          <xdr:row>2</xdr:row>
          <xdr:rowOff>19050</xdr:rowOff>
        </xdr:from>
        <xdr:to>
          <xdr:col>1</xdr:col>
          <xdr:colOff>2305050</xdr:colOff>
          <xdr:row>6</xdr:row>
          <xdr:rowOff>57150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zoomScale="110" zoomScaleNormal="110" workbookViewId="0">
      <selection activeCell="G6" sqref="G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7"/>
      <c r="K5" s="1987"/>
      <c r="L5" s="1987"/>
      <c r="M5" s="1987"/>
      <c r="N5" s="1987"/>
      <c r="O5" s="1987"/>
      <c r="P5" s="1987"/>
      <c r="Q5" s="1987"/>
      <c r="R5" s="1987"/>
      <c r="S5" s="1987"/>
    </row>
    <row r="6" spans="1:28" ht="14.1" customHeight="1" x14ac:dyDescent="0.2">
      <c r="B6" s="104"/>
      <c r="C6" s="26" t="s">
        <v>967</v>
      </c>
      <c r="D6" s="84"/>
      <c r="E6" s="84"/>
      <c r="I6" s="2042" t="s">
        <v>938</v>
      </c>
      <c r="J6" s="1987"/>
      <c r="K6" s="1987"/>
      <c r="L6" s="1987"/>
      <c r="M6" s="1987"/>
      <c r="N6" s="1987"/>
      <c r="O6" s="1987"/>
      <c r="P6" s="1987"/>
      <c r="Q6" s="1987"/>
      <c r="R6" s="1987"/>
      <c r="S6" s="1987"/>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t="s">
        <v>2087</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2088</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1" t="s">
        <v>2089</v>
      </c>
      <c r="B17" s="2032"/>
      <c r="C17" s="2032"/>
      <c r="D17" s="2032"/>
      <c r="E17" s="2032"/>
      <c r="F17" s="2032"/>
      <c r="G17" s="2032"/>
      <c r="H17" s="2033"/>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2090</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60545</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2091</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2092</v>
      </c>
      <c r="B23" s="2022"/>
      <c r="C23" s="2022"/>
      <c r="D23" s="2022"/>
      <c r="E23" s="2022"/>
      <c r="F23" s="2022"/>
      <c r="G23" s="2022"/>
      <c r="H23" s="2023"/>
      <c r="T23" s="1961" t="s">
        <v>2085</v>
      </c>
      <c r="U23" s="1962"/>
      <c r="V23" s="1962"/>
      <c r="W23" s="1962"/>
      <c r="X23" s="1977">
        <v>43434</v>
      </c>
      <c r="Y23" s="1978"/>
      <c r="Z23" s="1978"/>
      <c r="AA23" s="1979"/>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8">
        <v>61049</v>
      </c>
      <c r="B25" s="1999"/>
      <c r="C25" s="1999"/>
      <c r="D25" s="1999"/>
      <c r="E25" s="1999"/>
      <c r="F25" s="1999"/>
      <c r="G25" s="1999"/>
      <c r="H25" s="2000"/>
      <c r="I25" s="113"/>
      <c r="J25" s="2066"/>
      <c r="K25" s="2066"/>
      <c r="L25" s="2066"/>
      <c r="M25" s="2066"/>
      <c r="N25" s="2066"/>
      <c r="O25" s="2066"/>
      <c r="P25" s="2066"/>
      <c r="Q25" s="2066"/>
      <c r="R25" s="2066"/>
      <c r="S25" s="2067"/>
      <c r="T25" s="1958" t="s">
        <v>2086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1" t="s">
        <v>2093</v>
      </c>
      <c r="B38" s="2032"/>
      <c r="C38" s="2032"/>
      <c r="D38" s="2032"/>
      <c r="E38" s="2032"/>
      <c r="F38" s="1999"/>
      <c r="G38" s="1999"/>
      <c r="H38" s="2000"/>
      <c r="I38" s="2051"/>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2092</v>
      </c>
      <c r="B40" s="2059"/>
      <c r="C40" s="2060"/>
      <c r="D40" s="2060"/>
      <c r="E40" s="2060"/>
      <c r="F40" s="2061"/>
      <c r="G40" s="2061"/>
      <c r="H40" s="2062"/>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2094</v>
      </c>
      <c r="B42" s="2049"/>
      <c r="C42" s="2050"/>
      <c r="D42" s="2063" t="s">
        <v>2095</v>
      </c>
      <c r="E42" s="2049"/>
      <c r="F42" s="2049"/>
      <c r="G42" s="2049"/>
      <c r="H42" s="2050"/>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0">
        <f>'Revenues 9-14'!C5</f>
        <v>611518</v>
      </c>
      <c r="C4" s="1546">
        <v>371262</v>
      </c>
      <c r="D4" s="1773">
        <f>B4-C4</f>
        <v>240256</v>
      </c>
      <c r="E4" s="1546">
        <v>604314</v>
      </c>
      <c r="F4" s="1773">
        <f>E4-C4</f>
        <v>233052</v>
      </c>
    </row>
    <row r="5" spans="1:6" ht="13.7" customHeight="1" x14ac:dyDescent="0.2">
      <c r="A5" s="716" t="s">
        <v>925</v>
      </c>
      <c r="B5" s="1771">
        <f>'Revenues 9-14'!D5</f>
        <v>160160</v>
      </c>
      <c r="C5" s="585">
        <v>97235</v>
      </c>
      <c r="D5" s="1774">
        <f t="shared" ref="D5:D18" si="0">B5-C5</f>
        <v>62925</v>
      </c>
      <c r="E5" s="585">
        <v>158273</v>
      </c>
      <c r="F5" s="1774">
        <f>E5-C5</f>
        <v>61038</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34944</v>
      </c>
      <c r="C7" s="585">
        <v>21215</v>
      </c>
      <c r="D7" s="1774">
        <f t="shared" si="0"/>
        <v>13729</v>
      </c>
      <c r="E7" s="585">
        <v>34532</v>
      </c>
      <c r="F7" s="1774">
        <f t="shared" si="1"/>
        <v>13317</v>
      </c>
    </row>
    <row r="8" spans="1:6" ht="13.7" customHeight="1" x14ac:dyDescent="0.2">
      <c r="A8" s="716" t="s">
        <v>1241</v>
      </c>
      <c r="B8" s="1771">
        <f>'Revenues 9-14'!G5</f>
        <v>7355</v>
      </c>
      <c r="C8" s="585">
        <v>4473</v>
      </c>
      <c r="D8" s="1774">
        <f t="shared" si="0"/>
        <v>2882</v>
      </c>
      <c r="E8" s="585">
        <v>7281</v>
      </c>
      <c r="F8" s="1774">
        <f t="shared" si="1"/>
        <v>2808</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14560</v>
      </c>
      <c r="C10" s="585">
        <v>8840</v>
      </c>
      <c r="D10" s="1774">
        <f t="shared" si="0"/>
        <v>5720</v>
      </c>
      <c r="E10" s="585">
        <v>14388</v>
      </c>
      <c r="F10" s="1774">
        <f t="shared" si="1"/>
        <v>5548</v>
      </c>
    </row>
    <row r="11" spans="1:6" x14ac:dyDescent="0.2">
      <c r="A11" s="716" t="s">
        <v>429</v>
      </c>
      <c r="B11" s="1771">
        <f>'Revenues 9-14'!J5</f>
        <v>120657</v>
      </c>
      <c r="C11" s="585">
        <v>73378</v>
      </c>
      <c r="D11" s="1774">
        <f t="shared" si="0"/>
        <v>47279</v>
      </c>
      <c r="E11" s="585">
        <v>119444</v>
      </c>
      <c r="F11" s="1774">
        <f t="shared" si="1"/>
        <v>46066</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5824</v>
      </c>
      <c r="C14" s="585">
        <v>3536</v>
      </c>
      <c r="D14" s="1774">
        <f t="shared" si="0"/>
        <v>2288</v>
      </c>
      <c r="E14" s="585">
        <v>5755</v>
      </c>
      <c r="F14" s="1774">
        <f t="shared" si="1"/>
        <v>2219</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24163</v>
      </c>
      <c r="C16" s="585">
        <v>14695</v>
      </c>
      <c r="D16" s="1774">
        <f t="shared" si="0"/>
        <v>9468</v>
      </c>
      <c r="E16" s="585">
        <v>23919</v>
      </c>
      <c r="F16" s="1774">
        <f t="shared" si="1"/>
        <v>9224</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979181</v>
      </c>
      <c r="C19" s="1772">
        <f>SUM(C4:C18)</f>
        <v>594634</v>
      </c>
      <c r="D19" s="1772">
        <f>SUM(D4:D18)</f>
        <v>384547</v>
      </c>
      <c r="E19" s="1772">
        <f>SUM(E4:E18)</f>
        <v>967906</v>
      </c>
      <c r="F19" s="1772">
        <f>SUM(F4:F18)</f>
        <v>373272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7" t="s">
        <v>2038</v>
      </c>
      <c r="D2" s="724" t="s">
        <v>2045</v>
      </c>
      <c r="E2" s="724" t="s">
        <v>2046</v>
      </c>
      <c r="F2" s="1907" t="s">
        <v>2039</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6">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5" t="s">
        <v>652</v>
      </c>
      <c r="B15" s="2206"/>
      <c r="C15" s="1776">
        <f>SUM(C6:C14)</f>
        <v>0</v>
      </c>
      <c r="D15" s="1776">
        <f>SUM(D6:D14)</f>
        <v>0</v>
      </c>
      <c r="E15" s="1776">
        <f>SUM(E6:E14)</f>
        <v>0</v>
      </c>
      <c r="F15" s="1776">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6">
        <f>SUM(C17+D17)-E17</f>
        <v>0</v>
      </c>
    </row>
    <row r="18" spans="1:11" ht="12.75" customHeight="1" thickTop="1" thickBot="1" x14ac:dyDescent="0.25">
      <c r="A18" s="2228" t="s">
        <v>6</v>
      </c>
      <c r="B18" s="2229"/>
      <c r="C18" s="727"/>
      <c r="D18" s="585"/>
      <c r="E18" s="727"/>
      <c r="F18" s="1776">
        <f>SUM(C18+D18)-E18</f>
        <v>0</v>
      </c>
    </row>
    <row r="19" spans="1:11" ht="12.75" customHeight="1" thickTop="1" thickBot="1" x14ac:dyDescent="0.25">
      <c r="A19" s="2228" t="s">
        <v>406</v>
      </c>
      <c r="B19" s="2229"/>
      <c r="C19" s="727"/>
      <c r="D19" s="585"/>
      <c r="E19" s="727"/>
      <c r="F19" s="1776">
        <f>SUM(C19+D19)-E19</f>
        <v>0</v>
      </c>
    </row>
    <row r="20" spans="1:11" ht="12.75" customHeight="1" thickTop="1" thickBot="1" x14ac:dyDescent="0.25">
      <c r="A20" s="2228" t="s">
        <v>468</v>
      </c>
      <c r="B20" s="2229"/>
      <c r="C20" s="727"/>
      <c r="D20" s="585"/>
      <c r="E20" s="727"/>
      <c r="F20" s="1776">
        <f>SUM(C20+D20)-E20</f>
        <v>0</v>
      </c>
    </row>
    <row r="21" spans="1:11" ht="14.25" thickTop="1" thickBot="1" x14ac:dyDescent="0.25">
      <c r="A21" s="2205" t="s">
        <v>653</v>
      </c>
      <c r="B21" s="2206"/>
      <c r="C21" s="1776">
        <f>SUM(C17:C20)</f>
        <v>0</v>
      </c>
      <c r="D21" s="1776">
        <f>SUM(D17:D20)</f>
        <v>0</v>
      </c>
      <c r="E21" s="1776">
        <f>SUM(E17:E20)</f>
        <v>0</v>
      </c>
      <c r="F21" s="1776">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6">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6">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6">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2096</v>
      </c>
      <c r="B31" s="734">
        <v>40854</v>
      </c>
      <c r="C31" s="735">
        <v>100000</v>
      </c>
      <c r="D31" s="736">
        <v>7</v>
      </c>
      <c r="E31" s="735">
        <v>100000</v>
      </c>
      <c r="F31" s="735"/>
      <c r="G31" s="735">
        <v>-100000</v>
      </c>
      <c r="H31" s="735"/>
      <c r="I31" s="1777">
        <f>((E31+F31)-H31)+G31</f>
        <v>0</v>
      </c>
      <c r="J31" s="735"/>
      <c r="K31" s="737"/>
    </row>
    <row r="32" spans="1:11" ht="12" customHeight="1" x14ac:dyDescent="0.2">
      <c r="A32" s="733" t="s">
        <v>2097</v>
      </c>
      <c r="B32" s="734">
        <v>40854</v>
      </c>
      <c r="C32" s="735">
        <v>150000</v>
      </c>
      <c r="D32" s="736">
        <v>7</v>
      </c>
      <c r="E32" s="735">
        <v>150000</v>
      </c>
      <c r="F32" s="735"/>
      <c r="G32" s="735">
        <v>-150000</v>
      </c>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250000</v>
      </c>
      <c r="D49" s="746"/>
      <c r="E49" s="1777">
        <f t="shared" ref="E49:J49" si="2">SUM(E31:E48)</f>
        <v>250000</v>
      </c>
      <c r="F49" s="1777">
        <f t="shared" si="2"/>
        <v>0</v>
      </c>
      <c r="G49" s="1777">
        <f t="shared" si="2"/>
        <v>-250000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t="s">
        <v>2098</v>
      </c>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5824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8"/>
      <c r="G12" s="1779">
        <f>SUM(G5:G11)</f>
        <v>0</v>
      </c>
      <c r="H12" s="1779">
        <f>SUM(H5:H11)</f>
        <v>5824</v>
      </c>
      <c r="I12" s="1779">
        <f>SUM(I5:I11)</f>
        <v>0</v>
      </c>
      <c r="J12" s="1779">
        <f>SUM(J5:J11)</f>
        <v>0</v>
      </c>
      <c r="K12" s="1779">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5824</v>
      </c>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0"/>
      <c r="G21" s="793"/>
      <c r="H21" s="797"/>
      <c r="I21" s="797"/>
      <c r="J21" s="1781">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2"/>
      <c r="G23" s="1779">
        <f>SUM(G14:G16,G21,G22)</f>
        <v>0</v>
      </c>
      <c r="H23" s="1779">
        <f>SUM(H14:H16,H21,H22)</f>
        <v>5824</v>
      </c>
      <c r="I23" s="1779">
        <f>SUM(I14:I16,I21,I22)</f>
        <v>0</v>
      </c>
      <c r="J23" s="1779">
        <f>SUM(J14:J16,J21,J22)</f>
        <v>0</v>
      </c>
      <c r="K23" s="1779">
        <f>SUM(K14:K16,K21,K22)</f>
        <v>0</v>
      </c>
    </row>
    <row r="24" spans="1:11" ht="14.25" thickTop="1" thickBot="1" x14ac:dyDescent="0.25">
      <c r="A24" s="2253" t="s">
        <v>2026</v>
      </c>
      <c r="B24" s="2252"/>
      <c r="C24" s="2252"/>
      <c r="D24" s="2252"/>
      <c r="E24" s="2252"/>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11979</v>
      </c>
      <c r="D5" s="842"/>
      <c r="E5" s="842"/>
      <c r="F5" s="1781">
        <f>(C5+D5)-E5</f>
        <v>11979</v>
      </c>
      <c r="G5" s="838"/>
      <c r="H5" s="843"/>
      <c r="I5" s="843"/>
      <c r="J5" s="843"/>
      <c r="K5" s="794"/>
      <c r="L5" s="1790">
        <f>F5-K5</f>
        <v>11979</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1747544</v>
      </c>
      <c r="D8" s="845"/>
      <c r="E8" s="845"/>
      <c r="F8" s="1781">
        <f>(C8+D8)-E8</f>
        <v>1747544</v>
      </c>
      <c r="G8" s="844">
        <v>50</v>
      </c>
      <c r="H8" s="766">
        <v>874343</v>
      </c>
      <c r="I8" s="766">
        <v>34951</v>
      </c>
      <c r="J8" s="766"/>
      <c r="K8" s="1790">
        <f>(H8+I8)-J8</f>
        <v>909294</v>
      </c>
      <c r="L8" s="1790">
        <f>F8-K8</f>
        <v>838250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793543</v>
      </c>
      <c r="D10" s="847"/>
      <c r="E10" s="847">
        <v>500000</v>
      </c>
      <c r="F10" s="1785">
        <f>(C10+D10)-E10</f>
        <v>293543</v>
      </c>
      <c r="G10" s="844">
        <v>20</v>
      </c>
      <c r="H10" s="848">
        <v>183561</v>
      </c>
      <c r="I10" s="848">
        <v>12220</v>
      </c>
      <c r="J10" s="848">
        <v>125000</v>
      </c>
      <c r="K10" s="1790">
        <f>(H10+I10)-J10</f>
        <v>70781</v>
      </c>
      <c r="L10" s="1790">
        <f>F10-K10</f>
        <v>222762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117377</v>
      </c>
      <c r="D12" s="845">
        <v>6400</v>
      </c>
      <c r="E12" s="845"/>
      <c r="F12" s="1781">
        <f>(C12+D12)-E12</f>
        <v>123777</v>
      </c>
      <c r="G12" s="844">
        <v>10</v>
      </c>
      <c r="H12" s="766">
        <v>79876</v>
      </c>
      <c r="I12" s="766">
        <v>5423</v>
      </c>
      <c r="J12" s="766"/>
      <c r="K12" s="1790">
        <f>(H12+I12)-J12</f>
        <v>85299</v>
      </c>
      <c r="L12" s="1790">
        <f>F12-K12</f>
        <v>38478</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2670443</v>
      </c>
      <c r="D16" s="1781">
        <f>SUM(D3,D5:D6,D8:D10,D12:D15)</f>
        <v>6400</v>
      </c>
      <c r="E16" s="1781">
        <f>SUM(E3,E5:E6,E8:E10,E12:E15)</f>
        <v>500000</v>
      </c>
      <c r="F16" s="1781">
        <f>SUM(F3,F5:F6,F8:F10,F12:F15)</f>
        <v>2176843</v>
      </c>
      <c r="G16" s="844"/>
      <c r="H16" s="1781">
        <f>SUM(H3,H6,H8:H10,H12:H14,)</f>
        <v>1137780</v>
      </c>
      <c r="I16" s="1781">
        <f>SUM(I3,I6,I8:I10,I12:I14,)</f>
        <v>52594</v>
      </c>
      <c r="J16" s="1781">
        <f>SUM(J3,J6,J8:J10,J12:J14,)</f>
        <v>125000</v>
      </c>
      <c r="K16" s="1781">
        <f>(H16+I16)-J16</f>
        <v>1065374</v>
      </c>
      <c r="L16" s="1781">
        <f>F16-K16</f>
        <v>1111469</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52594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7"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772496</v>
      </c>
      <c r="G8" s="866"/>
    </row>
    <row r="9" spans="1:7" x14ac:dyDescent="0.2">
      <c r="A9" s="870" t="s">
        <v>480</v>
      </c>
      <c r="B9" s="871" t="s">
        <v>1989</v>
      </c>
      <c r="C9" s="872"/>
      <c r="D9" s="870" t="s">
        <v>522</v>
      </c>
      <c r="E9" s="869"/>
      <c r="F9" s="1933">
        <f>'Expenditures 15-22'!K151</f>
        <v>101583</v>
      </c>
      <c r="G9" s="873"/>
    </row>
    <row r="10" spans="1:7" x14ac:dyDescent="0.2">
      <c r="A10" s="870" t="s">
        <v>520</v>
      </c>
      <c r="B10" s="871" t="s">
        <v>1990</v>
      </c>
      <c r="C10" s="872"/>
      <c r="D10" s="870" t="s">
        <v>522</v>
      </c>
      <c r="E10" s="869"/>
      <c r="F10" s="1933">
        <f>'Expenditures 15-22'!K174</f>
        <v>0</v>
      </c>
      <c r="G10" s="873"/>
    </row>
    <row r="11" spans="1:7" x14ac:dyDescent="0.2">
      <c r="A11" s="870" t="s">
        <v>481</v>
      </c>
      <c r="B11" s="871" t="s">
        <v>1991</v>
      </c>
      <c r="C11" s="872"/>
      <c r="D11" s="870" t="s">
        <v>522</v>
      </c>
      <c r="E11" s="869"/>
      <c r="F11" s="1933">
        <f>'Expenditures 15-22'!K210</f>
        <v>96255</v>
      </c>
      <c r="G11" s="873"/>
    </row>
    <row r="12" spans="1:7" x14ac:dyDescent="0.2">
      <c r="A12" s="870" t="s">
        <v>482</v>
      </c>
      <c r="B12" s="871" t="s">
        <v>1992</v>
      </c>
      <c r="C12" s="872"/>
      <c r="D12" s="870" t="s">
        <v>522</v>
      </c>
      <c r="E12" s="869"/>
      <c r="F12" s="1933">
        <f>'Expenditures 15-22'!K295</f>
        <v>29652</v>
      </c>
      <c r="G12" s="873"/>
    </row>
    <row r="13" spans="1:7" x14ac:dyDescent="0.2">
      <c r="A13" s="870" t="s">
        <v>108</v>
      </c>
      <c r="B13" s="871" t="s">
        <v>1993</v>
      </c>
      <c r="C13" s="872"/>
      <c r="D13" s="870" t="s">
        <v>522</v>
      </c>
      <c r="E13" s="869"/>
      <c r="F13" s="1933">
        <f>'Expenditures 15-22'!K342</f>
        <v>119954</v>
      </c>
      <c r="G13" s="874"/>
    </row>
    <row r="14" spans="1:7" ht="12" customHeight="1" thickBot="1" x14ac:dyDescent="0.25">
      <c r="A14" s="1791"/>
      <c r="B14" s="1792"/>
      <c r="C14" s="1793"/>
      <c r="D14" s="1794" t="s">
        <v>522</v>
      </c>
      <c r="E14" s="1795" t="s">
        <v>1015</v>
      </c>
      <c r="F14" s="1796">
        <f>SUM(F8:F13)</f>
        <v>1119940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7">
        <f>'Expenditures 15-22'!K102</f>
        <v>77489</v>
      </c>
      <c r="G53" s="866"/>
    </row>
    <row r="54" spans="1:7" x14ac:dyDescent="0.2">
      <c r="A54" s="870" t="s">
        <v>479</v>
      </c>
      <c r="B54" s="870" t="s">
        <v>1552</v>
      </c>
      <c r="C54" s="890" t="s">
        <v>1039</v>
      </c>
      <c r="D54" s="886" t="s">
        <v>1157</v>
      </c>
      <c r="E54" s="869"/>
      <c r="F54" s="1937">
        <f>'Expenditures 15-22'!G114</f>
        <v>2918</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6400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86807</v>
      </c>
      <c r="G76" s="866"/>
    </row>
    <row r="77" spans="1:8" s="894" customFormat="1" ht="12" customHeight="1" thickTop="1" thickBot="1" x14ac:dyDescent="0.25">
      <c r="A77" s="1800"/>
      <c r="B77" s="1797"/>
      <c r="C77" s="1793"/>
      <c r="D77" s="1798" t="s">
        <v>2012</v>
      </c>
      <c r="E77" s="1795"/>
      <c r="F77" s="1801">
        <f>(F14-F76)</f>
        <v>1033133</v>
      </c>
      <c r="G77" s="870"/>
    </row>
    <row r="78" spans="1:8" s="894" customFormat="1" ht="12" customHeight="1" thickTop="1" x14ac:dyDescent="0.2">
      <c r="A78" s="1802"/>
      <c r="B78" s="1797"/>
      <c r="C78" s="1793"/>
      <c r="D78" s="1798" t="s">
        <v>2059</v>
      </c>
      <c r="E78" s="1795"/>
      <c r="F78" s="899">
        <v>73.09</v>
      </c>
      <c r="G78" s="900"/>
      <c r="H78" s="870"/>
    </row>
    <row r="79" spans="1:8" s="894" customFormat="1" ht="12" customHeight="1" thickBot="1" x14ac:dyDescent="0.25">
      <c r="A79" s="1803"/>
      <c r="B79" s="1797"/>
      <c r="C79" s="1793"/>
      <c r="D79" s="1798" t="s">
        <v>2013</v>
      </c>
      <c r="E79" s="1795" t="s">
        <v>1015</v>
      </c>
      <c r="F79" s="1804">
        <f>IF(F78&gt;0,F77/F78," Complete Line 78")</f>
        <v>14135.080038308934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12860</v>
      </c>
      <c r="G94" s="913"/>
    </row>
    <row r="95" spans="1:7" x14ac:dyDescent="0.2">
      <c r="A95" s="909" t="s">
        <v>142</v>
      </c>
      <c r="B95" s="909" t="s">
        <v>177</v>
      </c>
      <c r="C95" s="911">
        <v>1700</v>
      </c>
      <c r="D95" s="919" t="str">
        <f>'Revenues 9-14'!A82</f>
        <v>Total District/School Activity Income</v>
      </c>
      <c r="E95" s="907"/>
      <c r="F95" s="1810">
        <f>SUM('Revenues 9-14'!C82,'Revenues 9-14'!D82)</f>
        <v>7548</v>
      </c>
      <c r="G95" s="913"/>
    </row>
    <row r="96" spans="1:7" x14ac:dyDescent="0.2">
      <c r="A96" s="909" t="s">
        <v>479</v>
      </c>
      <c r="B96" s="909" t="s">
        <v>178</v>
      </c>
      <c r="C96" s="911">
        <f>'Revenues 9-14'!B84</f>
        <v>1811</v>
      </c>
      <c r="D96" s="912" t="str">
        <f>'Revenues 9-14'!A84</f>
        <v>Rentals - Regular Textbooks</v>
      </c>
      <c r="E96" s="907"/>
      <c r="F96" s="1810">
        <f>'Revenues 9-14'!C84</f>
        <v>2672</v>
      </c>
      <c r="G96" s="913"/>
    </row>
    <row r="97" spans="1:7" x14ac:dyDescent="0.2">
      <c r="A97" s="909" t="s">
        <v>479</v>
      </c>
      <c r="B97" s="909" t="s">
        <v>179</v>
      </c>
      <c r="C97" s="911">
        <f>'Revenues 9-14'!B87</f>
        <v>1819</v>
      </c>
      <c r="D97" s="912" t="str">
        <f>'Revenues 9-14'!A87</f>
        <v>Rentals - Other (Describe &amp; Itemize)</v>
      </c>
      <c r="E97" s="907"/>
      <c r="F97" s="1810">
        <f>'Revenues 9-14'!C87</f>
        <v>525</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420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23346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224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70616</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4000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18248</v>
      </c>
      <c r="G129" s="931"/>
    </row>
    <row r="130" spans="1:7" x14ac:dyDescent="0.2">
      <c r="A130" s="928" t="s">
        <v>689</v>
      </c>
      <c r="B130" s="928" t="s">
        <v>804</v>
      </c>
      <c r="C130" s="933">
        <v>4300</v>
      </c>
      <c r="D130" s="934" t="str">
        <f>'Revenues 9-14'!A211</f>
        <v>Total Title I</v>
      </c>
      <c r="E130" s="907"/>
      <c r="F130" s="1810">
        <f>SUM('Revenues 9-14'!C211,'Revenues 9-14'!D211,'Revenues 9-14'!F211,'Revenues 9-14'!G211)</f>
        <v>17196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5949</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31258</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3142</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13496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v>21757</v>
      </c>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243257</v>
      </c>
    </row>
    <row r="179" spans="1:7" ht="12" customHeight="1" x14ac:dyDescent="0.2">
      <c r="A179" s="1791"/>
      <c r="B179" s="1805"/>
      <c r="C179" s="1806"/>
      <c r="D179" s="1807" t="s">
        <v>2015</v>
      </c>
      <c r="E179" s="1808"/>
      <c r="F179" s="1810">
        <f>'PCTC-OEPP 27-28'!F77-F178</f>
        <v>789876</v>
      </c>
    </row>
    <row r="180" spans="1:7" ht="12" customHeight="1" x14ac:dyDescent="0.2">
      <c r="A180" s="1791"/>
      <c r="B180" s="1805"/>
      <c r="C180" s="1806"/>
      <c r="D180" s="1807" t="s">
        <v>1924</v>
      </c>
      <c r="E180" s="1808"/>
      <c r="F180" s="1810">
        <f>'Cap Outlay Deprec 26'!I18</f>
        <v>52594</v>
      </c>
    </row>
    <row r="181" spans="1:7" ht="12" customHeight="1" x14ac:dyDescent="0.2">
      <c r="A181" s="1791"/>
      <c r="B181" s="1805"/>
      <c r="C181" s="1806"/>
      <c r="D181" s="1807" t="s">
        <v>2016</v>
      </c>
      <c r="E181" s="1808"/>
      <c r="F181" s="1810">
        <f>F179+F180</f>
        <v>842470</v>
      </c>
    </row>
    <row r="182" spans="1:7" ht="12" customHeight="1" x14ac:dyDescent="0.2">
      <c r="A182" s="1791"/>
      <c r="B182" s="1811"/>
      <c r="C182" s="1806"/>
      <c r="D182" s="1807" t="str">
        <f>D78</f>
        <v>9 Month ADA from District Average Daily Attendance/Prior General State Aid Inquiry 2017-2018</v>
      </c>
      <c r="E182" s="1808"/>
      <c r="F182" s="1812">
        <f>'PCTC-OEPP 27-28'!F78</f>
        <v>73.09</v>
      </c>
      <c r="G182" s="931"/>
    </row>
    <row r="183" spans="1:7" ht="12" customHeight="1" thickBot="1" x14ac:dyDescent="0.25">
      <c r="A183" s="1791"/>
      <c r="B183" s="1811"/>
      <c r="C183" s="1806"/>
      <c r="D183" s="1807" t="s">
        <v>2017</v>
      </c>
      <c r="E183" s="1808" t="s">
        <v>1626</v>
      </c>
      <c r="F183" s="1813">
        <f>F181/F182</f>
        <v>11526.474209878232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workbookViewId="0">
      <selection activeCell="B18" sqref="B1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4" t="s">
        <v>2099</v>
      </c>
      <c r="B17" s="2505" t="s">
        <v>2111</v>
      </c>
      <c r="C17" s="1955" t="s">
        <v>2100</v>
      </c>
      <c r="D17" s="1866">
        <v>13709</v>
      </c>
      <c r="E17" s="1562">
        <f t="shared" ref="E17:E37" si="1">IF(D17&lt;=25000,D17,IF(D17&gt;25000,25000,0))</f>
        <v>13709</v>
      </c>
      <c r="F17" s="1814">
        <f t="shared" si="0"/>
        <v>13709</v>
      </c>
      <c r="G17" s="1815">
        <f>IF(F17=0,0,D17-F17)</f>
        <v>0</v>
      </c>
      <c r="H17" s="1669"/>
    </row>
    <row r="18" spans="1:8" x14ac:dyDescent="0.25">
      <c r="A18" s="1675"/>
      <c r="B18" s="1867"/>
      <c r="C18" s="1677"/>
      <c r="D18" s="1866"/>
      <c r="E18" s="1562">
        <f t="shared" ref="E18:E36" si="2">IF(D18&lt;=25000,D18,IF(D18&gt;25000,25000,0))</f>
        <v>0</v>
      </c>
      <c r="F18" s="1814">
        <f t="shared" ref="F18:F36"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36" si="4">IF(F18=0,0,D18-F18)</f>
        <v>0</v>
      </c>
    </row>
    <row r="19" spans="1:8" x14ac:dyDescent="0.25">
      <c r="A19" s="1675"/>
      <c r="B19" s="1688"/>
      <c r="C19" s="1676"/>
      <c r="D19" s="1866"/>
      <c r="E19" s="1562">
        <f t="shared" ref="E19" si="5">IF(D19&lt;=25000,D19,IF(D19&gt;25000,25000,0))</f>
        <v>0</v>
      </c>
      <c r="F19" s="1814">
        <f t="shared" ref="F19"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5">
        <f t="shared" ref="G19" si="7">IF(F19=0,0,D19-F19)</f>
        <v>0</v>
      </c>
    </row>
    <row r="20" spans="1:8" x14ac:dyDescent="0.25">
      <c r="A20" s="1675"/>
      <c r="B20" s="1688"/>
      <c r="C20" s="1676"/>
      <c r="D20" s="1866"/>
      <c r="E20" s="1562">
        <f t="shared" ref="E20:E21" si="8">IF(D20&lt;=25000,D20,IF(D20&gt;25000,25000,0))</f>
        <v>0</v>
      </c>
      <c r="F20" s="1814">
        <f t="shared" ref="F20:F21" si="9">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5">
        <f t="shared" ref="G20:G21" si="10">IF(F20=0,0,D20-F20)</f>
        <v>0</v>
      </c>
    </row>
    <row r="21" spans="1:8" x14ac:dyDescent="0.25">
      <c r="A21" s="1675"/>
      <c r="B21" s="1688"/>
      <c r="C21" s="1676"/>
      <c r="D21" s="1866"/>
      <c r="E21" s="1562">
        <f t="shared" si="8"/>
        <v>0</v>
      </c>
      <c r="F21" s="1814">
        <f t="shared" si="9"/>
        <v>0</v>
      </c>
      <c r="G21" s="1815">
        <f t="shared" si="10"/>
        <v>0</v>
      </c>
    </row>
    <row r="22" spans="1:8" x14ac:dyDescent="0.25">
      <c r="A22" s="1675"/>
      <c r="B22" s="1688"/>
      <c r="C22" s="1676"/>
      <c r="D22" s="1866"/>
      <c r="E22" s="1562">
        <f t="shared" ref="E22:E30" si="11">IF(D22&lt;=25000,D22,IF(D22&gt;25000,25000,0))</f>
        <v>0</v>
      </c>
      <c r="F22" s="1814">
        <f t="shared" ref="F22:F30" si="12">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15">
        <f t="shared" ref="G22:G30" si="13">IF(F22=0,0,D22-F22)</f>
        <v>0</v>
      </c>
    </row>
    <row r="23" spans="1:8" x14ac:dyDescent="0.25">
      <c r="A23" s="1675"/>
      <c r="B23" s="1688"/>
      <c r="C23" s="1676"/>
      <c r="D23" s="1866"/>
      <c r="E23" s="1562">
        <f t="shared" si="11"/>
        <v>0</v>
      </c>
      <c r="F23" s="1814">
        <f t="shared" si="12"/>
        <v>0</v>
      </c>
      <c r="G23" s="1815">
        <f t="shared" si="13"/>
        <v>0</v>
      </c>
    </row>
    <row r="24" spans="1:8" x14ac:dyDescent="0.25">
      <c r="A24" s="1675"/>
      <c r="B24" s="1688"/>
      <c r="C24" s="1676"/>
      <c r="D24" s="1866"/>
      <c r="E24" s="1562">
        <f t="shared" si="11"/>
        <v>0</v>
      </c>
      <c r="F24" s="1814">
        <f t="shared" si="12"/>
        <v>0</v>
      </c>
      <c r="G24" s="1815">
        <f t="shared" si="13"/>
        <v>0</v>
      </c>
    </row>
    <row r="25" spans="1:8" x14ac:dyDescent="0.25">
      <c r="A25" s="1675"/>
      <c r="B25" s="1688"/>
      <c r="C25" s="1676"/>
      <c r="D25" s="1866"/>
      <c r="E25" s="1562">
        <f t="shared" si="11"/>
        <v>0</v>
      </c>
      <c r="F25" s="1814">
        <f t="shared" si="12"/>
        <v>0</v>
      </c>
      <c r="G25" s="1815">
        <f t="shared" si="13"/>
        <v>0</v>
      </c>
    </row>
    <row r="26" spans="1:8" x14ac:dyDescent="0.25">
      <c r="A26" s="1675"/>
      <c r="B26" s="1688"/>
      <c r="C26" s="1676"/>
      <c r="D26" s="1866"/>
      <c r="E26" s="1562">
        <f t="shared" si="11"/>
        <v>0</v>
      </c>
      <c r="F26" s="1814">
        <f t="shared" si="12"/>
        <v>0</v>
      </c>
      <c r="G26" s="1815">
        <f t="shared" si="13"/>
        <v>0</v>
      </c>
    </row>
    <row r="27" spans="1:8" x14ac:dyDescent="0.25">
      <c r="A27" s="1675"/>
      <c r="B27" s="1859"/>
      <c r="C27" s="1676"/>
      <c r="D27" s="1866"/>
      <c r="E27" s="1562">
        <f t="shared" si="11"/>
        <v>0</v>
      </c>
      <c r="F27" s="1814">
        <f t="shared" si="12"/>
        <v>0</v>
      </c>
      <c r="G27" s="1815">
        <f t="shared" si="13"/>
        <v>0</v>
      </c>
    </row>
    <row r="28" spans="1:8" x14ac:dyDescent="0.25">
      <c r="A28" s="1675"/>
      <c r="B28" s="1859"/>
      <c r="C28" s="1676"/>
      <c r="D28" s="1866"/>
      <c r="E28" s="1562">
        <f t="shared" si="11"/>
        <v>0</v>
      </c>
      <c r="F28" s="1814">
        <f t="shared" si="12"/>
        <v>0</v>
      </c>
      <c r="G28" s="1815">
        <f t="shared" si="13"/>
        <v>0</v>
      </c>
    </row>
    <row r="29" spans="1:8" x14ac:dyDescent="0.25">
      <c r="A29" s="1675"/>
      <c r="B29" s="1688"/>
      <c r="C29" s="1676"/>
      <c r="D29" s="1866"/>
      <c r="E29" s="1562">
        <f t="shared" si="11"/>
        <v>0</v>
      </c>
      <c r="F29" s="1814">
        <f t="shared" si="12"/>
        <v>0</v>
      </c>
      <c r="G29" s="1815">
        <f t="shared" si="13"/>
        <v>0</v>
      </c>
    </row>
    <row r="30" spans="1:8" x14ac:dyDescent="0.25">
      <c r="A30" s="1675"/>
      <c r="B30" s="1688"/>
      <c r="C30" s="1676"/>
      <c r="D30" s="1866"/>
      <c r="E30" s="1562">
        <f t="shared" si="11"/>
        <v>0</v>
      </c>
      <c r="F30" s="1814">
        <f t="shared" si="12"/>
        <v>0</v>
      </c>
      <c r="G30" s="1815">
        <f t="shared" si="13"/>
        <v>0</v>
      </c>
    </row>
    <row r="31" spans="1:8" x14ac:dyDescent="0.25">
      <c r="A31" s="1675"/>
      <c r="B31" s="1688"/>
      <c r="C31" s="1676"/>
      <c r="D31" s="1866"/>
      <c r="E31" s="1562">
        <f t="shared" ref="E31:E35" si="14">IF(D31&lt;=25000,D31,IF(D31&gt;25000,25000,0))</f>
        <v>0</v>
      </c>
      <c r="F31" s="1814">
        <f t="shared" ref="F31:F35" si="15">IF(OR(B31="10-1000-100",B31="10-1000-200",B31="10-1000-300",B31="10-1000-400",B31="10-1000-600",B31="10-1000-800",B31="50-1000-200",B31="10-2100-100",B31="10-2100-200",B31="10-2100-300",B31="10-2100-400",B31="10-2100-600",B31="10-2100-800",B31="20-2100-200",B31="20-2190-100",B31="20-2190-200",B31="20-2190-300",B31="20-2190-400",B31="20-2190-600",B31="20-2190-800",B31="40-2190-100",B31="40-2190-200",B31="40-2190-300",B31="40-2190-400",B31="40-2190-600",B31="40-2190-800",B31="50-2190-200",B31="10-2200-100",B31="10-2200-200",B31="10-2200-300",B31="10-2200-400",B31="10-2200-600",B31="10-2200-800",B31="50-2200-200",B31="10-2300-100",B31="10-2300-200",B31="10-2300-300",B31="10-2300-400",B31="10-2300-600",B31="10-2300-800",B31="50-2300-200",B31="80-2300-100",B31="80-2300-200",B31="80-2300-300",B31="80-2300-400",B31="80-2300-600",B31="80-2300-800",B31="10-2400-100",B31="10-2400-200",B31="10-2400-300",B31="10-2400-400",B31="10-2400-600",B31="10-2400-800",B31="50-2400-200",B31="10-2510-100",B31="10-2510-200",B31="10-2510-300",B31="10-2510-400",B31="10-2510-600",B31="10-2510-800",B31="20-2510-100",B31="20-2510-200",B31="20-2510-300",B31="20-2510-400",B31="20-2510-600",B31="20-2510-800",B31="50-2510-200",B31="10-2520-100",B31="10-2520-200",B31="10-2520-300",B31="10-2520-400",B31="10-2520-600",B31="10-2520-800",B31="50-2520-200",B31="10-2540-100",B31="10-2540-200",B31="10-2540-300",B31="10-2540-400",B31="10-2540-600",B31="20-2540-800",B31="20-2540-100",B31="20-2540-200",B31="20-2540-300",B31="20-2540-400",B31="20-2540-600",B31="50-2540-200",B31="90-2540-100",B31="90-2540-200",B31="90-2540-300",B31="90-2540-400",B31="90-2540-600",B31="90-2540-800",B31="90-2540-800",B31="10-2550-100",B31="10-2550-200",B31="10-2550-300",B31="10-2550-400",B31="10-2550-600",B31="10-2550-800",B31="20-2550-100",B31="20-2550-200",B31="20-2550-300",B31="20-2550-400",B31="20-2550-600",B31="20-2550-800",B31="40-2550-100",B31="40-2550-200",B31="40-2550-300",B31="40-2550-400",B31="40-2550-600",B31="40-2550-800",B31="50-2550-200",B31="10-2560-100",B31="10-2560-200",B31="10-2560-300",B31="10-2560-400",B31="10-2560-600",B31="10-2560-800",B31="20-2560-100",B31="20-2560-200",B31="20-2560-300",B31="20-2560-400",B31="20-2560-600",B31="20-2560-800",B31="50-2560-200",B31="10-2570-100",B31="10-2570-200",B31="10-2570-300",B31="10-2570-400",B31="10-2570-600",B31="10-2570-800",B31="50-2570-200",B31="10-2610-100",B31="10-2610-200",B31="10-2610-300",B31="10-2610-400",B31="10-2610-600",B31="10-2610-800",B31="50-2610-200",B31="10-2620-100",B31="10-2620-200",B31="10-2620-300",B31="10-2620-400",B31="10-2620-600",B31="10-2620-800",B31="50-2620-200",B31="10-2630-100",B31="10-2630-200",B31="10-2630-300",B31="10-2630-400",B31="10-2630-600",B31="10-2630-800",B31="50-2630-200",B31="10-2640-100",B31="10-2640-200",B31="10-2640-300",B31="10-2640-400",B31="10-2640-600",B31="10-2640-800",B31="50-2640-200",B31="10-2660-100",B31="10-2660-200",B31="10-2660-300",B31="10-2660-400",B31="10-2660-600",B31="10-2660-800",B31="50-2660-200",B31="10-2900-100",B31="10-2900-200",B31="10-2900-300",B31="10-2900-400",B31="10-2900-600",B31="10-2900-800",B31="20-2900-100",B31="20-2900-200",B31="20-2900-300",B31="20-2900-400",B31="20-2900-600",B31="20-2900-800",B31="40-2900-100",B31="40-2900-200",B31="40-2900-300",B31="40-2900-400",B31="40-2900-600",B31="40-2900-800",B31="50-2900-200",B31="60-2900-100",B31="60-2900-200",B31="60-2900-300",B31="60-2900-400",B31="60-2900-600",B31="60-2900-800",B31="90-2900-100",B31="90-2900-200",B31="90-2900-300",B31="90-2900-400",B31="90-2900-600",B31="90-2900-800",B31="10-3000-100",B31="10-3000-200",B31="10-3000-300",B31="10-3000-400",B31="10-3000-600",B31="10-3000-800",B31="20-3000-100",B31="20-3000-200",B31="20-3000-300",B31="20-3000-400",B31="20-3000-600",B31="20-3000-800",B31="40-3000-100",B31="40-3000-200",B31="40-3000-300",B31="40-3000-400",B31="40-3000-600",B31="40-3000-800",B31="50-3000-200"),E31,0)</f>
        <v>0</v>
      </c>
      <c r="G31" s="1815">
        <f t="shared" ref="G31:G35" si="16">IF(F31=0,0,D31-F31)</f>
        <v>0</v>
      </c>
    </row>
    <row r="32" spans="1:8" x14ac:dyDescent="0.25">
      <c r="A32" s="1675"/>
      <c r="B32" s="1688"/>
      <c r="C32" s="1676"/>
      <c r="D32" s="1866"/>
      <c r="E32" s="1562">
        <f t="shared" si="14"/>
        <v>0</v>
      </c>
      <c r="F32" s="1814">
        <f t="shared" si="15"/>
        <v>0</v>
      </c>
      <c r="G32" s="1815">
        <f t="shared" si="16"/>
        <v>0</v>
      </c>
    </row>
    <row r="33" spans="1:7" x14ac:dyDescent="0.25">
      <c r="A33" s="1675"/>
      <c r="B33" s="1688"/>
      <c r="C33" s="1676"/>
      <c r="D33" s="1866"/>
      <c r="E33" s="1562">
        <f t="shared" si="14"/>
        <v>0</v>
      </c>
      <c r="F33" s="1814">
        <f t="shared" si="15"/>
        <v>0</v>
      </c>
      <c r="G33" s="1815">
        <f t="shared" si="16"/>
        <v>0</v>
      </c>
    </row>
    <row r="34" spans="1:7" x14ac:dyDescent="0.25">
      <c r="A34" s="1675"/>
      <c r="B34" s="1688"/>
      <c r="C34" s="1676"/>
      <c r="D34" s="1866"/>
      <c r="E34" s="1562">
        <f t="shared" si="14"/>
        <v>0</v>
      </c>
      <c r="F34" s="1814">
        <f t="shared" si="15"/>
        <v>0</v>
      </c>
      <c r="G34" s="1815">
        <f t="shared" si="16"/>
        <v>0</v>
      </c>
    </row>
    <row r="35" spans="1:7" x14ac:dyDescent="0.25">
      <c r="A35" s="1675"/>
      <c r="B35" s="1688"/>
      <c r="C35" s="1676"/>
      <c r="D35" s="1866"/>
      <c r="E35" s="1562">
        <f t="shared" si="14"/>
        <v>0</v>
      </c>
      <c r="F35" s="1814">
        <f t="shared" si="15"/>
        <v>0</v>
      </c>
      <c r="G35" s="1815">
        <f t="shared" si="16"/>
        <v>0</v>
      </c>
    </row>
    <row r="36" spans="1:7" x14ac:dyDescent="0.25">
      <c r="A36" s="1675"/>
      <c r="B36" s="1687"/>
      <c r="C36" s="1676"/>
      <c r="D36" s="1866"/>
      <c r="E36" s="1562">
        <f t="shared" si="2"/>
        <v>0</v>
      </c>
      <c r="F36" s="1814">
        <f t="shared" si="3"/>
        <v>0</v>
      </c>
      <c r="G36" s="1815">
        <f t="shared" si="4"/>
        <v>0</v>
      </c>
    </row>
    <row r="37" spans="1:7" x14ac:dyDescent="0.25">
      <c r="A37" s="1818" t="s">
        <v>158</v>
      </c>
      <c r="B37" s="1819"/>
      <c r="C37" s="1820"/>
      <c r="D37" s="1816">
        <f>SUM(D17:D36)</f>
        <v>13709</v>
      </c>
      <c r="E37" s="1563">
        <f t="shared" si="1"/>
        <v>13709</v>
      </c>
      <c r="F37" s="1816">
        <f>SUM(F17:F36)</f>
        <v>13709</v>
      </c>
      <c r="G37" s="1817">
        <f>SUM(G17:G36)</f>
        <v>0</v>
      </c>
    </row>
  </sheetData>
  <sheetProtection selectLockedCells="1"/>
  <mergeCells count="6">
    <mergeCell ref="A13:G13"/>
    <mergeCell ref="A4:G5"/>
    <mergeCell ref="A11:G11"/>
    <mergeCell ref="A7:G7"/>
    <mergeCell ref="A8:G8"/>
    <mergeCell ref="A9:G9"/>
  </mergeCells>
  <pageMargins left="0.2" right="0.2" top="0.5" bottom="0.25" header="0.3" footer="0.3"/>
  <pageSetup scale="85"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514892</v>
      </c>
      <c r="F19" s="1821"/>
      <c r="G19" s="1823">
        <f>'Expenditures 15-22'!K33-SUM('Expenditures 15-22'!G33,'Expenditures 15-22'!I33)+'Expenditures 15-22'!D229</f>
        <v>514892</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23739</v>
      </c>
      <c r="F21" s="1824"/>
      <c r="G21" s="1827">
        <f>'Expenditures 15-22'!K42-SUM('Expenditures 15-22'!G42,'Expenditures 15-22'!I42)+'Expenditures 15-22'!K120-SUM('Expenditures 15-22'!G120,'Expenditures 15-22'!I120)+'Expenditures 15-22'!K180-SUM('Expenditures 15-22'!G180,'Expenditures 15-22'!I180)+'Expenditures 15-22'!D238</f>
        <v>23739</v>
      </c>
      <c r="H21" s="988"/>
      <c r="I21" s="162"/>
    </row>
    <row r="22" spans="1:9" s="669" customFormat="1" ht="12" customHeight="1" x14ac:dyDescent="0.2">
      <c r="A22" s="995" t="s">
        <v>585</v>
      </c>
      <c r="B22" s="996"/>
      <c r="C22" s="994">
        <v>2200</v>
      </c>
      <c r="D22" s="1824"/>
      <c r="E22" s="1826">
        <f>'Expenditures 15-22'!K47-SUM('Expenditures 15-22'!G47,'Expenditures 15-22'!I47)+'Expenditures 15-22'!D243</f>
        <v>2496</v>
      </c>
      <c r="F22" s="1824"/>
      <c r="G22" s="1827">
        <f>'Expenditures 15-22'!K47-SUM('Expenditures 15-22'!G47,'Expenditures 15-22'!I47)+'Expenditures 15-22'!D243</f>
        <v>2496</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203281</v>
      </c>
      <c r="F23" s="1824"/>
      <c r="G23" s="1826">
        <f>'Expenditures 15-22'!K53-SUM('Expenditures 15-22'!G53,'Expenditures 15-22'!I53)+'Expenditures 15-22'!D257+'Expenditures 15-22'!K330-SUM('Expenditures 15-22'!G330,'Expenditures 15-22'!I330)</f>
        <v>203281</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52824</v>
      </c>
      <c r="E27" s="1826">
        <f>E8</f>
        <v>0</v>
      </c>
      <c r="F27" s="1826">
        <f>'Expenditures 15-22'!K60-SUM('Expenditures 15-22'!G60,'Expenditures 15-22'!I60)+'Expenditures 15-22'!D264-E8</f>
        <v>52824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97624</v>
      </c>
      <c r="F28" s="1828">
        <f>'Expenditures 15-22'!K61-SUM('Expenditures 15-22'!G61,'Expenditures 15-22'!I61)+'Expenditures 15-22'!K124-SUM('Expenditures 15-22'!G124,'Expenditures 15-22'!I124)+'Expenditures 15-22'!D266-E9</f>
        <v>97624</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101396</v>
      </c>
      <c r="F29" s="1824"/>
      <c r="G29" s="1827">
        <f>'Expenditures 15-22'!K62-SUM('Expenditures 15-22'!G62,'Expenditures 15-22'!I62)+'Expenditures 15-22'!K125-SUM('Expenditures 15-22'!G125,'Expenditures 15-22'!I125)+'Expenditures 15-22'!K182-SUM('Expenditures 15-22'!G182,'Expenditures 15-22'!I182)+'Expenditures 15-22'!D267</f>
        <v>101396</v>
      </c>
      <c r="H29" s="986"/>
    </row>
    <row r="30" spans="1:9" ht="12" customHeight="1" x14ac:dyDescent="0.2">
      <c r="A30" s="995" t="s">
        <v>102</v>
      </c>
      <c r="B30" s="998"/>
      <c r="C30" s="994">
        <v>2560</v>
      </c>
      <c r="D30" s="1824"/>
      <c r="E30" s="1826">
        <f>'Expenditures 15-22'!K63-SUM('Expenditures 15-22'!G63,'Expenditures 15-22'!I63)+'Expenditures 15-22'!D268-E10</f>
        <v>36881</v>
      </c>
      <c r="F30" s="1824"/>
      <c r="G30" s="1826">
        <f>'Expenditures 15-22'!K63-SUM('Expenditures 15-22'!G63,'Expenditures 15-22'!I63)+'Expenditures 15-22'!D268-E10</f>
        <v>36881</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29'!G37</f>
        <v>0</v>
      </c>
      <c r="F40" s="1824"/>
      <c r="G40" s="1828">
        <f>-'Contracts Paid in CY 29'!G37</f>
        <v>0</v>
      </c>
    </row>
    <row r="41" spans="1:7" ht="12" customHeight="1" x14ac:dyDescent="0.2">
      <c r="A41" s="999" t="s">
        <v>158</v>
      </c>
      <c r="B41" s="1000"/>
      <c r="C41" s="1001"/>
      <c r="D41" s="1828">
        <f>SUM(D19:D39)</f>
        <v>52824</v>
      </c>
      <c r="E41" s="1828">
        <f>SUM(E19:E40)</f>
        <v>980309</v>
      </c>
      <c r="F41" s="1828">
        <f>SUM(F19:F39)</f>
        <v>150448</v>
      </c>
      <c r="G41" s="1828">
        <f>SUM(G19:G40)</f>
        <v>882685</v>
      </c>
    </row>
    <row r="42" spans="1:7" x14ac:dyDescent="0.2">
      <c r="A42" s="988"/>
      <c r="B42" s="162"/>
      <c r="C42" s="1002"/>
      <c r="D42" s="2303" t="s">
        <v>543</v>
      </c>
      <c r="E42" s="2304"/>
      <c r="F42" s="1003" t="s">
        <v>544</v>
      </c>
      <c r="G42" s="1004"/>
    </row>
    <row r="43" spans="1:7" ht="12" customHeight="1" x14ac:dyDescent="0.2">
      <c r="A43" s="988"/>
      <c r="B43" s="162"/>
      <c r="C43" s="1002"/>
      <c r="D43" s="1829" t="s">
        <v>493</v>
      </c>
      <c r="E43" s="1830">
        <f>D41</f>
        <v>52824</v>
      </c>
      <c r="F43" s="1829" t="s">
        <v>495</v>
      </c>
      <c r="G43" s="1830">
        <f>F41</f>
        <v>150448</v>
      </c>
    </row>
    <row r="44" spans="1:7" ht="12" customHeight="1" x14ac:dyDescent="0.2">
      <c r="A44" s="988"/>
      <c r="B44" s="162"/>
      <c r="C44" s="1002"/>
      <c r="D44" s="1829" t="s">
        <v>494</v>
      </c>
      <c r="E44" s="1830">
        <f>E41</f>
        <v>980309</v>
      </c>
      <c r="F44" s="1829" t="s">
        <v>494</v>
      </c>
      <c r="G44" s="1830">
        <f>G41</f>
        <v>882685</v>
      </c>
    </row>
    <row r="45" spans="1:7" ht="12" customHeight="1" x14ac:dyDescent="0.2">
      <c r="A45" s="988"/>
      <c r="B45" s="162"/>
      <c r="C45" s="162"/>
      <c r="D45" s="1831" t="s">
        <v>1063</v>
      </c>
      <c r="E45" s="1832">
        <f>(E43/E44)</f>
        <v>5.3885050529985955E-2</v>
      </c>
      <c r="F45" s="1831" t="s">
        <v>1063</v>
      </c>
      <c r="G45" s="1832">
        <f>(G43/G44)</f>
        <v>0.17044358972906529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tabSelected="1" zoomScale="110" zoomScaleNormal="110" workbookViewId="0">
      <pane ySplit="4" topLeftCell="A7" activePane="bottomLeft" state="frozen"/>
      <selection activeCell="A47" sqref="A47"/>
      <selection pane="bottomLeft" activeCell="F20" sqref="F20"/>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1" t="s">
        <v>1446</v>
      </c>
      <c r="B1" s="2311"/>
      <c r="C1" s="2311"/>
      <c r="D1" s="2311"/>
      <c r="E1" s="2311"/>
      <c r="F1" s="2311"/>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2" t="s">
        <v>1627</v>
      </c>
      <c r="B5" s="2313"/>
      <c r="C5" s="2314"/>
      <c r="D5" s="2314"/>
      <c r="E5" s="2314"/>
      <c r="F5" s="2314"/>
    </row>
    <row r="6" spans="1:10" ht="12" customHeight="1" x14ac:dyDescent="0.25">
      <c r="A6" s="1873"/>
      <c r="B6" s="1874"/>
      <c r="C6" s="2315" t="str">
        <f>COVER!A17</f>
        <v>ESWOOD CCSD #269</v>
      </c>
      <c r="D6" s="2315"/>
      <c r="E6" s="2315"/>
      <c r="F6" s="1875"/>
    </row>
    <row r="7" spans="1:10" ht="11.25" customHeight="1" thickBot="1" x14ac:dyDescent="0.3">
      <c r="A7" s="1873"/>
      <c r="B7" s="1874"/>
      <c r="C7" s="2316" t="str">
        <f>COVER!A13</f>
        <v>47-071-2690-04</v>
      </c>
      <c r="D7" s="2316"/>
      <c r="E7" s="2316"/>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2077</v>
      </c>
      <c r="D19" s="1888" t="s">
        <v>2077</v>
      </c>
      <c r="E19" s="1891"/>
      <c r="F19" s="1890" t="s">
        <v>2102</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2077</v>
      </c>
      <c r="D26" s="1888" t="s">
        <v>2077</v>
      </c>
      <c r="E26" s="1891"/>
      <c r="F26" s="1890" t="s">
        <v>2101</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1459</v>
      </c>
      <c r="B35" s="1895"/>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6"/>
      <c r="B39" s="1896"/>
      <c r="C39" s="1896"/>
      <c r="D39" s="1896"/>
      <c r="E39" s="1896"/>
      <c r="F39" s="1896"/>
    </row>
    <row r="40" spans="1:11" s="1893" customFormat="1" ht="12" customHeight="1" x14ac:dyDescent="0.25">
      <c r="A40" s="1897" t="s">
        <v>1458</v>
      </c>
      <c r="B40" s="1898"/>
      <c r="C40" s="2325"/>
      <c r="D40" s="2325"/>
      <c r="E40" s="2325"/>
      <c r="F40" s="2326"/>
      <c r="H40" s="1902"/>
      <c r="I40" s="1902"/>
      <c r="J40" s="1902"/>
      <c r="K40" s="1902"/>
    </row>
    <row r="41" spans="1:11" s="1893" customFormat="1" ht="12" customHeight="1" x14ac:dyDescent="0.25">
      <c r="A41" s="2327"/>
      <c r="B41" s="2328"/>
      <c r="C41" s="2328"/>
      <c r="D41" s="2328"/>
      <c r="E41" s="2328"/>
      <c r="F41" s="2329"/>
      <c r="H41" s="1902"/>
      <c r="I41" s="1902"/>
      <c r="J41" s="1902"/>
      <c r="K41" s="1902"/>
    </row>
    <row r="42" spans="1:11" s="1893" customFormat="1" ht="12" customHeight="1" x14ac:dyDescent="0.25">
      <c r="A42" s="2327"/>
      <c r="B42" s="2328"/>
      <c r="C42" s="2328"/>
      <c r="D42" s="2328"/>
      <c r="E42" s="2328"/>
      <c r="F42" s="2329"/>
      <c r="H42" s="1902"/>
      <c r="I42" s="1902"/>
      <c r="J42" s="1902"/>
      <c r="K42" s="1902"/>
    </row>
    <row r="43" spans="1:11" s="1893" customFormat="1" ht="15" x14ac:dyDescent="0.25">
      <c r="A43" s="2319"/>
      <c r="B43" s="2320"/>
      <c r="C43" s="2320"/>
      <c r="D43" s="2320"/>
      <c r="E43" s="2320"/>
      <c r="F43" s="2321"/>
      <c r="H43" s="1902"/>
      <c r="I43" s="1902"/>
      <c r="J43" s="1902"/>
      <c r="K43" s="1902"/>
    </row>
    <row r="44" spans="1:11" s="1893" customFormat="1" ht="12" hidden="1" customHeight="1" x14ac:dyDescent="0.25">
      <c r="A44" s="2319"/>
      <c r="B44" s="2320"/>
      <c r="C44" s="2320"/>
      <c r="D44" s="2320"/>
      <c r="E44" s="2320"/>
      <c r="F44" s="2321"/>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5" t="str">
        <f>COVER!A17</f>
        <v>ESWOOD CCSD #269</v>
      </c>
      <c r="J6" s="2336"/>
      <c r="Q6" s="1685"/>
    </row>
    <row r="7" spans="1:17" x14ac:dyDescent="0.2">
      <c r="A7" s="2337" t="s">
        <v>924</v>
      </c>
      <c r="B7" s="2338"/>
      <c r="C7" s="2338"/>
      <c r="D7" s="2338"/>
      <c r="E7" s="2339"/>
      <c r="F7" s="1018"/>
      <c r="G7" s="1010"/>
      <c r="H7" s="1017" t="s">
        <v>390</v>
      </c>
      <c r="I7" s="2340" t="str">
        <f>COVER!A13</f>
        <v>47-071-2690-04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76866</v>
      </c>
      <c r="F12" s="1040"/>
      <c r="G12" s="1833">
        <f t="shared" ref="G12:G18" si="0">SUM(E12:F12)</f>
        <v>76866</v>
      </c>
      <c r="H12" s="1041">
        <v>80709</v>
      </c>
      <c r="I12" s="1040"/>
      <c r="J12" s="1833">
        <f t="shared" ref="J12:J18" si="1">SUM(H12:I12)</f>
        <v>80709</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4" t="s">
        <v>7</v>
      </c>
      <c r="C18" s="2345"/>
      <c r="D18" s="2346"/>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76866</v>
      </c>
      <c r="F19" s="1835">
        <f t="shared" si="2"/>
        <v>0</v>
      </c>
      <c r="G19" s="1835">
        <f t="shared" si="2"/>
        <v>76866</v>
      </c>
      <c r="H19" s="1835">
        <f t="shared" si="2"/>
        <v>80709</v>
      </c>
      <c r="I19" s="1835">
        <f t="shared" si="2"/>
        <v>0</v>
      </c>
      <c r="J19" s="1835">
        <f t="shared" si="2"/>
        <v>80709</v>
      </c>
    </row>
    <row r="20" spans="1:10" ht="13.5" thickTop="1" x14ac:dyDescent="0.2">
      <c r="A20" s="1036">
        <v>9</v>
      </c>
      <c r="B20" s="2347" t="s">
        <v>1703</v>
      </c>
      <c r="C20" s="2347"/>
      <c r="D20" s="2348"/>
      <c r="E20" s="1047"/>
      <c r="F20" s="1047"/>
      <c r="G20" s="1047"/>
      <c r="H20" s="1047"/>
      <c r="I20" s="1047"/>
      <c r="J20" s="1836">
        <f>IF(AND(G19&gt;0,J19&gt;0),(((J19-G19)/G19)),"Enter Budget Data")</f>
        <v>4.9996097104051208E-2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6" t="s">
        <v>2104</v>
      </c>
    </row>
    <row r="6" spans="1:2" x14ac:dyDescent="0.2">
      <c r="A6" s="1069">
        <v>2</v>
      </c>
      <c r="B6" s="1956" t="s">
        <v>2105</v>
      </c>
    </row>
    <row r="7" spans="1:2" x14ac:dyDescent="0.2">
      <c r="A7" s="1069">
        <v>3</v>
      </c>
      <c r="B7" s="1956" t="s">
        <v>2106</v>
      </c>
    </row>
    <row r="8" spans="1:2" x14ac:dyDescent="0.2">
      <c r="A8" s="1069">
        <v>4</v>
      </c>
      <c r="B8" s="1957" t="s">
        <v>2110</v>
      </c>
    </row>
    <row r="9" spans="1:2" x14ac:dyDescent="0.2">
      <c r="A9" s="1069">
        <v>5</v>
      </c>
      <c r="B9" s="1957" t="s">
        <v>2107</v>
      </c>
    </row>
    <row r="10" spans="1:2" x14ac:dyDescent="0.2">
      <c r="A10" s="1069">
        <v>6</v>
      </c>
      <c r="B10" s="1956" t="s">
        <v>2108</v>
      </c>
    </row>
    <row r="11" spans="1:2" x14ac:dyDescent="0.2">
      <c r="A11" s="1069">
        <v>7</v>
      </c>
      <c r="B11" s="1956" t="s">
        <v>2109</v>
      </c>
    </row>
    <row r="12" spans="1:2" x14ac:dyDescent="0.2">
      <c r="A12" s="1069">
        <v>8</v>
      </c>
      <c r="B12" s="1956" t="s">
        <v>2103</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ESWOOD CCSD #269</v>
      </c>
    </row>
    <row r="66" spans="1:2" x14ac:dyDescent="0.2">
      <c r="B66" s="1071" t="str">
        <f>COVER!A13</f>
        <v>47-071-2690-04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7" sqref="C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0</xdr:col>
                <xdr:colOff>114300</xdr:colOff>
                <xdr:row>2</xdr:row>
                <xdr:rowOff>28575</xdr:rowOff>
              </from>
              <to>
                <xdr:col>1</xdr:col>
                <xdr:colOff>904875</xdr:colOff>
                <xdr:row>6</xdr:row>
                <xdr:rowOff>66675</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Exch.Document.DC" dvAspect="DVASPECT_ICON" shapeId="35842" r:id="rId6">
          <objectPr defaultSize="0" r:id="rId5">
            <anchor moveWithCells="1">
              <from>
                <xdr:col>1</xdr:col>
                <xdr:colOff>1390650</xdr:colOff>
                <xdr:row>2</xdr:row>
                <xdr:rowOff>19050</xdr:rowOff>
              </from>
              <to>
                <xdr:col>1</xdr:col>
                <xdr:colOff>2305050</xdr:colOff>
                <xdr:row>6</xdr:row>
                <xdr:rowOff>57150</xdr:rowOff>
              </to>
            </anchor>
          </objectPr>
        </oleObject>
      </mc:Choice>
      <mc:Fallback>
        <oleObject progId="AcroExch.Document.DC"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M21" sqref="M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918312</v>
      </c>
      <c r="C8" s="1837">
        <f>'Acct Summary 7-8'!D8</f>
        <v>167402</v>
      </c>
      <c r="D8" s="1837">
        <f>'Acct Summary 7-8'!F8</f>
        <v>105635</v>
      </c>
      <c r="E8" s="1837">
        <f>'Acct Summary 7-8'!I8</f>
        <v>14691</v>
      </c>
      <c r="F8" s="1837">
        <f>SUM(B8:E8)</f>
        <v>1206040</v>
      </c>
    </row>
    <row r="9" spans="1:8" s="1080" customFormat="1" ht="14.25" customHeight="1" thickBot="1" x14ac:dyDescent="0.25">
      <c r="A9" s="1079" t="s">
        <v>1436</v>
      </c>
      <c r="B9" s="1838">
        <f>'Acct Summary 7-8'!C17</f>
        <v>772496</v>
      </c>
      <c r="C9" s="1838">
        <f>'Acct Summary 7-8'!D17</f>
        <v>101583</v>
      </c>
      <c r="D9" s="1838">
        <f>'Acct Summary 7-8'!F17</f>
        <v>96255</v>
      </c>
      <c r="E9" s="1837"/>
      <c r="F9" s="1837">
        <f>SUM(B9:E9)</f>
        <v>970334</v>
      </c>
    </row>
    <row r="10" spans="1:8" s="1080" customFormat="1" ht="14.25" thickTop="1" thickBot="1" x14ac:dyDescent="0.25">
      <c r="A10" s="1081" t="s">
        <v>1437</v>
      </c>
      <c r="B10" s="1839">
        <f>(B8-B9)</f>
        <v>145816</v>
      </c>
      <c r="C10" s="1839">
        <f>(C8-C9)</f>
        <v>65819</v>
      </c>
      <c r="D10" s="1839">
        <f>(D8-D9)</f>
        <v>9380</v>
      </c>
      <c r="E10" s="1838">
        <f>(E8-E9)</f>
        <v>14691</v>
      </c>
      <c r="F10" s="1840">
        <f>SUM(F8-F9)</f>
        <v>235706</v>
      </c>
    </row>
    <row r="11" spans="1:8" s="1080" customFormat="1" ht="14.25" thickTop="1" thickBot="1" x14ac:dyDescent="0.25">
      <c r="A11" s="1082" t="s">
        <v>1785</v>
      </c>
      <c r="B11" s="1841">
        <f>'Acct Summary 7-8'!C81</f>
        <v>846370</v>
      </c>
      <c r="C11" s="1841">
        <f>'Acct Summary 7-8'!D81</f>
        <v>382177</v>
      </c>
      <c r="D11" s="1841">
        <f>'Acct Summary 7-8'!F81</f>
        <v>117871</v>
      </c>
      <c r="E11" s="1841">
        <f>'Acct Summary 7-8'!I81</f>
        <v>88581</v>
      </c>
      <c r="F11" s="1842">
        <f>SUM(B11:E11)</f>
        <v>1434999</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85" sqref="D8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29'!D37&gt;0,"OK","PLEASE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47-071-2690-04</v>
      </c>
    </row>
    <row r="3" spans="1:2" x14ac:dyDescent="0.2">
      <c r="A3" t="s">
        <v>1013</v>
      </c>
      <c r="B3" s="138" t="str">
        <f>COVER!A15</f>
        <v>OGLE</v>
      </c>
    </row>
    <row r="4" spans="1:2" x14ac:dyDescent="0.2">
      <c r="A4" t="s">
        <v>1064</v>
      </c>
      <c r="B4" s="138" t="str">
        <f>COVER!A17</f>
        <v>ESWOOD CCSD #269</v>
      </c>
    </row>
    <row r="5" spans="1:2" x14ac:dyDescent="0.2">
      <c r="A5" t="s">
        <v>728</v>
      </c>
      <c r="B5" s="138" t="str">
        <f>COVER!A38</f>
        <v>JOSEPH SCHWARTZ</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846370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846370</v>
      </c>
      <c r="D92" s="2" t="str">
        <f t="shared" si="0"/>
        <v>Error?</v>
      </c>
    </row>
    <row r="93" spans="1:4" x14ac:dyDescent="0.2">
      <c r="A93" s="5">
        <v>32</v>
      </c>
      <c r="B93" s="138">
        <f>'Assets-Liab 5-6'!C41</f>
        <v>846370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382177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382177</v>
      </c>
      <c r="D123" s="2" t="str">
        <f t="shared" si="0"/>
        <v>Error?</v>
      </c>
    </row>
    <row r="124" spans="1:4" x14ac:dyDescent="0.2">
      <c r="A124" s="5">
        <v>63</v>
      </c>
      <c r="B124" s="138">
        <f>'Assets-Liab 5-6'!D41</f>
        <v>382177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117871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117871</v>
      </c>
      <c r="D170" s="2" t="str">
        <f t="shared" si="1"/>
        <v>Error?</v>
      </c>
    </row>
    <row r="171" spans="1:4" x14ac:dyDescent="0.2">
      <c r="A171" s="5">
        <v>110</v>
      </c>
      <c r="B171" s="138">
        <f>'Assets-Liab 5-6'!F41</f>
        <v>117871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50186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50186</v>
      </c>
      <c r="D189" s="2" t="str">
        <f t="shared" si="1"/>
        <v>Error?</v>
      </c>
    </row>
    <row r="190" spans="1:4" x14ac:dyDescent="0.2">
      <c r="A190" s="5">
        <v>129</v>
      </c>
      <c r="B190" s="138">
        <f>'Assets-Liab 5-6'!G41</f>
        <v>50186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11979</v>
      </c>
      <c r="D273" s="2" t="str">
        <f t="shared" si="3"/>
        <v>Error?</v>
      </c>
    </row>
    <row r="274" spans="1:4" x14ac:dyDescent="0.2">
      <c r="A274" s="5">
        <v>213</v>
      </c>
      <c r="B274" s="138">
        <f>'Assets-Liab 5-6'!M17</f>
        <v>838250</v>
      </c>
      <c r="D274" s="2" t="str">
        <f t="shared" si="3"/>
        <v>Error?</v>
      </c>
    </row>
    <row r="275" spans="1:4" x14ac:dyDescent="0.2">
      <c r="A275" s="5">
        <v>214</v>
      </c>
      <c r="B275" s="138">
        <f>'Assets-Liab 5-6'!M18</f>
        <v>222762</v>
      </c>
      <c r="D275" s="2" t="str">
        <f t="shared" si="3"/>
        <v>Error?</v>
      </c>
    </row>
    <row r="276" spans="1:4" x14ac:dyDescent="0.2">
      <c r="A276" s="5">
        <v>215</v>
      </c>
      <c r="B276" s="138">
        <f>'Assets-Liab 5-6'!M19</f>
        <v>38478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1111469</v>
      </c>
      <c r="C279" s="2" t="s">
        <v>594</v>
      </c>
      <c r="D279" s="2" t="str">
        <f t="shared" si="3"/>
        <v>Error?</v>
      </c>
    </row>
    <row r="280" spans="1:4" x14ac:dyDescent="0.2">
      <c r="A280" s="5">
        <v>219</v>
      </c>
      <c r="B280" s="138">
        <f>'Assets-Liab 5-6'!M40</f>
        <v>1111469</v>
      </c>
      <c r="D280" s="2" t="str">
        <f t="shared" si="3"/>
        <v>Error?</v>
      </c>
    </row>
    <row r="281" spans="1:4" x14ac:dyDescent="0.2">
      <c r="A281" s="5">
        <v>220</v>
      </c>
      <c r="B281" s="138">
        <f>'Assets-Liab 5-6'!M41</f>
        <v>1111469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350541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384775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8843</v>
      </c>
      <c r="D726" s="2" t="str">
        <f t="shared" si="10"/>
        <v>Error?</v>
      </c>
    </row>
    <row r="727" spans="1:4" x14ac:dyDescent="0.2">
      <c r="A727" s="5">
        <v>666</v>
      </c>
      <c r="B727" s="138">
        <f>'Expenditures 15-22'!C42</f>
        <v>8843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59062</v>
      </c>
      <c r="D733" s="2" t="str">
        <f t="shared" si="10"/>
        <v>Error?</v>
      </c>
    </row>
    <row r="734" spans="1:4" x14ac:dyDescent="0.2">
      <c r="A734" s="5">
        <v>673</v>
      </c>
      <c r="B734" s="138">
        <f>'Expenditures 15-22'!C53</f>
        <v>59062</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36018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20354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56372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124277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509052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90951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482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91433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13983</v>
      </c>
      <c r="D791" s="2" t="str">
        <f t="shared" si="11"/>
        <v>Error?</v>
      </c>
    </row>
    <row r="792" spans="1:4" x14ac:dyDescent="0.2">
      <c r="A792" s="5">
        <v>731</v>
      </c>
      <c r="B792" s="138">
        <f>'Expenditures 15-22'!D53</f>
        <v>13983</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7564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7564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21547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112980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5720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13709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14219</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4880</v>
      </c>
      <c r="D848" s="2" t="str">
        <f t="shared" si="12"/>
        <v>Error?</v>
      </c>
    </row>
    <row r="849" spans="1:4" x14ac:dyDescent="0.2">
      <c r="A849" s="5">
        <v>788</v>
      </c>
      <c r="B849" s="138">
        <f>'Expenditures 15-22'!E50</f>
        <v>707</v>
      </c>
      <c r="D849" s="2" t="str">
        <f t="shared" si="12"/>
        <v>Error?</v>
      </c>
    </row>
    <row r="850" spans="1:4" x14ac:dyDescent="0.2">
      <c r="A850" s="5">
        <v>789</v>
      </c>
      <c r="B850" s="138">
        <f>'Expenditures 15-22'!E53</f>
        <v>5587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20928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26648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17527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18290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2297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2297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1416</v>
      </c>
      <c r="D907" s="2" t="str">
        <f t="shared" si="13"/>
        <v>Error?</v>
      </c>
    </row>
    <row r="908" spans="1:4" x14ac:dyDescent="0.2">
      <c r="A908" s="5">
        <v>847</v>
      </c>
      <c r="B908" s="138">
        <f>'Expenditures 15-22'!F53</f>
        <v>1416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448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11679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12127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15840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34130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2918</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2918</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2918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2918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4403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494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4897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199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199</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1698</v>
      </c>
      <c r="D1023" s="2" t="str">
        <f t="shared" ref="D1023:D1086" si="15">IF(ISBLANK(B1023),"OK",IF(A1023-B1023=0,"OK","Error?"))</f>
        <v>Error?</v>
      </c>
    </row>
    <row r="1024" spans="1:4" x14ac:dyDescent="0.2">
      <c r="A1024" s="5">
        <v>963</v>
      </c>
      <c r="B1024" s="138">
        <f>'Expenditures 15-22'!H53</f>
        <v>1698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2072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413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2485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4382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77489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86768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468242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7740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505115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510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13709</v>
      </c>
      <c r="C1113" s="2" t="s">
        <v>594</v>
      </c>
      <c r="D1113" s="2" t="str">
        <f t="shared" si="16"/>
        <v>Error?</v>
      </c>
    </row>
    <row r="1114" spans="1:4" x14ac:dyDescent="0.2">
      <c r="A1114" s="5">
        <v>1053</v>
      </c>
      <c r="B1114" s="138">
        <f>'Expenditures 15-22'!K41</f>
        <v>8843</v>
      </c>
      <c r="C1114" s="2" t="s">
        <v>594</v>
      </c>
      <c r="D1114" s="2" t="str">
        <f t="shared" si="16"/>
        <v>Error?</v>
      </c>
    </row>
    <row r="1115" spans="1:4" x14ac:dyDescent="0.2">
      <c r="A1115" s="5">
        <v>1054</v>
      </c>
      <c r="B1115" s="138">
        <f>'Expenditures 15-22'!K42</f>
        <v>23062</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2496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2496</v>
      </c>
      <c r="C1119" s="2" t="s">
        <v>594</v>
      </c>
      <c r="D1119" s="2" t="str">
        <f t="shared" si="16"/>
        <v>Error?</v>
      </c>
    </row>
    <row r="1120" spans="1:4" x14ac:dyDescent="0.2">
      <c r="A1120" s="5">
        <v>1059</v>
      </c>
      <c r="B1120" s="138">
        <f>'Expenditures 15-22'!K49</f>
        <v>7798</v>
      </c>
      <c r="C1120" s="2" t="s">
        <v>594</v>
      </c>
      <c r="D1120" s="2" t="str">
        <f t="shared" si="16"/>
        <v>Error?</v>
      </c>
    </row>
    <row r="1121" spans="1:4" x14ac:dyDescent="0.2">
      <c r="A1121" s="5">
        <v>1060</v>
      </c>
      <c r="B1121" s="138">
        <f>'Expenditures 15-22'!K50</f>
        <v>76866</v>
      </c>
      <c r="C1121" s="2" t="s">
        <v>594</v>
      </c>
      <c r="D1121" s="2" t="str">
        <f t="shared" si="16"/>
        <v>Error?</v>
      </c>
    </row>
    <row r="1122" spans="1:4" x14ac:dyDescent="0.2">
      <c r="A1122" s="5">
        <v>1061</v>
      </c>
      <c r="B1122" s="138">
        <f>'Expenditures 15-22'!K53</f>
        <v>84664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46102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33568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79670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189892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77489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772496</v>
      </c>
      <c r="C1152" s="2" t="s">
        <v>594</v>
      </c>
      <c r="D1152" s="2" t="str">
        <f t="shared" si="17"/>
        <v>Error?</v>
      </c>
    </row>
    <row r="1153" spans="1:4" x14ac:dyDescent="0.2">
      <c r="A1153" s="5">
        <v>1092</v>
      </c>
      <c r="B1153" s="138">
        <f>'Expenditures 15-22'!K115</f>
        <v>145816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13075</v>
      </c>
      <c r="D1221" s="2" t="str">
        <f t="shared" si="18"/>
        <v>Error?</v>
      </c>
    </row>
    <row r="1222" spans="1:4" x14ac:dyDescent="0.2">
      <c r="A1222" s="10">
        <v>1161</v>
      </c>
      <c r="D1222" s="2" t="str">
        <f t="shared" si="18"/>
        <v>OK</v>
      </c>
    </row>
    <row r="1223" spans="1:4" x14ac:dyDescent="0.2">
      <c r="A1223" s="5">
        <v>1162</v>
      </c>
      <c r="B1223" s="138">
        <f>'Expenditures 15-22'!C127</f>
        <v>13075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13075</v>
      </c>
      <c r="C1225" s="2" t="s">
        <v>594</v>
      </c>
      <c r="D1225" s="2" t="str">
        <f t="shared" si="18"/>
        <v>Error?</v>
      </c>
    </row>
    <row r="1226" spans="1:4" x14ac:dyDescent="0.2">
      <c r="A1226" s="5">
        <v>1165</v>
      </c>
      <c r="B1226" s="138">
        <f>'Expenditures 15-22'!C151</f>
        <v>13075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1509</v>
      </c>
      <c r="D1229" s="2" t="str">
        <f t="shared" si="18"/>
        <v>Error?</v>
      </c>
    </row>
    <row r="1230" spans="1:4" x14ac:dyDescent="0.2">
      <c r="A1230" s="10">
        <v>1169</v>
      </c>
      <c r="D1230" s="2" t="str">
        <f t="shared" si="18"/>
        <v>OK</v>
      </c>
    </row>
    <row r="1231" spans="1:4" x14ac:dyDescent="0.2">
      <c r="A1231" s="5">
        <v>1170</v>
      </c>
      <c r="B1231" s="138">
        <f>'Expenditures 15-22'!D127</f>
        <v>1509</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1509</v>
      </c>
      <c r="C1233" s="2" t="s">
        <v>594</v>
      </c>
      <c r="D1233" s="2" t="str">
        <f t="shared" si="18"/>
        <v>Error?</v>
      </c>
    </row>
    <row r="1234" spans="1:4" x14ac:dyDescent="0.2">
      <c r="A1234" s="5">
        <v>1173</v>
      </c>
      <c r="B1234" s="138">
        <f>'Expenditures 15-22'!D151</f>
        <v>1509</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47816</v>
      </c>
      <c r="D1237" s="2" t="str">
        <f t="shared" si="18"/>
        <v>Error?</v>
      </c>
    </row>
    <row r="1238" spans="1:4" x14ac:dyDescent="0.2">
      <c r="A1238" s="10">
        <v>1177</v>
      </c>
      <c r="D1238" s="2" t="str">
        <f t="shared" si="18"/>
        <v>OK</v>
      </c>
    </row>
    <row r="1239" spans="1:4" x14ac:dyDescent="0.2">
      <c r="A1239" s="5">
        <v>1178</v>
      </c>
      <c r="B1239" s="138">
        <f>'Expenditures 15-22'!E127</f>
        <v>47816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47816</v>
      </c>
      <c r="C1241" s="2" t="s">
        <v>594</v>
      </c>
      <c r="D1241" s="2" t="str">
        <f t="shared" si="18"/>
        <v>Error?</v>
      </c>
    </row>
    <row r="1242" spans="1:4" x14ac:dyDescent="0.2">
      <c r="A1242" s="5">
        <v>1181</v>
      </c>
      <c r="B1242" s="138">
        <f>'Expenditures 15-22'!E151</f>
        <v>47816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32783</v>
      </c>
      <c r="D1245" s="2" t="str">
        <f t="shared" si="18"/>
        <v>Error?</v>
      </c>
    </row>
    <row r="1246" spans="1:4" x14ac:dyDescent="0.2">
      <c r="A1246" s="10">
        <v>1185</v>
      </c>
      <c r="D1246" s="2" t="str">
        <f t="shared" si="18"/>
        <v>OK</v>
      </c>
    </row>
    <row r="1247" spans="1:4" x14ac:dyDescent="0.2">
      <c r="A1247" s="5">
        <v>1186</v>
      </c>
      <c r="B1247" s="138">
        <f>'Expenditures 15-22'!F127</f>
        <v>32783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32783</v>
      </c>
      <c r="C1249" s="2" t="s">
        <v>594</v>
      </c>
      <c r="D1249" s="2" t="str">
        <f t="shared" si="18"/>
        <v>Error?</v>
      </c>
    </row>
    <row r="1250" spans="1:4" x14ac:dyDescent="0.2">
      <c r="A1250" s="5">
        <v>1189</v>
      </c>
      <c r="B1250" s="138">
        <f>'Expenditures 15-22'!F151</f>
        <v>32783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6400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6400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6400</v>
      </c>
      <c r="C1258" s="2" t="s">
        <v>594</v>
      </c>
      <c r="D1258" s="2" t="str">
        <f t="shared" si="18"/>
        <v>Error?</v>
      </c>
    </row>
    <row r="1259" spans="1:4" x14ac:dyDescent="0.2">
      <c r="A1259" s="5">
        <v>1198</v>
      </c>
      <c r="B1259" s="138">
        <f>'Expenditures 15-22'!G151</f>
        <v>6400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101583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101583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101583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101583</v>
      </c>
      <c r="C1288" s="2" t="s">
        <v>594</v>
      </c>
      <c r="D1288" s="2" t="str">
        <f t="shared" si="19"/>
        <v>Error?</v>
      </c>
    </row>
    <row r="1289" spans="1:4" x14ac:dyDescent="0.2">
      <c r="A1289" s="5">
        <v>1228</v>
      </c>
      <c r="B1289" s="138">
        <f>'Expenditures 15-22'!K152</f>
        <v>65819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31123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31123</v>
      </c>
      <c r="C1339" s="2" t="s">
        <v>594</v>
      </c>
      <c r="D1339" s="2" t="str">
        <f t="shared" si="19"/>
        <v>Error?</v>
      </c>
    </row>
    <row r="1340" spans="1:4" x14ac:dyDescent="0.2">
      <c r="A1340" s="5">
        <v>1279</v>
      </c>
      <c r="B1340" s="138">
        <f>'Expenditures 15-22'!C210</f>
        <v>31123</v>
      </c>
      <c r="C1340" s="2" t="s">
        <v>594</v>
      </c>
      <c r="D1340" s="2" t="str">
        <f t="shared" si="19"/>
        <v>Error?</v>
      </c>
    </row>
    <row r="1341" spans="1:4" x14ac:dyDescent="0.2">
      <c r="A1341" s="5">
        <v>1280</v>
      </c>
      <c r="B1341" s="138">
        <f>'Expenditures 15-22'!D182</f>
        <v>1509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1509</v>
      </c>
      <c r="C1345" s="2" t="s">
        <v>594</v>
      </c>
      <c r="D1345" s="2" t="str">
        <f t="shared" si="20"/>
        <v>Error?</v>
      </c>
    </row>
    <row r="1346" spans="1:4" x14ac:dyDescent="0.2">
      <c r="A1346" s="5">
        <v>1285</v>
      </c>
      <c r="B1346" s="138">
        <f>'Expenditures 15-22'!D210</f>
        <v>1509</v>
      </c>
      <c r="C1346" s="2" t="s">
        <v>594</v>
      </c>
      <c r="D1346" s="2" t="str">
        <f t="shared" si="20"/>
        <v>Error?</v>
      </c>
    </row>
    <row r="1347" spans="1:4" x14ac:dyDescent="0.2">
      <c r="A1347" s="5">
        <v>1286</v>
      </c>
      <c r="B1347" s="138">
        <f>'Expenditures 15-22'!E182</f>
        <v>57513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57513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57513</v>
      </c>
      <c r="C1353" s="2" t="s">
        <v>594</v>
      </c>
      <c r="D1353" s="2" t="str">
        <f t="shared" si="20"/>
        <v>Error?</v>
      </c>
    </row>
    <row r="1354" spans="1:4" x14ac:dyDescent="0.2">
      <c r="A1354" s="5">
        <v>1293</v>
      </c>
      <c r="B1354" s="138">
        <f>'Expenditures 15-22'!F182</f>
        <v>5980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5980</v>
      </c>
      <c r="C1358" s="2" t="s">
        <v>594</v>
      </c>
      <c r="D1358" s="2" t="str">
        <f t="shared" si="20"/>
        <v>Error?</v>
      </c>
    </row>
    <row r="1359" spans="1:4" x14ac:dyDescent="0.2">
      <c r="A1359" s="5">
        <v>1298</v>
      </c>
      <c r="B1359" s="138">
        <f>'Expenditures 15-22'!F210</f>
        <v>5980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130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130</v>
      </c>
      <c r="C1376" s="2" t="s">
        <v>594</v>
      </c>
      <c r="D1376" s="2" t="str">
        <f t="shared" si="20"/>
        <v>Error?</v>
      </c>
    </row>
    <row r="1377" spans="1:4" x14ac:dyDescent="0.2">
      <c r="A1377" s="5">
        <v>1316</v>
      </c>
      <c r="B1377" s="138">
        <f>'Expenditures 15-22'!K182</f>
        <v>96255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96255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96255</v>
      </c>
      <c r="C1388" s="2" t="s">
        <v>594</v>
      </c>
      <c r="D1388" s="2" t="str">
        <f t="shared" si="20"/>
        <v>Error?</v>
      </c>
    </row>
    <row r="1389" spans="1:4" x14ac:dyDescent="0.2">
      <c r="A1389" s="5">
        <v>1328</v>
      </c>
      <c r="B1389" s="138">
        <f>'Expenditures 15-22'!K211</f>
        <v>9380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9777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677</v>
      </c>
      <c r="D1416" s="2" t="str">
        <f t="shared" si="21"/>
        <v>Error?</v>
      </c>
    </row>
    <row r="1417" spans="1:4" x14ac:dyDescent="0.2">
      <c r="A1417" s="5">
        <v>1356</v>
      </c>
      <c r="B1417" s="138">
        <f>'Expenditures 15-22'!D238</f>
        <v>677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1581</v>
      </c>
      <c r="D1423" s="2" t="str">
        <f t="shared" si="21"/>
        <v>Error?</v>
      </c>
    </row>
    <row r="1424" spans="1:4" x14ac:dyDescent="0.2">
      <c r="A1424" s="5">
        <v>1363</v>
      </c>
      <c r="B1424" s="138">
        <f>'Expenditures 15-22'!D257</f>
        <v>1581</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6722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2441</v>
      </c>
      <c r="D1431" s="2" t="str">
        <f t="shared" si="21"/>
        <v>Error?</v>
      </c>
    </row>
    <row r="1432" spans="1:4" x14ac:dyDescent="0.2">
      <c r="A1432" s="5">
        <v>1371</v>
      </c>
      <c r="B1432" s="138">
        <f>'Expenditures 15-22'!D267</f>
        <v>5141</v>
      </c>
      <c r="D1432" s="2" t="str">
        <f t="shared" si="21"/>
        <v>Error?</v>
      </c>
    </row>
    <row r="1433" spans="1:4" x14ac:dyDescent="0.2">
      <c r="A1433" s="5">
        <v>1372</v>
      </c>
      <c r="B1433" s="138">
        <f>'Expenditures 15-22'!D268</f>
        <v>3313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17617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19875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29652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9777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677</v>
      </c>
      <c r="C1480" s="2" t="s">
        <v>594</v>
      </c>
      <c r="D1480" s="2" t="str">
        <f t="shared" si="22"/>
        <v>Error?</v>
      </c>
    </row>
    <row r="1481" spans="1:4" x14ac:dyDescent="0.2">
      <c r="A1481" s="5">
        <v>1420</v>
      </c>
      <c r="B1481" s="138">
        <f>'Expenditures 15-22'!K238</f>
        <v>677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1581</v>
      </c>
      <c r="C1487" s="2" t="s">
        <v>594</v>
      </c>
      <c r="D1487" s="2" t="str">
        <f t="shared" si="22"/>
        <v>Error?</v>
      </c>
    </row>
    <row r="1488" spans="1:4" x14ac:dyDescent="0.2">
      <c r="A1488" s="5">
        <v>1427</v>
      </c>
      <c r="B1488" s="138">
        <f>'Expenditures 15-22'!K257</f>
        <v>1581</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6722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2441</v>
      </c>
      <c r="C1495" s="2" t="s">
        <v>594</v>
      </c>
      <c r="D1495" s="2" t="str">
        <f t="shared" si="22"/>
        <v>Error?</v>
      </c>
    </row>
    <row r="1496" spans="1:4" x14ac:dyDescent="0.2">
      <c r="A1496" s="5">
        <v>1435</v>
      </c>
      <c r="B1496" s="138">
        <f>'Expenditures 15-22'!K267</f>
        <v>5141</v>
      </c>
      <c r="C1496" s="2" t="s">
        <v>594</v>
      </c>
      <c r="D1496" s="2" t="str">
        <f t="shared" si="22"/>
        <v>Error?</v>
      </c>
    </row>
    <row r="1497" spans="1:4" x14ac:dyDescent="0.2">
      <c r="A1497" s="5">
        <v>1436</v>
      </c>
      <c r="B1497" s="138">
        <f>'Expenditures 15-22'!K268</f>
        <v>3313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17617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19875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29652</v>
      </c>
      <c r="C1517" s="2" t="s">
        <v>594</v>
      </c>
      <c r="D1517" s="2" t="str">
        <f t="shared" si="22"/>
        <v>Error?</v>
      </c>
    </row>
    <row r="1518" spans="1:4" x14ac:dyDescent="0.2">
      <c r="A1518" s="5">
        <v>1457</v>
      </c>
      <c r="B1518" s="138">
        <f>'Expenditures 15-22'!K296</f>
        <v>5786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626554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846370</v>
      </c>
      <c r="C1630" s="2" t="s">
        <v>594</v>
      </c>
      <c r="D1630" s="2" t="str">
        <f t="shared" si="24"/>
        <v>Error?</v>
      </c>
    </row>
    <row r="1631" spans="1:4" x14ac:dyDescent="0.2">
      <c r="A1631" s="5">
        <v>1570</v>
      </c>
      <c r="B1631" s="138">
        <f>'Acct Summary 7-8'!D79</f>
        <v>376358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382177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108491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117871</v>
      </c>
      <c r="C1672" s="2" t="s">
        <v>594</v>
      </c>
      <c r="D1672" s="2" t="str">
        <f t="shared" si="25"/>
        <v>Error?</v>
      </c>
    </row>
    <row r="1673" spans="1:4" x14ac:dyDescent="0.2">
      <c r="A1673" s="5">
        <v>1612</v>
      </c>
      <c r="B1673" s="138">
        <f>'Acct Summary 7-8'!G79</f>
        <v>44400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50186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611518</v>
      </c>
      <c r="C1744" s="2" t="s">
        <v>594</v>
      </c>
      <c r="D1744" s="2" t="str">
        <f t="shared" si="26"/>
        <v>Error?</v>
      </c>
    </row>
    <row r="1745" spans="1:5" x14ac:dyDescent="0.2">
      <c r="A1745" s="5">
        <v>1684</v>
      </c>
      <c r="B1745" s="138">
        <f>'Tax Sched 23'!B5</f>
        <v>160160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34944</v>
      </c>
      <c r="C1747" s="2" t="s">
        <v>594</v>
      </c>
      <c r="D1747" s="2" t="str">
        <f t="shared" si="26"/>
        <v>Error?</v>
      </c>
    </row>
    <row r="1748" spans="1:5" x14ac:dyDescent="0.2">
      <c r="A1748" s="5">
        <v>1687</v>
      </c>
      <c r="B1748" s="138">
        <f>'Tax Sched 23'!B8</f>
        <v>7355</v>
      </c>
      <c r="C1748" s="2" t="s">
        <v>594</v>
      </c>
      <c r="D1748" s="2" t="str">
        <f t="shared" si="26"/>
        <v>Error?</v>
      </c>
    </row>
    <row r="1749" spans="1:5" x14ac:dyDescent="0.2">
      <c r="A1749" s="5">
        <v>1688</v>
      </c>
      <c r="B1749" s="138">
        <f>'Tax Sched 23'!B10</f>
        <v>14560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120657</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5824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979181</v>
      </c>
      <c r="C1759" s="2" t="s">
        <v>594</v>
      </c>
      <c r="D1759" s="2" t="str">
        <f t="shared" si="26"/>
        <v>Error?</v>
      </c>
    </row>
    <row r="1760" spans="1:5" x14ac:dyDescent="0.2">
      <c r="A1760" s="5">
        <v>1699</v>
      </c>
      <c r="B1760" s="138">
        <f>'Tax Sched 23'!D4</f>
        <v>240256</v>
      </c>
      <c r="C1760" s="2" t="s">
        <v>594</v>
      </c>
      <c r="D1760" s="2" t="str">
        <f t="shared" si="26"/>
        <v>Error?</v>
      </c>
    </row>
    <row r="1761" spans="1:5" x14ac:dyDescent="0.2">
      <c r="A1761" s="5">
        <v>1700</v>
      </c>
      <c r="B1761" s="138">
        <f>'Tax Sched 23'!D5</f>
        <v>62925</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13729</v>
      </c>
      <c r="C1763" s="2" t="s">
        <v>594</v>
      </c>
      <c r="D1763" s="2" t="str">
        <f t="shared" si="26"/>
        <v>Error?</v>
      </c>
    </row>
    <row r="1764" spans="1:5" x14ac:dyDescent="0.2">
      <c r="A1764" s="5">
        <v>1703</v>
      </c>
      <c r="B1764" s="138">
        <f>'Tax Sched 23'!D8</f>
        <v>2882</v>
      </c>
      <c r="C1764" s="2" t="s">
        <v>594</v>
      </c>
      <c r="D1764" s="2" t="str">
        <f t="shared" si="26"/>
        <v>Error?</v>
      </c>
    </row>
    <row r="1765" spans="1:5" x14ac:dyDescent="0.2">
      <c r="A1765" s="5">
        <v>1704</v>
      </c>
      <c r="B1765" s="138">
        <f>'Tax Sched 23'!D10</f>
        <v>5720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47279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2288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384547</v>
      </c>
      <c r="C1775" s="2" t="s">
        <v>594</v>
      </c>
      <c r="D1775" s="2" t="str">
        <f t="shared" si="26"/>
        <v>Error?</v>
      </c>
    </row>
    <row r="1776" spans="1:5" x14ac:dyDescent="0.2">
      <c r="A1776" s="5">
        <v>1715</v>
      </c>
      <c r="B1776" s="138">
        <f>'Tax Sched 23'!C4</f>
        <v>371262</v>
      </c>
      <c r="D1776" s="2" t="str">
        <f t="shared" si="26"/>
        <v>Error?</v>
      </c>
    </row>
    <row r="1777" spans="1:4" x14ac:dyDescent="0.2">
      <c r="A1777" s="5">
        <v>1716</v>
      </c>
      <c r="B1777" s="138">
        <f>'Tax Sched 23'!C5</f>
        <v>97235</v>
      </c>
      <c r="D1777" s="2" t="str">
        <f t="shared" si="26"/>
        <v>Error?</v>
      </c>
    </row>
    <row r="1778" spans="1:4" x14ac:dyDescent="0.2">
      <c r="A1778" s="5">
        <v>1717</v>
      </c>
      <c r="B1778" s="138">
        <f>'Tax Sched 23'!C6</f>
        <v>0</v>
      </c>
      <c r="D1778" s="2" t="str">
        <f t="shared" si="26"/>
        <v>Error?</v>
      </c>
    </row>
    <row r="1779" spans="1:4" x14ac:dyDescent="0.2">
      <c r="A1779" s="5">
        <v>1718</v>
      </c>
      <c r="B1779" s="138">
        <f>'Tax Sched 23'!C7</f>
        <v>21215</v>
      </c>
      <c r="D1779" s="2" t="str">
        <f t="shared" si="26"/>
        <v>Error?</v>
      </c>
    </row>
    <row r="1780" spans="1:4" x14ac:dyDescent="0.2">
      <c r="A1780" s="5">
        <v>1719</v>
      </c>
      <c r="B1780" s="138">
        <f>'Tax Sched 23'!C8</f>
        <v>4473</v>
      </c>
      <c r="D1780" s="2" t="str">
        <f t="shared" si="26"/>
        <v>Error?</v>
      </c>
    </row>
    <row r="1781" spans="1:4" x14ac:dyDescent="0.2">
      <c r="A1781" s="5">
        <v>1720</v>
      </c>
      <c r="B1781" s="138">
        <f>'Tax Sched 23'!C10</f>
        <v>8840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73378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3536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594634</v>
      </c>
      <c r="C1791" s="2" t="s">
        <v>594</v>
      </c>
      <c r="D1791" s="2" t="str">
        <f t="shared" ref="D1791:D1854" si="27">IF(ISBLANK(B1791),"OK",IF(A1791-B1791=0,"OK","Error?"))</f>
        <v>Error?</v>
      </c>
    </row>
    <row r="1792" spans="1:4" x14ac:dyDescent="0.2">
      <c r="A1792" s="5">
        <v>1731</v>
      </c>
      <c r="B1792" s="138">
        <f>'Tax Sched 23'!F4</f>
        <v>233052</v>
      </c>
      <c r="C1792" s="2" t="s">
        <v>594</v>
      </c>
      <c r="D1792" s="2" t="str">
        <f t="shared" si="27"/>
        <v>Error?</v>
      </c>
    </row>
    <row r="1793" spans="1:4" x14ac:dyDescent="0.2">
      <c r="A1793" s="5">
        <v>1732</v>
      </c>
      <c r="B1793" s="138">
        <f>'Tax Sched 23'!F5</f>
        <v>61038</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13317</v>
      </c>
      <c r="C1795" s="2" t="s">
        <v>594</v>
      </c>
      <c r="D1795" s="2" t="str">
        <f t="shared" si="27"/>
        <v>Error?</v>
      </c>
    </row>
    <row r="1796" spans="1:4" x14ac:dyDescent="0.2">
      <c r="A1796" s="5">
        <v>1735</v>
      </c>
      <c r="B1796" s="138">
        <f>'Tax Sched 23'!F8</f>
        <v>2808</v>
      </c>
      <c r="C1796" s="2" t="s">
        <v>594</v>
      </c>
      <c r="D1796" s="2" t="str">
        <f t="shared" si="27"/>
        <v>Error?</v>
      </c>
    </row>
    <row r="1797" spans="1:4" x14ac:dyDescent="0.2">
      <c r="A1797" s="5">
        <v>1736</v>
      </c>
      <c r="B1797" s="138">
        <f>'Tax Sched 23'!F10</f>
        <v>5548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46066</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2219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373272</v>
      </c>
      <c r="C1807" s="2" t="s">
        <v>594</v>
      </c>
      <c r="D1807" s="2" t="str">
        <f t="shared" si="27"/>
        <v>Error?</v>
      </c>
    </row>
    <row r="1808" spans="1:4" x14ac:dyDescent="0.2">
      <c r="A1808" s="5">
        <v>1747</v>
      </c>
      <c r="B1808" s="138">
        <f>'Tax Sched 23'!E4</f>
        <v>604314</v>
      </c>
      <c r="D1808" s="2" t="str">
        <f t="shared" si="27"/>
        <v>Error?</v>
      </c>
    </row>
    <row r="1809" spans="1:4" x14ac:dyDescent="0.2">
      <c r="A1809" s="5">
        <v>1748</v>
      </c>
      <c r="B1809" s="138">
        <f>'Tax Sched 23'!E5</f>
        <v>158273</v>
      </c>
      <c r="D1809" s="2" t="str">
        <f t="shared" si="27"/>
        <v>Error?</v>
      </c>
    </row>
    <row r="1810" spans="1:4" x14ac:dyDescent="0.2">
      <c r="A1810" s="5">
        <v>1749</v>
      </c>
      <c r="B1810" s="138">
        <f>'Tax Sched 23'!E6</f>
        <v>0</v>
      </c>
      <c r="D1810" s="2" t="str">
        <f t="shared" si="27"/>
        <v>Error?</v>
      </c>
    </row>
    <row r="1811" spans="1:4" x14ac:dyDescent="0.2">
      <c r="A1811" s="5">
        <v>1750</v>
      </c>
      <c r="B1811" s="138">
        <f>'Tax Sched 23'!E7</f>
        <v>34532</v>
      </c>
      <c r="D1811" s="2" t="str">
        <f t="shared" si="27"/>
        <v>Error?</v>
      </c>
    </row>
    <row r="1812" spans="1:4" x14ac:dyDescent="0.2">
      <c r="A1812" s="5">
        <v>1751</v>
      </c>
      <c r="B1812" s="138">
        <f>'Tax Sched 23'!E8</f>
        <v>7281</v>
      </c>
      <c r="D1812" s="2" t="str">
        <f t="shared" si="27"/>
        <v>Error?</v>
      </c>
    </row>
    <row r="1813" spans="1:4" x14ac:dyDescent="0.2">
      <c r="A1813" s="5">
        <v>1752</v>
      </c>
      <c r="B1813" s="138">
        <f>'Tax Sched 23'!E10</f>
        <v>14388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119444</v>
      </c>
      <c r="D1816" s="2" t="str">
        <f t="shared" si="27"/>
        <v>Error?</v>
      </c>
    </row>
    <row r="1817" spans="1:4" x14ac:dyDescent="0.2">
      <c r="A1817" s="5">
        <v>1756</v>
      </c>
      <c r="B1817" s="138">
        <f>'Tax Sched 23'!E12</f>
        <v>0</v>
      </c>
      <c r="D1817" s="2" t="str">
        <f t="shared" si="27"/>
        <v>Error?</v>
      </c>
    </row>
    <row r="1818" spans="1:4" x14ac:dyDescent="0.2">
      <c r="A1818" s="5">
        <v>1757</v>
      </c>
      <c r="B1818" s="138">
        <f>'Tax Sched 23'!E14</f>
        <v>5755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967906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5824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5824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5824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11979</v>
      </c>
      <c r="D2008" s="2" t="str">
        <f t="shared" si="30"/>
        <v>Error?</v>
      </c>
    </row>
    <row r="2009" spans="1:4" x14ac:dyDescent="0.2">
      <c r="A2009" s="5">
        <v>1948</v>
      </c>
      <c r="B2009" s="138">
        <f>'Cap Outlay Deprec 26'!C8</f>
        <v>1747544</v>
      </c>
      <c r="D2009" s="2" t="str">
        <f t="shared" si="30"/>
        <v>Error?</v>
      </c>
    </row>
    <row r="2010" spans="1:4" x14ac:dyDescent="0.2">
      <c r="A2010" s="5">
        <v>1949</v>
      </c>
      <c r="B2010" s="138">
        <f>'Cap Outlay Deprec 26'!C10</f>
        <v>793543</v>
      </c>
      <c r="D2010" s="2" t="str">
        <f t="shared" si="30"/>
        <v>Error?</v>
      </c>
    </row>
    <row r="2011" spans="1:4" x14ac:dyDescent="0.2">
      <c r="A2011" s="5">
        <v>1950</v>
      </c>
      <c r="B2011" s="138">
        <f>'Cap Outlay Deprec 26'!C12</f>
        <v>117377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2670443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6400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6400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500000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500000</v>
      </c>
      <c r="C2025" s="2" t="s">
        <v>594</v>
      </c>
      <c r="D2025" s="2" t="str">
        <f t="shared" si="30"/>
        <v>Error?</v>
      </c>
    </row>
    <row r="2026" spans="1:4" x14ac:dyDescent="0.2">
      <c r="A2026" s="5">
        <v>1965</v>
      </c>
      <c r="B2026" s="138">
        <f>'Cap Outlay Deprec 26'!F5</f>
        <v>11979</v>
      </c>
      <c r="C2026" s="2" t="s">
        <v>594</v>
      </c>
      <c r="D2026" s="2" t="str">
        <f t="shared" si="30"/>
        <v>Error?</v>
      </c>
    </row>
    <row r="2027" spans="1:4" x14ac:dyDescent="0.2">
      <c r="A2027" s="5">
        <v>1966</v>
      </c>
      <c r="B2027" s="138">
        <f>'Cap Outlay Deprec 26'!F8</f>
        <v>1747544</v>
      </c>
      <c r="C2027" s="2" t="s">
        <v>594</v>
      </c>
      <c r="D2027" s="2" t="str">
        <f t="shared" si="30"/>
        <v>Error?</v>
      </c>
    </row>
    <row r="2028" spans="1:4" x14ac:dyDescent="0.2">
      <c r="A2028" s="5">
        <v>1967</v>
      </c>
      <c r="B2028" s="138">
        <f>'Cap Outlay Deprec 26'!F10</f>
        <v>293543</v>
      </c>
      <c r="C2028" s="2" t="s">
        <v>594</v>
      </c>
      <c r="D2028" s="2" t="str">
        <f t="shared" si="30"/>
        <v>Error?</v>
      </c>
    </row>
    <row r="2029" spans="1:4" x14ac:dyDescent="0.2">
      <c r="A2029" s="5">
        <v>1968</v>
      </c>
      <c r="B2029" s="138">
        <f>'Cap Outlay Deprec 26'!F12</f>
        <v>123777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2176843</v>
      </c>
      <c r="C2031" s="2" t="s">
        <v>594</v>
      </c>
      <c r="D2031" s="2" t="str">
        <f t="shared" si="30"/>
        <v>Error?</v>
      </c>
    </row>
    <row r="2032" spans="1:4" x14ac:dyDescent="0.2">
      <c r="A2032" s="10">
        <v>1971</v>
      </c>
      <c r="D2032" s="2" t="str">
        <f t="shared" si="30"/>
        <v>OK</v>
      </c>
    </row>
    <row r="2033" spans="1:4" x14ac:dyDescent="0.2">
      <c r="A2033" s="5">
        <v>1972</v>
      </c>
      <c r="B2033" s="138">
        <f>'Cap Outlay Deprec 26'!H8</f>
        <v>874343</v>
      </c>
      <c r="D2033" s="2" t="str">
        <f t="shared" si="30"/>
        <v>Error?</v>
      </c>
    </row>
    <row r="2034" spans="1:4" x14ac:dyDescent="0.2">
      <c r="A2034" s="5">
        <v>1973</v>
      </c>
      <c r="B2034" s="138">
        <f>'Cap Outlay Deprec 26'!H10</f>
        <v>183561</v>
      </c>
      <c r="D2034" s="2" t="str">
        <f t="shared" si="30"/>
        <v>Error?</v>
      </c>
    </row>
    <row r="2035" spans="1:4" x14ac:dyDescent="0.2">
      <c r="A2035" s="5">
        <v>1974</v>
      </c>
      <c r="B2035" s="138">
        <f>'Cap Outlay Deprec 26'!H12</f>
        <v>79876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1137780</v>
      </c>
      <c r="C2037" s="2" t="s">
        <v>594</v>
      </c>
      <c r="D2037" s="2" t="str">
        <f t="shared" si="30"/>
        <v>Error?</v>
      </c>
    </row>
    <row r="2038" spans="1:4" x14ac:dyDescent="0.2">
      <c r="A2038" s="10">
        <v>1977</v>
      </c>
      <c r="D2038" s="2" t="str">
        <f t="shared" si="30"/>
        <v>OK</v>
      </c>
    </row>
    <row r="2039" spans="1:4" x14ac:dyDescent="0.2">
      <c r="A2039" s="5">
        <v>1978</v>
      </c>
      <c r="B2039" s="138">
        <f>'Cap Outlay Deprec 26'!I8</f>
        <v>34951</v>
      </c>
      <c r="D2039" s="2" t="str">
        <f t="shared" si="30"/>
        <v>Error?</v>
      </c>
    </row>
    <row r="2040" spans="1:4" x14ac:dyDescent="0.2">
      <c r="A2040" s="5">
        <v>1979</v>
      </c>
      <c r="B2040" s="138">
        <f>'Cap Outlay Deprec 26'!I10</f>
        <v>12220</v>
      </c>
      <c r="D2040" s="2" t="str">
        <f t="shared" si="30"/>
        <v>Error?</v>
      </c>
    </row>
    <row r="2041" spans="1:4" x14ac:dyDescent="0.2">
      <c r="A2041" s="5">
        <v>1980</v>
      </c>
      <c r="B2041" s="138">
        <f>'Cap Outlay Deprec 26'!I12</f>
        <v>5423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52594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125000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125000</v>
      </c>
      <c r="C2049" s="2" t="s">
        <v>594</v>
      </c>
      <c r="D2049" s="2" t="str">
        <f t="shared" si="31"/>
        <v>Error?</v>
      </c>
    </row>
    <row r="2050" spans="1:4" x14ac:dyDescent="0.2">
      <c r="A2050" s="10">
        <v>1989</v>
      </c>
      <c r="D2050" s="2" t="str">
        <f t="shared" si="31"/>
        <v>OK</v>
      </c>
    </row>
    <row r="2051" spans="1:4" x14ac:dyDescent="0.2">
      <c r="A2051" s="5">
        <v>1990</v>
      </c>
      <c r="B2051" s="138">
        <f>'Cap Outlay Deprec 26'!K8</f>
        <v>909294</v>
      </c>
      <c r="C2051" s="2" t="s">
        <v>594</v>
      </c>
      <c r="D2051" s="2" t="str">
        <f t="shared" si="31"/>
        <v>Error?</v>
      </c>
    </row>
    <row r="2052" spans="1:4" x14ac:dyDescent="0.2">
      <c r="A2052" s="5">
        <v>1991</v>
      </c>
      <c r="B2052" s="138">
        <f>'Cap Outlay Deprec 26'!K10</f>
        <v>70781</v>
      </c>
      <c r="C2052" s="2" t="s">
        <v>594</v>
      </c>
      <c r="D2052" s="2" t="str">
        <f t="shared" si="31"/>
        <v>Error?</v>
      </c>
    </row>
    <row r="2053" spans="1:4" x14ac:dyDescent="0.2">
      <c r="A2053" s="5">
        <v>1992</v>
      </c>
      <c r="B2053" s="138">
        <f>'Cap Outlay Deprec 26'!K12</f>
        <v>85299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1065374</v>
      </c>
      <c r="C2055" s="2" t="s">
        <v>594</v>
      </c>
      <c r="D2055" s="2" t="str">
        <f t="shared" si="31"/>
        <v>Error?</v>
      </c>
    </row>
    <row r="2056" spans="1:4" x14ac:dyDescent="0.2">
      <c r="A2056" s="5">
        <v>1995</v>
      </c>
      <c r="B2056" s="138">
        <f>'Cap Outlay Deprec 26'!L5</f>
        <v>11979</v>
      </c>
      <c r="C2056" s="2" t="s">
        <v>594</v>
      </c>
      <c r="D2056" s="2" t="str">
        <f t="shared" si="31"/>
        <v>Error?</v>
      </c>
    </row>
    <row r="2057" spans="1:4" x14ac:dyDescent="0.2">
      <c r="A2057" s="5">
        <v>1996</v>
      </c>
      <c r="B2057" s="138">
        <f>'Cap Outlay Deprec 26'!L8</f>
        <v>838250</v>
      </c>
      <c r="C2057" s="2" t="s">
        <v>594</v>
      </c>
      <c r="D2057" s="2" t="str">
        <f t="shared" si="31"/>
        <v>Error?</v>
      </c>
    </row>
    <row r="2058" spans="1:4" x14ac:dyDescent="0.2">
      <c r="A2058" s="5">
        <v>1997</v>
      </c>
      <c r="B2058" s="138">
        <f>'Cap Outlay Deprec 26'!L10</f>
        <v>222762</v>
      </c>
      <c r="C2058" s="2" t="s">
        <v>594</v>
      </c>
      <c r="D2058" s="2" t="str">
        <f t="shared" si="31"/>
        <v>Error?</v>
      </c>
    </row>
    <row r="2059" spans="1:4" x14ac:dyDescent="0.2">
      <c r="A2059" s="5">
        <v>1998</v>
      </c>
      <c r="B2059" s="138">
        <f>'Cap Outlay Deprec 26'!L12</f>
        <v>38478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1111469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77489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677881</v>
      </c>
      <c r="C2551" s="2" t="s">
        <v>594</v>
      </c>
      <c r="D2551" s="2" t="str">
        <f t="shared" si="38"/>
        <v>Error?</v>
      </c>
    </row>
    <row r="2552" spans="1:4" x14ac:dyDescent="0.2">
      <c r="A2552" s="10">
        <v>2491</v>
      </c>
      <c r="D2552" s="2" t="str">
        <f t="shared" si="38"/>
        <v>OK</v>
      </c>
    </row>
    <row r="2553" spans="1:4" x14ac:dyDescent="0.2">
      <c r="A2553" s="5">
        <v>2492</v>
      </c>
      <c r="B2553" s="138">
        <f>'Acct Summary 7-8'!C6</f>
        <v>124199</v>
      </c>
      <c r="C2553" s="2" t="s">
        <v>594</v>
      </c>
      <c r="D2553" s="2" t="str">
        <f t="shared" si="38"/>
        <v>Error?</v>
      </c>
    </row>
    <row r="2554" spans="1:4" x14ac:dyDescent="0.2">
      <c r="A2554" s="5">
        <v>2493</v>
      </c>
      <c r="B2554" s="138">
        <f>'Acct Summary 7-8'!C7</f>
        <v>116232</v>
      </c>
      <c r="C2554" s="2" t="s">
        <v>594</v>
      </c>
      <c r="D2554" s="2" t="str">
        <f t="shared" si="38"/>
        <v>Error?</v>
      </c>
    </row>
    <row r="2555" spans="1:4" x14ac:dyDescent="0.2">
      <c r="A2555" s="5">
        <v>2494</v>
      </c>
      <c r="B2555" s="138">
        <f>'Acct Summary 7-8'!C8</f>
        <v>918312</v>
      </c>
      <c r="C2555" s="2" t="s">
        <v>594</v>
      </c>
      <c r="D2555" s="2" t="str">
        <f t="shared" si="38"/>
        <v>Error?</v>
      </c>
    </row>
    <row r="2556" spans="1:4" x14ac:dyDescent="0.2">
      <c r="A2556" s="5">
        <v>2495</v>
      </c>
      <c r="B2556" s="138">
        <f>'Acct Summary 7-8'!C12</f>
        <v>505115</v>
      </c>
      <c r="C2556" s="2" t="s">
        <v>594</v>
      </c>
      <c r="D2556" s="2" t="str">
        <f t="shared" si="38"/>
        <v>Error?</v>
      </c>
    </row>
    <row r="2557" spans="1:4" x14ac:dyDescent="0.2">
      <c r="A2557" s="5">
        <v>2496</v>
      </c>
      <c r="B2557" s="138">
        <f>'Acct Summary 7-8'!C13</f>
        <v>189892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77489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772496</v>
      </c>
      <c r="C2561" s="2" t="s">
        <v>594</v>
      </c>
      <c r="D2561" s="2" t="str">
        <f t="shared" si="39"/>
        <v>Error?</v>
      </c>
    </row>
    <row r="2562" spans="1:4" x14ac:dyDescent="0.2">
      <c r="A2562" s="5">
        <v>2501</v>
      </c>
      <c r="B2562" s="138">
        <f>'Acct Summary 7-8'!C20</f>
        <v>145816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167402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167402</v>
      </c>
      <c r="C2568" s="2" t="s">
        <v>594</v>
      </c>
      <c r="D2568" s="2" t="str">
        <f t="shared" si="39"/>
        <v>Error?</v>
      </c>
    </row>
    <row r="2569" spans="1:4" x14ac:dyDescent="0.2">
      <c r="A2569" s="5">
        <v>2508</v>
      </c>
      <c r="B2569" s="138">
        <f>'Acct Summary 7-8'!D13</f>
        <v>101583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101583</v>
      </c>
      <c r="C2573" s="2" t="s">
        <v>594</v>
      </c>
      <c r="D2573" s="2" t="str">
        <f t="shared" si="39"/>
        <v>Error?</v>
      </c>
    </row>
    <row r="2574" spans="1:4" x14ac:dyDescent="0.2">
      <c r="A2574" s="5">
        <v>2513</v>
      </c>
      <c r="B2574" s="138">
        <f>'Acct Summary 7-8'!D20</f>
        <v>65819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35019</v>
      </c>
      <c r="C2591" s="2" t="s">
        <v>594</v>
      </c>
      <c r="D2591" s="2" t="str">
        <f t="shared" si="39"/>
        <v>Error?</v>
      </c>
    </row>
    <row r="2592" spans="1:4" x14ac:dyDescent="0.2">
      <c r="A2592" s="10">
        <v>2531</v>
      </c>
      <c r="D2592" s="2" t="str">
        <f t="shared" si="39"/>
        <v>OK</v>
      </c>
    </row>
    <row r="2593" spans="1:4" x14ac:dyDescent="0.2">
      <c r="A2593" s="5">
        <v>2532</v>
      </c>
      <c r="B2593" s="138">
        <f>'Acct Summary 7-8'!F6</f>
        <v>70616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105635</v>
      </c>
      <c r="C2595" s="2" t="s">
        <v>594</v>
      </c>
      <c r="D2595" s="2" t="str">
        <f t="shared" si="39"/>
        <v>Error?</v>
      </c>
    </row>
    <row r="2596" spans="1:4" x14ac:dyDescent="0.2">
      <c r="A2596" s="5">
        <v>2535</v>
      </c>
      <c r="B2596" s="138">
        <f>'Acct Summary 7-8'!F13</f>
        <v>96255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96255</v>
      </c>
      <c r="C2600" s="2" t="s">
        <v>594</v>
      </c>
      <c r="D2600" s="2" t="str">
        <f t="shared" si="39"/>
        <v>Error?</v>
      </c>
    </row>
    <row r="2601" spans="1:4" x14ac:dyDescent="0.2">
      <c r="A2601" s="5">
        <v>2540</v>
      </c>
      <c r="B2601" s="138">
        <f>'Acct Summary 7-8'!F20</f>
        <v>9380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35438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35438</v>
      </c>
      <c r="C2606" s="2" t="s">
        <v>594</v>
      </c>
      <c r="D2606" s="2" t="str">
        <f t="shared" si="39"/>
        <v>Error?</v>
      </c>
    </row>
    <row r="2607" spans="1:4" x14ac:dyDescent="0.2">
      <c r="A2607" s="5">
        <v>2546</v>
      </c>
      <c r="B2607" s="138">
        <f>'Acct Summary 7-8'!G12</f>
        <v>9777</v>
      </c>
      <c r="C2607" s="2" t="s">
        <v>594</v>
      </c>
      <c r="D2607" s="2" t="str">
        <f t="shared" si="39"/>
        <v>Error?</v>
      </c>
    </row>
    <row r="2608" spans="1:4" x14ac:dyDescent="0.2">
      <c r="A2608" s="5">
        <v>2547</v>
      </c>
      <c r="B2608" s="138">
        <f>'Acct Summary 7-8'!G13</f>
        <v>19875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29652</v>
      </c>
      <c r="C2612" s="2" t="s">
        <v>594</v>
      </c>
      <c r="D2612" s="2" t="str">
        <f t="shared" si="39"/>
        <v>Error?</v>
      </c>
    </row>
    <row r="2613" spans="1:4" x14ac:dyDescent="0.2">
      <c r="A2613" s="5">
        <v>2552</v>
      </c>
      <c r="B2613" s="138">
        <f>'Acct Summary 7-8'!G20</f>
        <v>5786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88581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10524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88581</v>
      </c>
      <c r="D2912" s="2" t="str">
        <f t="shared" si="44"/>
        <v>Error?</v>
      </c>
    </row>
    <row r="2913" spans="1:4" x14ac:dyDescent="0.2">
      <c r="A2913" s="5">
        <v>2852</v>
      </c>
      <c r="B2913" s="138">
        <f>'Assets-Liab 5-6'!I41</f>
        <v>88581</v>
      </c>
      <c r="C2913" s="2" t="s">
        <v>594</v>
      </c>
      <c r="D2913" s="2" t="str">
        <f t="shared" si="44"/>
        <v>Error?</v>
      </c>
    </row>
    <row r="2914" spans="1:4" x14ac:dyDescent="0.2">
      <c r="A2914" s="5">
        <v>2853</v>
      </c>
      <c r="B2914" s="138">
        <f>'Assets-Liab 5-6'!L33</f>
        <v>10524</v>
      </c>
      <c r="D2914" s="2" t="str">
        <f t="shared" si="44"/>
        <v>Error?</v>
      </c>
    </row>
    <row r="2915" spans="1:4" x14ac:dyDescent="0.2">
      <c r="A2915" s="10">
        <v>2854</v>
      </c>
      <c r="D2915" s="2" t="str">
        <f t="shared" si="44"/>
        <v>OK</v>
      </c>
    </row>
    <row r="2916" spans="1:4" x14ac:dyDescent="0.2">
      <c r="A2916" s="5">
        <v>2855</v>
      </c>
      <c r="B2916" s="138">
        <f>'Assets-Liab 5-6'!L34</f>
        <v>10524</v>
      </c>
      <c r="C2916" s="2" t="s">
        <v>594</v>
      </c>
      <c r="D2916" s="2" t="str">
        <f t="shared" si="44"/>
        <v>Error?</v>
      </c>
    </row>
    <row r="2917" spans="1:4" x14ac:dyDescent="0.2">
      <c r="A2917" s="5">
        <v>2856</v>
      </c>
      <c r="B2917" s="138">
        <f>'Assets-Liab 5-6'!L41</f>
        <v>10524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14691</v>
      </c>
      <c r="C3225" s="2" t="s">
        <v>594</v>
      </c>
      <c r="D3225" s="2" t="str">
        <f t="shared" si="49"/>
        <v>Error?</v>
      </c>
    </row>
    <row r="3226" spans="1:4" x14ac:dyDescent="0.2">
      <c r="A3226" s="5">
        <v>3165</v>
      </c>
      <c r="B3226" s="138">
        <f>'Acct Summary 7-8'!I8</f>
        <v>14691</v>
      </c>
      <c r="C3226" s="2" t="s">
        <v>594</v>
      </c>
      <c r="D3226" s="2" t="str">
        <f t="shared" si="49"/>
        <v>Error?</v>
      </c>
    </row>
    <row r="3227" spans="1:4" x14ac:dyDescent="0.2">
      <c r="A3227" s="5">
        <v>3166</v>
      </c>
      <c r="B3227" s="138">
        <f>'Acct Summary 7-8'!I20</f>
        <v>14691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74000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74000</v>
      </c>
      <c r="C3232" s="2" t="s">
        <v>594</v>
      </c>
      <c r="D3232" s="2" t="str">
        <f t="shared" si="49"/>
        <v>Error?</v>
      </c>
    </row>
    <row r="3233" spans="1:4" x14ac:dyDescent="0.2">
      <c r="A3233" s="5">
        <v>3172</v>
      </c>
      <c r="B3233" s="138">
        <f>'Acct Summary 7-8'!C78</f>
        <v>219816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60000</v>
      </c>
      <c r="C3237" s="2" t="s">
        <v>594</v>
      </c>
      <c r="D3237" s="2" t="str">
        <f t="shared" si="49"/>
        <v>Error?</v>
      </c>
    </row>
    <row r="3238" spans="1:4" x14ac:dyDescent="0.2">
      <c r="A3238" s="5">
        <v>3177</v>
      </c>
      <c r="B3238" s="138">
        <f>'Acct Summary 7-8'!D77</f>
        <v>-60000</v>
      </c>
      <c r="C3238" s="2" t="s">
        <v>594</v>
      </c>
      <c r="D3238" s="2" t="str">
        <f t="shared" si="49"/>
        <v>Error?</v>
      </c>
    </row>
    <row r="3239" spans="1:4" x14ac:dyDescent="0.2">
      <c r="A3239" s="5">
        <v>3178</v>
      </c>
      <c r="B3239" s="138">
        <f>'Acct Summary 7-8'!D78</f>
        <v>5819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9380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5786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14000</v>
      </c>
      <c r="C3318" s="2" t="s">
        <v>594</v>
      </c>
      <c r="D3318" s="2" t="str">
        <f t="shared" si="50"/>
        <v>Error?</v>
      </c>
    </row>
    <row r="3319" spans="1:4" x14ac:dyDescent="0.2">
      <c r="A3319" s="5">
        <v>3258</v>
      </c>
      <c r="B3319" s="138">
        <f>'Acct Summary 7-8'!I77</f>
        <v>-14000</v>
      </c>
      <c r="C3319" s="2" t="s">
        <v>594</v>
      </c>
      <c r="D3319" s="2" t="str">
        <f t="shared" si="50"/>
        <v>Error?</v>
      </c>
    </row>
    <row r="3320" spans="1:4" x14ac:dyDescent="0.2">
      <c r="A3320" s="5">
        <v>3259</v>
      </c>
      <c r="B3320" s="138">
        <f>'Acct Summary 7-8'!I78</f>
        <v>691</v>
      </c>
      <c r="C3320" s="2" t="s">
        <v>594</v>
      </c>
      <c r="D3320" s="2" t="str">
        <f t="shared" si="50"/>
        <v>Error?</v>
      </c>
    </row>
    <row r="3321" spans="1:4" x14ac:dyDescent="0.2">
      <c r="A3321" s="5">
        <v>3260</v>
      </c>
      <c r="B3321" s="138">
        <f>'Acct Summary 7-8'!I79</f>
        <v>87890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88581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29133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29133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9208</v>
      </c>
      <c r="D3387" s="2" t="str">
        <f t="shared" si="51"/>
        <v>Error?</v>
      </c>
    </row>
    <row r="3388" spans="1:4" x14ac:dyDescent="0.2">
      <c r="A3388" s="5">
        <v>3327</v>
      </c>
      <c r="B3388" s="138">
        <f>'Expenditures 15-22'!D217</f>
        <v>422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9208</v>
      </c>
      <c r="C3390" s="2" t="s">
        <v>594</v>
      </c>
      <c r="D3390" s="2" t="str">
        <f t="shared" si="51"/>
        <v>Error?</v>
      </c>
    </row>
    <row r="3391" spans="1:4" x14ac:dyDescent="0.2">
      <c r="A3391" s="5">
        <v>3330</v>
      </c>
      <c r="B3391" s="138">
        <f>'Expenditures 15-22'!K217</f>
        <v>422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846370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382177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117871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50186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88581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24163</v>
      </c>
      <c r="C3446" s="2" t="s">
        <v>594</v>
      </c>
      <c r="D3446" s="2" t="str">
        <f t="shared" si="52"/>
        <v>Error?</v>
      </c>
    </row>
    <row r="3447" spans="1:4" x14ac:dyDescent="0.2">
      <c r="A3447" s="5">
        <v>3386</v>
      </c>
      <c r="B3447" s="138">
        <f>'Tax Sched 23'!D16</f>
        <v>9468</v>
      </c>
      <c r="C3447" s="2" t="s">
        <v>594</v>
      </c>
      <c r="D3447" s="2" t="str">
        <f t="shared" si="52"/>
        <v>Error?</v>
      </c>
    </row>
    <row r="3448" spans="1:4" x14ac:dyDescent="0.2">
      <c r="A3448" s="5">
        <v>3387</v>
      </c>
      <c r="B3448" s="138">
        <f>'Tax Sched 23'!C16</f>
        <v>14695</v>
      </c>
      <c r="D3448" s="2" t="str">
        <f t="shared" si="52"/>
        <v>Error?</v>
      </c>
    </row>
    <row r="3449" spans="1:4" x14ac:dyDescent="0.2">
      <c r="A3449" s="5">
        <v>3388</v>
      </c>
      <c r="B3449" s="138">
        <f>'Tax Sched 23'!F16</f>
        <v>9224</v>
      </c>
      <c r="C3449" s="2" t="s">
        <v>594</v>
      </c>
      <c r="D3449" s="2" t="str">
        <f t="shared" si="52"/>
        <v>Error?</v>
      </c>
    </row>
    <row r="3450" spans="1:4" x14ac:dyDescent="0.2">
      <c r="A3450" s="5">
        <v>3389</v>
      </c>
      <c r="B3450" s="138">
        <f>'Tax Sched 23'!E16</f>
        <v>23919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397354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1315666</v>
      </c>
      <c r="C4122" s="2" t="s">
        <v>594</v>
      </c>
      <c r="D4122" s="2" t="str">
        <f t="shared" si="63"/>
        <v>Error?</v>
      </c>
    </row>
    <row r="4123" spans="1:4" x14ac:dyDescent="0.2">
      <c r="A4123" s="5">
        <v>4062</v>
      </c>
      <c r="B4123" s="138">
        <f>'Acct Summary 7-8'!D10</f>
        <v>167402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105635</v>
      </c>
      <c r="C4125" s="2" t="s">
        <v>594</v>
      </c>
      <c r="D4125" s="2" t="str">
        <f t="shared" si="63"/>
        <v>Error?</v>
      </c>
    </row>
    <row r="4126" spans="1:4" x14ac:dyDescent="0.2">
      <c r="A4126" s="5">
        <v>4065</v>
      </c>
      <c r="B4126" s="138">
        <f>'Acct Summary 7-8'!G10</f>
        <v>35438</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14691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397354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1169850</v>
      </c>
      <c r="C4136" s="2" t="s">
        <v>594</v>
      </c>
      <c r="D4136" s="2" t="str">
        <f t="shared" si="63"/>
        <v>Error?</v>
      </c>
    </row>
    <row r="4137" spans="1:4" x14ac:dyDescent="0.2">
      <c r="A4137" s="5">
        <v>4076</v>
      </c>
      <c r="B4137" s="138">
        <f>'Acct Summary 7-8'!D19</f>
        <v>101583</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96255</v>
      </c>
      <c r="C4139" s="2" t="s">
        <v>594</v>
      </c>
      <c r="D4139" s="2" t="str">
        <f t="shared" si="63"/>
        <v>Error?</v>
      </c>
    </row>
    <row r="4140" spans="1:4" x14ac:dyDescent="0.2">
      <c r="A4140" s="5">
        <v>4079</v>
      </c>
      <c r="B4140" s="138">
        <f>'Acct Summary 7-8'!G19</f>
        <v>29652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-250000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2770</v>
      </c>
      <c r="C4268" s="2" t="s">
        <v>594</v>
      </c>
      <c r="D4268" s="2" t="str">
        <f t="shared" si="65"/>
        <v>Error?</v>
      </c>
    </row>
    <row r="4269" spans="1:5" x14ac:dyDescent="0.2">
      <c r="A4269" s="12">
        <v>4208</v>
      </c>
      <c r="B4269" s="138">
        <f>'FP Info 3'!J16</f>
        <v>1434999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13496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3142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4000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16943</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28776836</v>
      </c>
      <c r="D4995" s="2" t="str">
        <f t="shared" si="77"/>
        <v>Error?</v>
      </c>
    </row>
    <row r="4996" spans="1:4" x14ac:dyDescent="0.2">
      <c r="A4996" s="12">
        <v>4935</v>
      </c>
      <c r="B4996" s="138">
        <f>'FP Info 3'!H31</f>
        <v>1985601.6840000001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60000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60000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611518</v>
      </c>
      <c r="D5061" s="2" t="str">
        <f t="shared" si="78"/>
        <v>Error?</v>
      </c>
    </row>
    <row r="5062" spans="1:4" x14ac:dyDescent="0.2">
      <c r="A5062" s="10">
        <v>5001</v>
      </c>
      <c r="D5062" s="2" t="str">
        <f t="shared" si="78"/>
        <v>OK</v>
      </c>
    </row>
    <row r="5063" spans="1:4" x14ac:dyDescent="0.2">
      <c r="A5063" s="5">
        <v>5002</v>
      </c>
      <c r="B5063" s="138">
        <f>'Revenues 9-14'!C7</f>
        <v>5824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617342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29630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29630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1019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12860</v>
      </c>
      <c r="C5096" s="2" t="s">
        <v>594</v>
      </c>
      <c r="D5096" s="2" t="str">
        <f t="shared" si="78"/>
        <v>Error?</v>
      </c>
    </row>
    <row r="5097" spans="1:4" x14ac:dyDescent="0.2">
      <c r="A5097" s="5">
        <v>5036</v>
      </c>
      <c r="B5097" s="138">
        <f>'Revenues 9-14'!C77</f>
        <v>2241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3179</v>
      </c>
      <c r="D5101" s="2" t="str">
        <f t="shared" si="78"/>
        <v>Error?</v>
      </c>
    </row>
    <row r="5102" spans="1:4" x14ac:dyDescent="0.2">
      <c r="A5102" s="5">
        <v>5041</v>
      </c>
      <c r="B5102" s="138">
        <f>'Revenues 9-14'!C82</f>
        <v>7548</v>
      </c>
      <c r="C5102" s="2" t="s">
        <v>594</v>
      </c>
      <c r="D5102" s="2" t="str">
        <f t="shared" si="78"/>
        <v>Error?</v>
      </c>
    </row>
    <row r="5103" spans="1:4" x14ac:dyDescent="0.2">
      <c r="A5103" s="5">
        <v>5042</v>
      </c>
      <c r="B5103" s="138">
        <f>'Revenues 9-14'!C84</f>
        <v>2672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525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3197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3881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3023</v>
      </c>
      <c r="D5119" s="2" t="str">
        <f t="shared" ref="D5119:D5182" si="79">IF(ISBLANK(B5119),"OK",IF(A5119-B5119=0,"OK","Error?"))</f>
        <v>Error?</v>
      </c>
    </row>
    <row r="5120" spans="1:4" x14ac:dyDescent="0.2">
      <c r="A5120" s="5">
        <v>5059</v>
      </c>
      <c r="B5120" s="138">
        <f>'Revenues 9-14'!C108</f>
        <v>7304</v>
      </c>
      <c r="C5120" s="2" t="s">
        <v>594</v>
      </c>
      <c r="D5120" s="2" t="str">
        <f t="shared" si="79"/>
        <v>Error?</v>
      </c>
    </row>
    <row r="5121" spans="1:4" x14ac:dyDescent="0.2">
      <c r="A5121" s="5">
        <v>5060</v>
      </c>
      <c r="B5121" s="138">
        <f>'Revenues 9-14'!C109</f>
        <v>677881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96629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96629</v>
      </c>
      <c r="C5132" s="2" t="s">
        <v>594</v>
      </c>
      <c r="D5132" s="2" t="str">
        <f t="shared" si="79"/>
        <v>Error?</v>
      </c>
    </row>
    <row r="5133" spans="1:4" x14ac:dyDescent="0.2">
      <c r="A5133" s="5">
        <v>5072</v>
      </c>
      <c r="B5133" s="138">
        <f>'Revenues 9-14'!C124</f>
        <v>12472</v>
      </c>
      <c r="D5133" s="2" t="str">
        <f t="shared" si="79"/>
        <v>Error?</v>
      </c>
    </row>
    <row r="5134" spans="1:4" x14ac:dyDescent="0.2">
      <c r="A5134" s="5">
        <v>5073</v>
      </c>
      <c r="B5134" s="138">
        <f>'Revenues 9-14'!C125</f>
        <v>5834</v>
      </c>
      <c r="D5134" s="2" t="str">
        <f t="shared" si="79"/>
        <v>Error?</v>
      </c>
    </row>
    <row r="5135" spans="1:4" x14ac:dyDescent="0.2">
      <c r="A5135" s="5">
        <v>5074</v>
      </c>
      <c r="B5135" s="138">
        <f>'Revenues 9-14'!C126</f>
        <v>5040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23346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27570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124199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16943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18248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18248</v>
      </c>
      <c r="C5246" s="2" t="s">
        <v>594</v>
      </c>
      <c r="D5246" s="2" t="str">
        <f t="shared" si="80"/>
        <v>Error?</v>
      </c>
    </row>
    <row r="5247" spans="1:4" x14ac:dyDescent="0.2">
      <c r="A5247" s="5">
        <v>5186</v>
      </c>
      <c r="B5247" s="138">
        <f>'Revenues 9-14'!C203</f>
        <v>17196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17196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5949</v>
      </c>
      <c r="D5278" s="2" t="str">
        <f t="shared" si="81"/>
        <v>Error?</v>
      </c>
    </row>
    <row r="5279" spans="1:4" x14ac:dyDescent="0.2">
      <c r="A5279" s="5">
        <v>5218</v>
      </c>
      <c r="B5279" s="138">
        <f>'Revenues 9-14'!C221</f>
        <v>31258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37207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99289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116232</v>
      </c>
      <c r="C5326" s="2" t="s">
        <v>594</v>
      </c>
      <c r="D5326" s="2" t="str">
        <f t="shared" si="82"/>
        <v>Error?</v>
      </c>
    </row>
    <row r="5327" spans="1:4" x14ac:dyDescent="0.2">
      <c r="A5327" s="5">
        <v>5266</v>
      </c>
      <c r="B5327" s="138">
        <f>'Revenues 9-14'!C275</f>
        <v>918312</v>
      </c>
      <c r="C5327" s="2" t="s">
        <v>594</v>
      </c>
      <c r="D5327" s="2" t="str">
        <f t="shared" si="82"/>
        <v>Error?</v>
      </c>
    </row>
    <row r="5328" spans="1:4" x14ac:dyDescent="0.2">
      <c r="A5328" s="5">
        <v>5267</v>
      </c>
      <c r="B5328" s="138">
        <f>'Revenues 9-14'!D5</f>
        <v>160160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160160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162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6660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7080</v>
      </c>
      <c r="C5355" s="2" t="s">
        <v>594</v>
      </c>
      <c r="D5355" s="2" t="str">
        <f t="shared" si="82"/>
        <v>Error?</v>
      </c>
    </row>
    <row r="5356" spans="1:4" x14ac:dyDescent="0.2">
      <c r="A5356" s="5">
        <v>5295</v>
      </c>
      <c r="B5356" s="138">
        <f>'Revenues 9-14'!D109</f>
        <v>167402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167402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34944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34944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35019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29444</v>
      </c>
      <c r="D5615" s="2" t="str">
        <f t="shared" si="86"/>
        <v>Error?</v>
      </c>
    </row>
    <row r="5616" spans="1:4" x14ac:dyDescent="0.2">
      <c r="A5616" s="10">
        <v>5555</v>
      </c>
      <c r="D5616" s="2" t="str">
        <f t="shared" si="86"/>
        <v>OK</v>
      </c>
    </row>
    <row r="5617" spans="1:4" x14ac:dyDescent="0.2">
      <c r="A5617" s="5">
        <v>5556</v>
      </c>
      <c r="B5617" s="138">
        <f>'Revenues 9-14'!F152</f>
        <v>41172</v>
      </c>
      <c r="D5617" s="2" t="str">
        <f t="shared" si="86"/>
        <v>Error?</v>
      </c>
    </row>
    <row r="5618" spans="1:4" x14ac:dyDescent="0.2">
      <c r="A5618" s="5">
        <v>5557</v>
      </c>
      <c r="B5618" s="138">
        <f>'Revenues 9-14'!F154</f>
        <v>70616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70616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70616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105635</v>
      </c>
      <c r="C5720" s="2" t="s">
        <v>594</v>
      </c>
      <c r="D5720" s="2" t="str">
        <f t="shared" si="88"/>
        <v>Error?</v>
      </c>
    </row>
    <row r="5721" spans="1:4" x14ac:dyDescent="0.2">
      <c r="A5721" s="5">
        <v>5660</v>
      </c>
      <c r="B5721" s="138">
        <f>'Revenues 9-14'!G5</f>
        <v>7355</v>
      </c>
      <c r="D5721" s="2" t="str">
        <f t="shared" si="88"/>
        <v>Error?</v>
      </c>
    </row>
    <row r="5722" spans="1:4" x14ac:dyDescent="0.2">
      <c r="A5722" s="5">
        <v>5661</v>
      </c>
      <c r="B5722" s="138">
        <f>'Revenues 9-14'!G7</f>
        <v>0</v>
      </c>
      <c r="D5722" s="2" t="str">
        <f t="shared" si="88"/>
        <v>Error?</v>
      </c>
    </row>
    <row r="5723" spans="1:4" x14ac:dyDescent="0.2">
      <c r="A5723" s="5">
        <v>5662</v>
      </c>
      <c r="B5723" s="138">
        <f>'Revenues 9-14'!G8</f>
        <v>24163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31518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3852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3852</v>
      </c>
      <c r="C5730" s="2" t="s">
        <v>594</v>
      </c>
      <c r="D5730" s="2" t="str">
        <f t="shared" si="88"/>
        <v>Error?</v>
      </c>
    </row>
    <row r="5731" spans="1:4" x14ac:dyDescent="0.2">
      <c r="A5731" s="5">
        <v>5670</v>
      </c>
      <c r="B5731" s="138">
        <f>'Revenues 9-14'!G65</f>
        <v>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35438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14560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14560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14691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35438</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14691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11841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73.09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73529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73529</v>
      </c>
      <c r="D6215" s="2" t="str">
        <f t="shared" si="96"/>
        <v>Error?</v>
      </c>
      <c r="E6215" s="2" t="s">
        <v>199</v>
      </c>
    </row>
    <row r="6216" spans="1:5" x14ac:dyDescent="0.2">
      <c r="A6216">
        <v>6155</v>
      </c>
      <c r="B6216" s="138">
        <f>'Assets-Liab 5-6'!J41</f>
        <v>73529</v>
      </c>
      <c r="D6216" s="2" t="str">
        <f t="shared" si="96"/>
        <v>Error?</v>
      </c>
      <c r="E6216" s="2" t="s">
        <v>199</v>
      </c>
    </row>
    <row r="6217" spans="1:5" x14ac:dyDescent="0.2">
      <c r="A6217">
        <v>6156</v>
      </c>
      <c r="B6217" s="138">
        <f>'Assets-Liab 5-6'!J4</f>
        <v>73529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125296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125296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125296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119954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119954</v>
      </c>
      <c r="D6229" s="2" t="str">
        <f t="shared" si="96"/>
        <v>Error?</v>
      </c>
      <c r="E6229" s="2" t="s">
        <v>199</v>
      </c>
    </row>
    <row r="6230" spans="1:5" x14ac:dyDescent="0.2">
      <c r="A6230">
        <v>6169</v>
      </c>
      <c r="B6230" s="138">
        <f>'Acct Summary 7-8'!J20</f>
        <v>5342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5342</v>
      </c>
      <c r="D6263" s="2" t="str">
        <f t="shared" si="96"/>
        <v>Error?</v>
      </c>
      <c r="E6263" s="2" t="s">
        <v>199</v>
      </c>
    </row>
    <row r="6264" spans="1:5" x14ac:dyDescent="0.2">
      <c r="A6264">
        <v>6203</v>
      </c>
      <c r="B6264" s="138">
        <f>'Acct Summary 7-8'!J79</f>
        <v>68187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73529</v>
      </c>
      <c r="D6266" s="2" t="str">
        <f t="shared" si="96"/>
        <v>Error?</v>
      </c>
      <c r="E6266" s="2" t="s">
        <v>199</v>
      </c>
    </row>
    <row r="6267" spans="1:5" x14ac:dyDescent="0.2">
      <c r="A6267">
        <v>6206</v>
      </c>
      <c r="B6267" s="138">
        <f>'Acct Summary 7-8'!C82</f>
        <v>219816</v>
      </c>
      <c r="D6267" s="2" t="str">
        <f t="shared" si="96"/>
        <v>Error?</v>
      </c>
      <c r="E6267" s="2" t="s">
        <v>199</v>
      </c>
    </row>
    <row r="6268" spans="1:5" x14ac:dyDescent="0.2">
      <c r="A6268">
        <v>6207</v>
      </c>
      <c r="B6268" s="138">
        <f>'Acct Summary 7-8'!D82</f>
        <v>5819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9380</v>
      </c>
      <c r="D6270" s="2" t="str">
        <f t="shared" si="96"/>
        <v>Error?</v>
      </c>
      <c r="E6270" s="2" t="s">
        <v>199</v>
      </c>
    </row>
    <row r="6271" spans="1:5" x14ac:dyDescent="0.2">
      <c r="A6271">
        <v>6210</v>
      </c>
      <c r="B6271" s="138">
        <f>'Acct Summary 7-8'!G82</f>
        <v>5786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691</v>
      </c>
      <c r="D6273" s="2" t="str">
        <f t="shared" si="97"/>
        <v>Error?</v>
      </c>
      <c r="E6273" s="2" t="s">
        <v>199</v>
      </c>
    </row>
    <row r="6274" spans="1:5" x14ac:dyDescent="0.2">
      <c r="A6274">
        <v>6213</v>
      </c>
      <c r="B6274" s="138">
        <f>'Acct Summary 7-8'!J82</f>
        <v>5342</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0.2597161997707858</v>
      </c>
      <c r="D6276" s="2" t="str">
        <f t="shared" si="97"/>
        <v>Error?</v>
      </c>
      <c r="E6276" s="2" t="s">
        <v>199</v>
      </c>
    </row>
    <row r="6277" spans="1:5" x14ac:dyDescent="0.2">
      <c r="A6277">
        <v>6216</v>
      </c>
      <c r="B6277" s="138">
        <f>'Acct Summary 7-8'!D83</f>
        <v>1.5225929346873307E-2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7.9578522282834629E-2</v>
      </c>
      <c r="D6279" s="2" t="str">
        <f t="shared" si="97"/>
        <v>Error?</v>
      </c>
      <c r="E6279" s="2" t="s">
        <v>199</v>
      </c>
    </row>
    <row r="6280" spans="1:5" x14ac:dyDescent="0.2">
      <c r="A6280">
        <v>6219</v>
      </c>
      <c r="B6280" s="138">
        <f>'Acct Summary 7-8'!G83</f>
        <v>0.1152911170445941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7.8007699167993135E-3</v>
      </c>
      <c r="D6282" s="2" t="str">
        <f t="shared" si="97"/>
        <v>Error?</v>
      </c>
      <c r="E6282" s="2" t="s">
        <v>199</v>
      </c>
    </row>
    <row r="6283" spans="1:5" x14ac:dyDescent="0.2">
      <c r="A6283">
        <v>6222</v>
      </c>
      <c r="B6283" s="138">
        <f>'Acct Summary 7-8'!J83</f>
        <v>7.2651606848998351E-2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120657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120657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4639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4639</v>
      </c>
      <c r="D6351" s="2" t="str">
        <f t="shared" si="98"/>
        <v>Error?</v>
      </c>
      <c r="E6351" s="2" t="s">
        <v>199</v>
      </c>
    </row>
    <row r="6352" spans="1:5" x14ac:dyDescent="0.2">
      <c r="A6352">
        <v>6291</v>
      </c>
      <c r="B6352" s="138">
        <f>'Revenues 9-14'!J109</f>
        <v>125296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77489</v>
      </c>
      <c r="D6983" s="2" t="str">
        <f t="shared" si="108"/>
        <v>Error?</v>
      </c>
    </row>
    <row r="6984" spans="1:4" x14ac:dyDescent="0.2">
      <c r="A6984">
        <v>6923</v>
      </c>
      <c r="B6984" s="138">
        <f>'Expenditures 15-22'!K86</f>
        <v>77489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77489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119954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125296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6592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6592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11362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11362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102000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102000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102000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17954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119954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102000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17954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119954</v>
      </c>
      <c r="D7224" s="2" t="str">
        <f t="shared" si="111"/>
        <v>Error?</v>
      </c>
    </row>
    <row r="7225" spans="1:4" x14ac:dyDescent="0.2">
      <c r="A7225">
        <v>7164</v>
      </c>
      <c r="B7225" s="138">
        <f>'Expenditures 15-22'!K343</f>
        <v>5342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52594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5824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14000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29'!D37</f>
        <v>13709</v>
      </c>
      <c r="D7797" s="2" t="str">
        <f t="shared" si="127"/>
        <v>Error?</v>
      </c>
      <c r="E7797" s="4" t="s">
        <v>2020</v>
      </c>
    </row>
    <row r="7798" spans="1:5" x14ac:dyDescent="0.2">
      <c r="A7798">
        <v>7737</v>
      </c>
      <c r="B7798" s="138">
        <f>'Contracts Paid in CY 29'!F37</f>
        <v>13709</v>
      </c>
      <c r="D7798" s="2" t="str">
        <f t="shared" si="127"/>
        <v>Error?</v>
      </c>
      <c r="E7798" s="4" t="s">
        <v>2020</v>
      </c>
    </row>
    <row r="7799" spans="1:5" x14ac:dyDescent="0.2">
      <c r="A7799">
        <v>7738</v>
      </c>
      <c r="B7799" s="138">
        <f>'Contracts Paid in CY 29'!G37</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ESWOOD CCSD #269</v>
      </c>
      <c r="B7" s="2422"/>
      <c r="C7" s="2422"/>
      <c r="D7" s="2423"/>
      <c r="E7" s="2424" t="str">
        <f>COVER!A13</f>
        <v>47-071-2690-04</v>
      </c>
      <c r="F7" s="2425"/>
      <c r="G7" s="2431" t="str">
        <f>COVER!T23</f>
        <v>066-004656</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NEWKIRK &amp; ASSOCIATES, INC.</v>
      </c>
      <c r="H9" s="2437"/>
      <c r="I9" s="2437"/>
      <c r="J9" s="2437"/>
      <c r="K9" s="2437"/>
      <c r="L9" s="2438"/>
    </row>
    <row r="10" spans="1:29" ht="13.5" customHeight="1" x14ac:dyDescent="0.2">
      <c r="A10" s="2411" t="str">
        <f>COVER!A38</f>
        <v>JOSEPH SCHWARTZ</v>
      </c>
      <c r="B10" s="2412"/>
      <c r="C10" s="2412"/>
      <c r="D10" s="2412"/>
      <c r="E10" s="2412"/>
      <c r="F10" s="2413"/>
      <c r="G10" s="2405" t="str">
        <f>COVER!T17</f>
        <v>2 W. MAIN STREET</v>
      </c>
      <c r="H10" s="2406"/>
      <c r="I10" s="2406"/>
      <c r="J10" s="2406"/>
      <c r="K10" s="2406"/>
      <c r="L10" s="2407"/>
    </row>
    <row r="11" spans="1:29" ht="13.5" customHeight="1" x14ac:dyDescent="0.2">
      <c r="A11" s="1185" t="s">
        <v>1599</v>
      </c>
      <c r="B11" s="1186"/>
      <c r="C11" s="1187"/>
      <c r="D11" s="1192"/>
      <c r="E11" s="1187"/>
      <c r="F11" s="1191"/>
      <c r="G11" s="2405" t="str">
        <f>COVER!T19</f>
        <v>PLANO</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NEWKIRKCPA@SBCGLOBAL.NET</v>
      </c>
      <c r="J13" s="2418"/>
      <c r="K13" s="2418"/>
      <c r="L13" s="2419"/>
    </row>
    <row r="14" spans="1:29" ht="13.5" customHeight="1" x14ac:dyDescent="0.2">
      <c r="A14" s="2405" t="str">
        <f>COVER!A19</f>
        <v>304 N. MAIN STREET</v>
      </c>
      <c r="B14" s="2406"/>
      <c r="C14" s="2406"/>
      <c r="D14" s="2406"/>
      <c r="E14" s="2406"/>
      <c r="F14" s="2407"/>
      <c r="G14" s="1196" t="s">
        <v>1247</v>
      </c>
      <c r="H14" s="1194"/>
      <c r="I14" s="1194"/>
      <c r="J14" s="1194"/>
      <c r="K14" s="1194"/>
      <c r="L14" s="1195"/>
    </row>
    <row r="15" spans="1:29" ht="13.5" customHeight="1" x14ac:dyDescent="0.2">
      <c r="A15" s="2405" t="str">
        <f>COVER!A21</f>
        <v>LINDENWOOD</v>
      </c>
      <c r="B15" s="2406"/>
      <c r="C15" s="2406"/>
      <c r="D15" s="2406"/>
      <c r="E15" s="2406"/>
      <c r="F15" s="2407"/>
      <c r="G15" s="2402" t="str">
        <f>COVER!T15</f>
        <v>WILLIAM J. NEWKIRK</v>
      </c>
      <c r="H15" s="2403"/>
      <c r="I15" s="2403"/>
      <c r="J15" s="2403"/>
      <c r="K15" s="2403"/>
      <c r="L15" s="2404"/>
    </row>
    <row r="16" spans="1:29" ht="12.2" customHeight="1" x14ac:dyDescent="0.2">
      <c r="A16" s="2427">
        <f>COVER!A25</f>
        <v>61049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630-552-1040</v>
      </c>
      <c r="H18" s="2422"/>
      <c r="I18" s="2422"/>
      <c r="J18" s="2422"/>
      <c r="K18" s="2421" t="str">
        <f>COVER!X21</f>
        <v>630-552-7399</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ESWOOD CCSD #269</v>
      </c>
      <c r="B1" s="2420"/>
      <c r="C1" s="2420"/>
      <c r="D1" s="2420"/>
    </row>
    <row r="2" spans="1:11" s="1215" customFormat="1" ht="12.75" x14ac:dyDescent="0.2">
      <c r="A2" s="2444" t="str">
        <f>'Single Audit Cover'!E7</f>
        <v>47-071-2690-04</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ESWOOD CCSD #269</v>
      </c>
      <c r="B1" s="2447"/>
      <c r="C1" s="2447"/>
      <c r="D1" s="2447"/>
      <c r="E1" s="2447"/>
    </row>
    <row r="2" spans="1:5" x14ac:dyDescent="0.2">
      <c r="A2" s="2448" t="str">
        <f>'Single Audit Cover'!E7</f>
        <v>47-071-2690-04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116232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-13496</v>
      </c>
    </row>
    <row r="19" spans="1:4" ht="13.5" thickBot="1" x14ac:dyDescent="0.25">
      <c r="A19" s="1265" t="s">
        <v>1297</v>
      </c>
      <c r="D19" s="1266">
        <f>SUM(D10:D17)</f>
        <v>102736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102736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102736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ESWOOD CCSD #269</v>
      </c>
      <c r="B1" s="2460"/>
      <c r="C1" s="2460"/>
      <c r="D1" s="2460"/>
      <c r="E1" s="2460"/>
      <c r="F1" s="2460"/>
    </row>
    <row r="2" spans="1:7" ht="13.5" customHeight="1" x14ac:dyDescent="0.2">
      <c r="A2" s="2461" t="str">
        <f>'Single Audit Cover'!E7</f>
        <v>47-071-2690-04</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69" t="s">
        <v>1332</v>
      </c>
      <c r="D15" s="2457" t="s">
        <v>1331</v>
      </c>
      <c r="E15" s="2457"/>
      <c r="F15" s="2457"/>
    </row>
    <row r="16" spans="1:7" ht="13.5" customHeight="1" x14ac:dyDescent="0.2">
      <c r="A16" s="1282"/>
      <c r="B16" s="1276" t="s">
        <v>1330</v>
      </c>
      <c r="C16" s="1869"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4">
        <f>+C33+C34</f>
        <v>0</v>
      </c>
      <c r="F34" s="2455"/>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8"/>
      <c r="C50" s="1868"/>
      <c r="D50" s="1868"/>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ESWOOD CCSD #269</v>
      </c>
      <c r="C1" s="2464"/>
      <c r="D1" s="2464"/>
      <c r="E1" s="2464"/>
      <c r="F1" s="2464"/>
      <c r="G1" s="2464"/>
      <c r="H1" s="2464"/>
      <c r="I1" s="2464"/>
      <c r="J1" s="2464"/>
      <c r="K1" s="2464"/>
      <c r="L1" s="2464"/>
      <c r="M1" s="2464"/>
    </row>
    <row r="2" spans="2:14" ht="15" x14ac:dyDescent="0.2">
      <c r="B2" s="2461" t="str">
        <f>'Single Audit Cover'!E7</f>
        <v>47-071-2690-04</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0"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ESWOOD CCSD #269</v>
      </c>
      <c r="C1" s="2479"/>
      <c r="D1" s="2479"/>
      <c r="E1" s="2479"/>
      <c r="F1" s="2479"/>
      <c r="G1" s="2479"/>
      <c r="H1" s="2479"/>
      <c r="I1" s="2479"/>
      <c r="J1" s="1422"/>
    </row>
    <row r="2" spans="2:10" s="317" customFormat="1" ht="12.75" customHeight="1" x14ac:dyDescent="0.2">
      <c r="B2" s="2480" t="str">
        <f>'Single Audit Cover'!E7</f>
        <v>47-071-2690-04</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1952</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ESWOOD CCSD #269</v>
      </c>
      <c r="C1" s="2478"/>
      <c r="D1" s="2478"/>
      <c r="E1" s="2478"/>
      <c r="F1" s="2478"/>
      <c r="G1" s="2478"/>
      <c r="H1" s="2478"/>
      <c r="I1" s="2478"/>
      <c r="J1" s="2478"/>
      <c r="K1" s="2478"/>
      <c r="L1" s="1374"/>
      <c r="M1" s="1374"/>
    </row>
    <row r="2" spans="1:13" ht="12" customHeight="1" x14ac:dyDescent="0.2">
      <c r="B2" s="2480" t="str">
        <f>'Single Audit Cover'!E7</f>
        <v>47-071-2690-04</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ESWOOD CCSD #269</v>
      </c>
      <c r="C1" s="2501"/>
      <c r="D1" s="2501"/>
      <c r="E1" s="2501"/>
      <c r="F1" s="2501"/>
      <c r="G1" s="2501"/>
      <c r="H1" s="2501"/>
      <c r="I1" s="2501"/>
      <c r="J1" s="2501"/>
      <c r="K1" s="2501"/>
      <c r="L1" s="1465"/>
    </row>
    <row r="2" spans="1:12" ht="12.75" customHeight="1" x14ac:dyDescent="0.2">
      <c r="B2" s="2502" t="str">
        <f>'Single Audit Cover'!E7</f>
        <v>47-071-2690-04</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ESWOOD CCSD #269</v>
      </c>
      <c r="C1" s="2478"/>
      <c r="D1" s="2478"/>
      <c r="E1" s="1491"/>
    </row>
    <row r="2" spans="2:5" s="1282" customFormat="1" ht="12.75" customHeight="1" x14ac:dyDescent="0.2">
      <c r="B2" s="2480" t="str">
        <f>'Single Audit Cover'!E7</f>
        <v>47-071-2690-04</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45" sqref="B4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28776836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2.1000000000000001E-2</v>
      </c>
      <c r="E10" s="356" t="s">
        <v>1062</v>
      </c>
      <c r="F10" s="355">
        <v>5.4999999999999997E-3</v>
      </c>
      <c r="G10" s="356" t="s">
        <v>1062</v>
      </c>
      <c r="H10" s="355">
        <v>1.1999999999999999E-3</v>
      </c>
      <c r="I10" s="356" t="s">
        <v>1063</v>
      </c>
      <c r="J10" s="1753">
        <f>ROUND(D10+F10+H10,5)</f>
        <v>2.7699999999999999E-2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1206040</v>
      </c>
      <c r="E16" s="356"/>
      <c r="F16" s="1754">
        <f>SUM('Acct Summary 7-8'!C17,'Acct Summary 7-8'!D17,'Acct Summary 7-8'!F17)</f>
        <v>970334</v>
      </c>
      <c r="G16" s="356"/>
      <c r="H16" s="1754">
        <f>SUM(D16-F16)</f>
        <v>235706</v>
      </c>
      <c r="I16" s="222"/>
      <c r="J16" s="1754">
        <f>SUM('Acct Summary 7-8'!C81,'Acct Summary 7-8'!D81,'Acct Summary 7-8'!F81,'Acct Summary 7-8'!I81)</f>
        <v>1434999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1985601.6840000001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ESWOOD CCSD #269</v>
      </c>
      <c r="E7" s="391"/>
      <c r="G7" s="252"/>
      <c r="H7" s="387"/>
      <c r="I7" s="387"/>
      <c r="J7" s="387"/>
      <c r="K7" s="387"/>
      <c r="L7" s="329"/>
      <c r="M7" s="329"/>
      <c r="N7" s="329"/>
      <c r="O7" s="329"/>
      <c r="P7" s="329"/>
    </row>
    <row r="8" spans="1:18" ht="12.75" x14ac:dyDescent="0.2">
      <c r="A8" s="329"/>
      <c r="B8" s="329"/>
      <c r="C8" s="389" t="s">
        <v>1187</v>
      </c>
      <c r="D8" s="392" t="str">
        <f>COVER!A13</f>
        <v>47-071-2690-04</v>
      </c>
      <c r="E8" s="393"/>
      <c r="G8" s="329"/>
      <c r="H8" s="329"/>
      <c r="I8" s="329"/>
      <c r="J8" s="329"/>
      <c r="K8" s="329"/>
      <c r="L8" s="329"/>
      <c r="M8" s="329"/>
      <c r="N8" s="329"/>
      <c r="O8" s="329"/>
      <c r="P8" s="329"/>
    </row>
    <row r="9" spans="1:18" ht="12.75" x14ac:dyDescent="0.2">
      <c r="A9" s="329"/>
      <c r="B9" s="329"/>
      <c r="C9" s="389" t="s">
        <v>737</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1434999</v>
      </c>
      <c r="I12" s="404"/>
      <c r="J12" s="404"/>
      <c r="K12" s="405">
        <f>TRUNC((H12/H13*100000),5)/100000</f>
        <v>1.1898436204</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1206040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970334</v>
      </c>
      <c r="I17" s="404"/>
      <c r="J17" s="416"/>
      <c r="K17" s="405">
        <f>TRUNC((H17/H18*100000),5)/100000</f>
        <v>0.8045620376999999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1206040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1434999</v>
      </c>
      <c r="I24" s="422"/>
      <c r="J24" s="422"/>
      <c r="K24" s="423">
        <f>TRUNC(((H24/H25*100000)/100000),2)</f>
        <v>532.39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2695.3722200000002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677550.60361999995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1985601.6840000001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1" activePane="bottomLeft" state="frozen"/>
      <selection activeCell="A47" sqref="A47"/>
      <selection pane="bottomLeft" activeCell="F17" sqref="F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846370</v>
      </c>
      <c r="D4" s="466">
        <v>382177</v>
      </c>
      <c r="E4" s="466"/>
      <c r="F4" s="466">
        <v>117871</v>
      </c>
      <c r="G4" s="466">
        <v>50186</v>
      </c>
      <c r="H4" s="466"/>
      <c r="I4" s="466">
        <v>88581</v>
      </c>
      <c r="J4" s="467">
        <v>73529</v>
      </c>
      <c r="K4" s="466"/>
      <c r="L4" s="466">
        <v>10524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846370</v>
      </c>
      <c r="D13" s="1758">
        <f t="shared" ref="D13:L13" si="0">SUM(D4:D12)</f>
        <v>382177</v>
      </c>
      <c r="E13" s="1758">
        <f t="shared" si="0"/>
        <v>0</v>
      </c>
      <c r="F13" s="1758">
        <f t="shared" si="0"/>
        <v>117871</v>
      </c>
      <c r="G13" s="1758">
        <f t="shared" si="0"/>
        <v>50186</v>
      </c>
      <c r="H13" s="1758">
        <f t="shared" si="0"/>
        <v>0</v>
      </c>
      <c r="I13" s="1758">
        <f t="shared" si="0"/>
        <v>88581</v>
      </c>
      <c r="J13" s="1758">
        <f t="shared" si="0"/>
        <v>73529</v>
      </c>
      <c r="K13" s="1758">
        <f t="shared" si="0"/>
        <v>0</v>
      </c>
      <c r="L13" s="1758">
        <f t="shared" si="0"/>
        <v>10524</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11979</v>
      </c>
      <c r="N16" s="484"/>
    </row>
    <row r="17" spans="1:14" s="485" customFormat="1" ht="12.75" customHeight="1" x14ac:dyDescent="0.2">
      <c r="A17" s="482" t="s">
        <v>1470</v>
      </c>
      <c r="B17" s="483">
        <v>230</v>
      </c>
      <c r="C17" s="477"/>
      <c r="D17" s="477"/>
      <c r="E17" s="477"/>
      <c r="F17" s="477"/>
      <c r="G17" s="477"/>
      <c r="H17" s="477"/>
      <c r="I17" s="477"/>
      <c r="J17" s="477"/>
      <c r="K17" s="477"/>
      <c r="L17" s="477"/>
      <c r="M17" s="467">
        <v>838250</v>
      </c>
      <c r="N17" s="484"/>
    </row>
    <row r="18" spans="1:14" s="485" customFormat="1" ht="12.75" customHeight="1" x14ac:dyDescent="0.2">
      <c r="A18" s="482" t="s">
        <v>1471</v>
      </c>
      <c r="B18" s="483">
        <v>240</v>
      </c>
      <c r="C18" s="477"/>
      <c r="D18" s="477"/>
      <c r="E18" s="477"/>
      <c r="F18" s="477"/>
      <c r="G18" s="477"/>
      <c r="H18" s="477"/>
      <c r="I18" s="477"/>
      <c r="J18" s="477"/>
      <c r="K18" s="477"/>
      <c r="L18" s="477"/>
      <c r="M18" s="467">
        <v>222762</v>
      </c>
      <c r="N18" s="484"/>
    </row>
    <row r="19" spans="1:14" s="485" customFormat="1" ht="12.75" customHeight="1" x14ac:dyDescent="0.2">
      <c r="A19" s="482" t="s">
        <v>1472</v>
      </c>
      <c r="B19" s="483">
        <v>250</v>
      </c>
      <c r="C19" s="477"/>
      <c r="D19" s="477"/>
      <c r="E19" s="477"/>
      <c r="F19" s="477"/>
      <c r="G19" s="477"/>
      <c r="H19" s="477"/>
      <c r="I19" s="477"/>
      <c r="J19" s="477"/>
      <c r="K19" s="477"/>
      <c r="L19" s="477"/>
      <c r="M19" s="467">
        <v>38478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1111469</v>
      </c>
      <c r="N23" s="1709">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10524</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10524</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846370</v>
      </c>
      <c r="D39" s="466">
        <v>382177</v>
      </c>
      <c r="E39" s="466"/>
      <c r="F39" s="466">
        <v>117871</v>
      </c>
      <c r="G39" s="466">
        <v>50186</v>
      </c>
      <c r="H39" s="466"/>
      <c r="I39" s="466">
        <v>88581</v>
      </c>
      <c r="J39" s="467">
        <v>73529</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1111469</v>
      </c>
      <c r="N40" s="497"/>
    </row>
    <row r="41" spans="1:14" ht="13.5" customHeight="1" thickBot="1" x14ac:dyDescent="0.25">
      <c r="A41" s="1757" t="s">
        <v>676</v>
      </c>
      <c r="B41" s="1727"/>
      <c r="C41" s="1709">
        <f>(SUM(C34,C37,C38,C39))</f>
        <v>846370</v>
      </c>
      <c r="D41" s="1709">
        <f t="shared" ref="D41:L41" si="2">SUM(D34,D37,D38:D39)</f>
        <v>382177</v>
      </c>
      <c r="E41" s="1709">
        <f t="shared" si="2"/>
        <v>0</v>
      </c>
      <c r="F41" s="1709">
        <f t="shared" si="2"/>
        <v>117871</v>
      </c>
      <c r="G41" s="1709">
        <f t="shared" si="2"/>
        <v>50186</v>
      </c>
      <c r="H41" s="1709">
        <f t="shared" si="2"/>
        <v>0</v>
      </c>
      <c r="I41" s="1709">
        <f t="shared" si="2"/>
        <v>88581</v>
      </c>
      <c r="J41" s="1709">
        <f t="shared" si="2"/>
        <v>73529</v>
      </c>
      <c r="K41" s="1709">
        <f t="shared" si="2"/>
        <v>0</v>
      </c>
      <c r="L41" s="1709">
        <f t="shared" si="2"/>
        <v>10524</v>
      </c>
      <c r="M41" s="1709">
        <f>SUM(M40)</f>
        <v>1111469</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81" sqref="C81:J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2" t="s">
        <v>1579</v>
      </c>
      <c r="B4" s="1953">
        <v>1000</v>
      </c>
      <c r="C4" s="1763">
        <f>'Revenues 9-14'!C109</f>
        <v>677881</v>
      </c>
      <c r="D4" s="1763">
        <f>'Revenues 9-14'!D109</f>
        <v>167402</v>
      </c>
      <c r="E4" s="1763">
        <f>'Revenues 9-14'!E109</f>
        <v>0</v>
      </c>
      <c r="F4" s="1763">
        <f>'Revenues 9-14'!F109</f>
        <v>35019</v>
      </c>
      <c r="G4" s="1763">
        <f>'Revenues 9-14'!G109</f>
        <v>35438</v>
      </c>
      <c r="H4" s="1763">
        <f>'Revenues 9-14'!H109</f>
        <v>0</v>
      </c>
      <c r="I4" s="1763">
        <f>'Revenues 9-14'!I109</f>
        <v>14691</v>
      </c>
      <c r="J4" s="1763">
        <f>'Revenues 9-14'!J109</f>
        <v>125296</v>
      </c>
      <c r="K4" s="1763">
        <f>'Revenues 9-14'!K109</f>
        <v>0</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124199</v>
      </c>
      <c r="D6" s="1764">
        <f>'Revenues 9-14'!D173</f>
        <v>0</v>
      </c>
      <c r="E6" s="1764">
        <f>'Revenues 9-14'!E173</f>
        <v>0</v>
      </c>
      <c r="F6" s="1764">
        <f>'Revenues 9-14'!F173</f>
        <v>70616</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116232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918312</v>
      </c>
      <c r="D8" s="1709">
        <f t="shared" ref="D8:K8" si="0">SUM(D4:D7)</f>
        <v>167402</v>
      </c>
      <c r="E8" s="1709">
        <f t="shared" si="0"/>
        <v>0</v>
      </c>
      <c r="F8" s="1709">
        <f t="shared" si="0"/>
        <v>105635</v>
      </c>
      <c r="G8" s="1709">
        <f t="shared" si="0"/>
        <v>35438</v>
      </c>
      <c r="H8" s="1709">
        <f t="shared" si="0"/>
        <v>0</v>
      </c>
      <c r="I8" s="1709">
        <f t="shared" si="0"/>
        <v>14691</v>
      </c>
      <c r="J8" s="1709">
        <f t="shared" si="0"/>
        <v>125296</v>
      </c>
      <c r="K8" s="1709">
        <f t="shared" si="0"/>
        <v>0</v>
      </c>
      <c r="L8" s="347"/>
    </row>
    <row r="9" spans="1:13" ht="15.75" thickTop="1" x14ac:dyDescent="0.2">
      <c r="A9" s="514" t="s">
        <v>1752</v>
      </c>
      <c r="B9" s="515">
        <v>3998</v>
      </c>
      <c r="C9" s="481">
        <f>390944+6410</f>
        <v>397354</v>
      </c>
      <c r="D9" s="516"/>
      <c r="E9" s="481"/>
      <c r="F9" s="481"/>
      <c r="G9" s="517"/>
      <c r="H9" s="481"/>
      <c r="I9" s="509" t="s">
        <v>1231</v>
      </c>
      <c r="J9" s="478"/>
      <c r="K9" s="481"/>
      <c r="L9" s="347"/>
    </row>
    <row r="10" spans="1:13" s="519" customFormat="1" ht="13.5" thickBot="1" x14ac:dyDescent="0.25">
      <c r="A10" s="1757" t="s">
        <v>1235</v>
      </c>
      <c r="B10" s="1730"/>
      <c r="C10" s="1709">
        <f>SUM(C8:C9)</f>
        <v>1315666</v>
      </c>
      <c r="D10" s="1709">
        <f t="shared" ref="D10:K10" si="1">SUM(D8:D9)</f>
        <v>167402</v>
      </c>
      <c r="E10" s="1709">
        <f t="shared" si="1"/>
        <v>0</v>
      </c>
      <c r="F10" s="1709">
        <f t="shared" si="1"/>
        <v>105635</v>
      </c>
      <c r="G10" s="1709">
        <f t="shared" si="1"/>
        <v>35438</v>
      </c>
      <c r="H10" s="1709">
        <f t="shared" si="1"/>
        <v>0</v>
      </c>
      <c r="I10" s="1709">
        <f t="shared" si="1"/>
        <v>14691</v>
      </c>
      <c r="J10" s="1709">
        <f t="shared" si="1"/>
        <v>125296</v>
      </c>
      <c r="K10" s="1709">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3">
        <f>'Expenditures 15-22'!K33</f>
        <v>505115</v>
      </c>
      <c r="D12" s="520" t="s">
        <v>1231</v>
      </c>
      <c r="E12" s="468" t="s">
        <v>1231</v>
      </c>
      <c r="F12" s="468" t="s">
        <v>1231</v>
      </c>
      <c r="G12" s="1763">
        <f>'Expenditures 15-22'!K229</f>
        <v>9777</v>
      </c>
      <c r="H12" s="521"/>
      <c r="I12" s="468" t="s">
        <v>1231</v>
      </c>
      <c r="J12" s="468" t="s">
        <v>1231</v>
      </c>
      <c r="K12" s="521" t="s">
        <v>1231</v>
      </c>
      <c r="L12" s="347"/>
    </row>
    <row r="13" spans="1:13" ht="15.75" customHeight="1" x14ac:dyDescent="0.2">
      <c r="A13" s="1598" t="s">
        <v>477</v>
      </c>
      <c r="B13" s="1600">
        <v>2000</v>
      </c>
      <c r="C13" s="1764">
        <f>'Expenditures 15-22'!K74</f>
        <v>189892</v>
      </c>
      <c r="D13" s="1764">
        <f>'Expenditures 15-22'!K129</f>
        <v>101583</v>
      </c>
      <c r="E13" s="469" t="s">
        <v>1231</v>
      </c>
      <c r="F13" s="1764">
        <f>'Expenditures 15-22'!K184</f>
        <v>96255</v>
      </c>
      <c r="G13" s="1764">
        <f>'Expenditures 15-22'!K279</f>
        <v>19875</v>
      </c>
      <c r="H13" s="1764">
        <f>'Expenditures 15-22'!K303</f>
        <v>0</v>
      </c>
      <c r="I13" s="468" t="s">
        <v>1231</v>
      </c>
      <c r="J13" s="1764">
        <f>'Expenditures 15-22'!K330</f>
        <v>119954</v>
      </c>
      <c r="K13" s="1768">
        <f>'Expenditures 15-22'!K352</f>
        <v>0</v>
      </c>
      <c r="L13" s="347"/>
    </row>
    <row r="14" spans="1:13" ht="15.75" customHeight="1" x14ac:dyDescent="0.2">
      <c r="A14" s="1598" t="s">
        <v>469</v>
      </c>
      <c r="B14" s="1600">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77489</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772496</v>
      </c>
      <c r="D17" s="1709">
        <f t="shared" si="2"/>
        <v>101583</v>
      </c>
      <c r="E17" s="1709">
        <f t="shared" si="2"/>
        <v>0</v>
      </c>
      <c r="F17" s="1709">
        <f t="shared" si="2"/>
        <v>96255</v>
      </c>
      <c r="G17" s="1709">
        <f t="shared" si="2"/>
        <v>29652</v>
      </c>
      <c r="H17" s="1709">
        <f t="shared" si="2"/>
        <v>0</v>
      </c>
      <c r="I17" s="468"/>
      <c r="J17" s="1709">
        <f>SUM(J12:J16)</f>
        <v>119954</v>
      </c>
      <c r="K17" s="1709">
        <f>SUM(K12:K16)</f>
        <v>0</v>
      </c>
      <c r="L17" s="347"/>
    </row>
    <row r="18" spans="1:12" ht="15" customHeight="1" thickTop="1" x14ac:dyDescent="0.2">
      <c r="A18" s="1765" t="s">
        <v>1753</v>
      </c>
      <c r="B18" s="1766">
        <v>4180</v>
      </c>
      <c r="C18" s="1763">
        <f t="shared" ref="C18:H18" si="3">C9</f>
        <v>397354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1169850</v>
      </c>
      <c r="D19" s="1709">
        <f t="shared" si="4"/>
        <v>101583</v>
      </c>
      <c r="E19" s="1709">
        <f t="shared" si="4"/>
        <v>0</v>
      </c>
      <c r="F19" s="1709">
        <f t="shared" si="4"/>
        <v>96255</v>
      </c>
      <c r="G19" s="1709">
        <f t="shared" si="4"/>
        <v>29652</v>
      </c>
      <c r="H19" s="1709">
        <f t="shared" si="4"/>
        <v>0</v>
      </c>
      <c r="I19" s="468"/>
      <c r="J19" s="1709">
        <f>SUM(J17:J18)</f>
        <v>119954</v>
      </c>
      <c r="K19" s="1709">
        <f>SUM(K17:K18)</f>
        <v>0</v>
      </c>
      <c r="L19" s="347"/>
    </row>
    <row r="20" spans="1:12" ht="16.5" thickTop="1" thickBot="1" x14ac:dyDescent="0.25">
      <c r="A20" s="2144" t="s">
        <v>1754</v>
      </c>
      <c r="B20" s="2145"/>
      <c r="C20" s="1767">
        <f>C8-C17</f>
        <v>145816</v>
      </c>
      <c r="D20" s="1767">
        <f t="shared" ref="D20:K20" si="5">D8-D17</f>
        <v>65819</v>
      </c>
      <c r="E20" s="1767">
        <f t="shared" si="5"/>
        <v>0</v>
      </c>
      <c r="F20" s="1767">
        <f t="shared" si="5"/>
        <v>9380</v>
      </c>
      <c r="G20" s="1767">
        <f t="shared" si="5"/>
        <v>5786</v>
      </c>
      <c r="H20" s="1767">
        <f t="shared" si="5"/>
        <v>0</v>
      </c>
      <c r="I20" s="1767">
        <f t="shared" si="5"/>
        <v>14691</v>
      </c>
      <c r="J20" s="1767">
        <f t="shared" si="5"/>
        <v>5342</v>
      </c>
      <c r="K20" s="1767">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14000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60000</v>
      </c>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4">
        <f>SUM(C24:C43)</f>
        <v>74000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14000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v>60000</v>
      </c>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4">
        <f t="shared" ref="C76:K76" si="7">SUM(C47:C75)</f>
        <v>0</v>
      </c>
      <c r="D76" s="1724">
        <f t="shared" si="7"/>
        <v>60000</v>
      </c>
      <c r="E76" s="1724">
        <f t="shared" si="7"/>
        <v>0</v>
      </c>
      <c r="F76" s="1724">
        <f t="shared" si="7"/>
        <v>0</v>
      </c>
      <c r="G76" s="1724">
        <f t="shared" si="7"/>
        <v>0</v>
      </c>
      <c r="H76" s="1724">
        <f t="shared" si="7"/>
        <v>0</v>
      </c>
      <c r="I76" s="1724">
        <f t="shared" si="7"/>
        <v>14000</v>
      </c>
      <c r="J76" s="1724">
        <f t="shared" si="7"/>
        <v>0</v>
      </c>
      <c r="K76" s="1724">
        <f t="shared" si="7"/>
        <v>0</v>
      </c>
      <c r="L76" s="524"/>
    </row>
    <row r="77" spans="1:12" ht="14.25" thickTop="1" thickBot="1" x14ac:dyDescent="0.25">
      <c r="A77" s="2136" t="s">
        <v>1239</v>
      </c>
      <c r="B77" s="2137"/>
      <c r="C77" s="1724">
        <f t="shared" ref="C77:K77" si="8">C44-C76</f>
        <v>74000</v>
      </c>
      <c r="D77" s="1724">
        <f t="shared" si="8"/>
        <v>-60000</v>
      </c>
      <c r="E77" s="1724">
        <f t="shared" si="8"/>
        <v>0</v>
      </c>
      <c r="F77" s="1724">
        <f t="shared" si="8"/>
        <v>0</v>
      </c>
      <c r="G77" s="1724">
        <f t="shared" si="8"/>
        <v>0</v>
      </c>
      <c r="H77" s="1724">
        <f t="shared" si="8"/>
        <v>0</v>
      </c>
      <c r="I77" s="1724">
        <f t="shared" si="8"/>
        <v>-14000</v>
      </c>
      <c r="J77" s="1724">
        <f t="shared" si="8"/>
        <v>0</v>
      </c>
      <c r="K77" s="1724">
        <f t="shared" si="8"/>
        <v>0</v>
      </c>
      <c r="L77" s="347"/>
    </row>
    <row r="78" spans="1:12" ht="21.75" customHeight="1" thickTop="1" thickBot="1" x14ac:dyDescent="0.25">
      <c r="A78" s="2140" t="s">
        <v>618</v>
      </c>
      <c r="B78" s="2141"/>
      <c r="C78" s="1723">
        <f t="shared" ref="C78:K78" si="9">C20+C77</f>
        <v>219816</v>
      </c>
      <c r="D78" s="1723">
        <f t="shared" si="9"/>
        <v>5819</v>
      </c>
      <c r="E78" s="1723">
        <f t="shared" si="9"/>
        <v>0</v>
      </c>
      <c r="F78" s="1723">
        <f t="shared" si="9"/>
        <v>9380</v>
      </c>
      <c r="G78" s="1723">
        <f t="shared" si="9"/>
        <v>5786</v>
      </c>
      <c r="H78" s="1723">
        <f t="shared" si="9"/>
        <v>0</v>
      </c>
      <c r="I78" s="1723">
        <f t="shared" si="9"/>
        <v>691</v>
      </c>
      <c r="J78" s="1723">
        <f t="shared" si="9"/>
        <v>5342</v>
      </c>
      <c r="K78" s="1723">
        <f t="shared" si="9"/>
        <v>0</v>
      </c>
      <c r="L78" s="533"/>
    </row>
    <row r="79" spans="1:12" ht="13.5" thickTop="1" x14ac:dyDescent="0.2">
      <c r="A79" s="1516" t="s">
        <v>2073</v>
      </c>
      <c r="B79" s="534"/>
      <c r="C79" s="478">
        <v>626554</v>
      </c>
      <c r="D79" s="535">
        <v>376358</v>
      </c>
      <c r="E79" s="535"/>
      <c r="F79" s="535">
        <v>108491</v>
      </c>
      <c r="G79" s="535">
        <v>44400</v>
      </c>
      <c r="H79" s="535"/>
      <c r="I79" s="535">
        <v>87890</v>
      </c>
      <c r="J79" s="535">
        <v>68187</v>
      </c>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09">
        <f>(SUM(C78:C80))</f>
        <v>846370</v>
      </c>
      <c r="D81" s="1709">
        <f>SUM(D78:D80)</f>
        <v>382177</v>
      </c>
      <c r="E81" s="1709">
        <f t="shared" ref="E81:K81" si="10">SUM(E78:E80)</f>
        <v>0</v>
      </c>
      <c r="F81" s="1709">
        <f t="shared" si="10"/>
        <v>117871</v>
      </c>
      <c r="G81" s="1709">
        <f t="shared" si="10"/>
        <v>50186</v>
      </c>
      <c r="H81" s="1709">
        <f t="shared" si="10"/>
        <v>0</v>
      </c>
      <c r="I81" s="1709">
        <f t="shared" si="10"/>
        <v>88581</v>
      </c>
      <c r="J81" s="1709">
        <f t="shared" si="10"/>
        <v>73529</v>
      </c>
      <c r="K81" s="1709">
        <f t="shared" si="10"/>
        <v>0</v>
      </c>
      <c r="L81" s="347"/>
    </row>
    <row r="82" spans="1:12" ht="0.75" customHeight="1" thickTop="1" thickBot="1" x14ac:dyDescent="0.25">
      <c r="A82" s="536" t="s">
        <v>361</v>
      </c>
      <c r="B82" s="537"/>
      <c r="C82" s="538">
        <f>(C81-C79)</f>
        <v>219816</v>
      </c>
      <c r="D82" s="538">
        <f t="shared" ref="D82:K82" si="11">(D81-D79)</f>
        <v>5819</v>
      </c>
      <c r="E82" s="538">
        <f t="shared" si="11"/>
        <v>0</v>
      </c>
      <c r="F82" s="538">
        <f t="shared" si="11"/>
        <v>9380</v>
      </c>
      <c r="G82" s="538">
        <f t="shared" si="11"/>
        <v>5786</v>
      </c>
      <c r="H82" s="538">
        <f t="shared" si="11"/>
        <v>0</v>
      </c>
      <c r="I82" s="538">
        <f t="shared" si="11"/>
        <v>691</v>
      </c>
      <c r="J82" s="538">
        <f t="shared" si="11"/>
        <v>5342</v>
      </c>
      <c r="K82" s="538">
        <f t="shared" si="11"/>
        <v>0</v>
      </c>
    </row>
    <row r="83" spans="1:12" ht="14.25" hidden="1" thickTop="1" thickBot="1" x14ac:dyDescent="0.25">
      <c r="A83" s="539" t="s">
        <v>362</v>
      </c>
      <c r="B83" s="464"/>
      <c r="C83" s="540">
        <f>C82/C81</f>
        <v>0.2597161997707858</v>
      </c>
      <c r="D83" s="540">
        <f t="shared" ref="D83:K83" si="12">D82/D81</f>
        <v>1.5225929346873307E-2</v>
      </c>
      <c r="E83" s="540" t="e">
        <f t="shared" si="12"/>
        <v>#DIV/0!</v>
      </c>
      <c r="F83" s="540">
        <f t="shared" si="12"/>
        <v>7.9578522282834629E-2</v>
      </c>
      <c r="G83" s="540">
        <f t="shared" si="12"/>
        <v>0.1152911170445941</v>
      </c>
      <c r="H83" s="540" t="e">
        <f t="shared" si="12"/>
        <v>#DIV/0!</v>
      </c>
      <c r="I83" s="540">
        <f t="shared" si="12"/>
        <v>7.8007699167993135E-3</v>
      </c>
      <c r="J83" s="540">
        <f t="shared" si="12"/>
        <v>7.2651606848998351E-2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5" activePane="bottomLeft" state="frozen"/>
      <selection activeCell="A47" sqref="A47"/>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611518</v>
      </c>
      <c r="D5" s="481">
        <v>160160</v>
      </c>
      <c r="E5" s="466"/>
      <c r="F5" s="548">
        <v>34944</v>
      </c>
      <c r="G5" s="466">
        <v>7355</v>
      </c>
      <c r="H5" s="466"/>
      <c r="I5" s="466">
        <v>14560</v>
      </c>
      <c r="J5" s="467">
        <v>120657</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5824</v>
      </c>
      <c r="D7" s="466"/>
      <c r="E7" s="468"/>
      <c r="F7" s="467"/>
      <c r="G7" s="467"/>
      <c r="H7" s="467"/>
      <c r="I7" s="468"/>
      <c r="J7" s="468"/>
      <c r="K7" s="468"/>
    </row>
    <row r="8" spans="1:12" x14ac:dyDescent="0.2">
      <c r="A8" s="463" t="s">
        <v>433</v>
      </c>
      <c r="B8" s="470">
        <v>1150</v>
      </c>
      <c r="C8" s="475"/>
      <c r="D8" s="475"/>
      <c r="E8" s="477"/>
      <c r="F8" s="477"/>
      <c r="G8" s="481">
        <v>24163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617342</v>
      </c>
      <c r="D12" s="1728">
        <f t="shared" si="0"/>
        <v>160160</v>
      </c>
      <c r="E12" s="1728">
        <f t="shared" si="0"/>
        <v>0</v>
      </c>
      <c r="F12" s="1728">
        <f t="shared" si="0"/>
        <v>34944</v>
      </c>
      <c r="G12" s="1728">
        <f t="shared" si="0"/>
        <v>31518</v>
      </c>
      <c r="H12" s="1728">
        <f t="shared" si="0"/>
        <v>0</v>
      </c>
      <c r="I12" s="1728">
        <f t="shared" si="0"/>
        <v>14560</v>
      </c>
      <c r="J12" s="1728">
        <f t="shared" si="0"/>
        <v>120657</v>
      </c>
      <c r="K12" s="1709">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29630</v>
      </c>
      <c r="D16" s="466"/>
      <c r="E16" s="466"/>
      <c r="F16" s="466"/>
      <c r="G16" s="466">
        <v>3852</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29630</v>
      </c>
      <c r="D18" s="1731">
        <f t="shared" ref="D18:K18" si="1">SUM(D14:D17)</f>
        <v>0</v>
      </c>
      <c r="E18" s="1731">
        <f t="shared" si="1"/>
        <v>0</v>
      </c>
      <c r="F18" s="1731">
        <f t="shared" si="1"/>
        <v>0</v>
      </c>
      <c r="G18" s="1731">
        <f t="shared" si="1"/>
        <v>3852</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v>162</v>
      </c>
      <c r="E65" s="466"/>
      <c r="F65" s="467">
        <v>75</v>
      </c>
      <c r="G65" s="466">
        <v>68</v>
      </c>
      <c r="H65" s="466"/>
      <c r="I65" s="466">
        <v>131</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0</v>
      </c>
      <c r="D67" s="1709">
        <f t="shared" ref="D67:K67" si="2">SUM(D65:D66)</f>
        <v>162</v>
      </c>
      <c r="E67" s="1709">
        <f t="shared" si="2"/>
        <v>0</v>
      </c>
      <c r="F67" s="1709">
        <f t="shared" si="2"/>
        <v>75</v>
      </c>
      <c r="G67" s="1709">
        <f t="shared" si="2"/>
        <v>68</v>
      </c>
      <c r="H67" s="1709">
        <f t="shared" si="2"/>
        <v>0</v>
      </c>
      <c r="I67" s="1709">
        <f t="shared" si="2"/>
        <v>131</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11841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1019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12860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2241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2128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3179</v>
      </c>
      <c r="D81" s="466"/>
      <c r="E81" s="468"/>
      <c r="F81" s="468"/>
      <c r="G81" s="468"/>
      <c r="H81" s="468"/>
      <c r="I81" s="468"/>
      <c r="J81" s="468"/>
      <c r="K81" s="468"/>
    </row>
    <row r="82" spans="1:11" ht="12.75" customHeight="1" thickBot="1" x14ac:dyDescent="0.25">
      <c r="A82" s="1729" t="s">
        <v>259</v>
      </c>
      <c r="B82" s="1730"/>
      <c r="C82" s="1728">
        <f>SUM(C77:C81)</f>
        <v>7548</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2672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v>525</v>
      </c>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3197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420</v>
      </c>
      <c r="E95" s="521"/>
      <c r="F95" s="521"/>
      <c r="G95" s="521"/>
      <c r="H95" s="521"/>
      <c r="I95" s="521"/>
      <c r="J95" s="521"/>
      <c r="K95" s="521"/>
    </row>
    <row r="96" spans="1:11" ht="12.75" customHeight="1" x14ac:dyDescent="0.2">
      <c r="A96" s="463" t="s">
        <v>409</v>
      </c>
      <c r="B96" s="470">
        <v>1920</v>
      </c>
      <c r="C96" s="551">
        <v>400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3881</v>
      </c>
      <c r="D99" s="466">
        <v>6660</v>
      </c>
      <c r="E99" s="466"/>
      <c r="F99" s="466"/>
      <c r="G99" s="466"/>
      <c r="H99" s="466"/>
      <c r="I99" s="468"/>
      <c r="J99" s="467">
        <v>4639</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3023</v>
      </c>
      <c r="D107" s="466"/>
      <c r="E107" s="466"/>
      <c r="F107" s="466"/>
      <c r="G107" s="466"/>
      <c r="H107" s="466"/>
      <c r="I107" s="466"/>
      <c r="J107" s="467"/>
      <c r="K107" s="466"/>
    </row>
    <row r="108" spans="1:12" ht="12.75" customHeight="1" thickBot="1" x14ac:dyDescent="0.25">
      <c r="A108" s="1729" t="s">
        <v>508</v>
      </c>
      <c r="B108" s="1733"/>
      <c r="C108" s="1728">
        <f>SUM(C95:C107)</f>
        <v>7304</v>
      </c>
      <c r="D108" s="1728">
        <f t="shared" ref="D108:K108" si="3">SUM(D95:D107)</f>
        <v>7080</v>
      </c>
      <c r="E108" s="1728">
        <f t="shared" si="3"/>
        <v>0</v>
      </c>
      <c r="F108" s="1728">
        <f t="shared" si="3"/>
        <v>0</v>
      </c>
      <c r="G108" s="1728">
        <f t="shared" si="3"/>
        <v>0</v>
      </c>
      <c r="H108" s="1728">
        <f t="shared" si="3"/>
        <v>0</v>
      </c>
      <c r="I108" s="1728">
        <f t="shared" si="3"/>
        <v>0</v>
      </c>
      <c r="J108" s="1728">
        <f t="shared" si="3"/>
        <v>4639</v>
      </c>
      <c r="K108" s="1709">
        <f t="shared" si="3"/>
        <v>0</v>
      </c>
    </row>
    <row r="109" spans="1:12" ht="14.25" thickTop="1" thickBot="1" x14ac:dyDescent="0.25">
      <c r="A109" s="1734" t="s">
        <v>266</v>
      </c>
      <c r="B109" s="1735" t="s">
        <v>591</v>
      </c>
      <c r="C109" s="1736">
        <f t="shared" ref="C109:K109" si="4">SUM(C12,C18,C40,C63,C67,C75,C82,C93,C108,)</f>
        <v>677881</v>
      </c>
      <c r="D109" s="1736">
        <f t="shared" si="4"/>
        <v>167402</v>
      </c>
      <c r="E109" s="1736">
        <f t="shared" si="4"/>
        <v>0</v>
      </c>
      <c r="F109" s="1736">
        <f t="shared" si="4"/>
        <v>35019</v>
      </c>
      <c r="G109" s="1736">
        <f t="shared" si="4"/>
        <v>35438</v>
      </c>
      <c r="H109" s="1736">
        <f t="shared" si="4"/>
        <v>0</v>
      </c>
      <c r="I109" s="1736">
        <f t="shared" si="4"/>
        <v>14691</v>
      </c>
      <c r="J109" s="1736">
        <f t="shared" si="4"/>
        <v>125296</v>
      </c>
      <c r="K109" s="1723">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96629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96629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12472</v>
      </c>
      <c r="D124" s="561"/>
      <c r="E124" s="468"/>
      <c r="F124" s="548"/>
      <c r="G124" s="468"/>
      <c r="H124" s="468"/>
      <c r="I124" s="468"/>
      <c r="J124" s="468"/>
      <c r="K124" s="468"/>
    </row>
    <row r="125" spans="1:11" ht="12.75" customHeight="1" x14ac:dyDescent="0.2">
      <c r="A125" s="463" t="s">
        <v>1521</v>
      </c>
      <c r="B125" s="562">
        <v>3105</v>
      </c>
      <c r="C125" s="466">
        <v>5834</v>
      </c>
      <c r="D125" s="561"/>
      <c r="E125" s="468"/>
      <c r="F125" s="466"/>
      <c r="G125" s="468"/>
      <c r="H125" s="468"/>
      <c r="I125" s="468"/>
      <c r="J125" s="468"/>
      <c r="K125" s="468"/>
    </row>
    <row r="126" spans="1:11" ht="12.75" customHeight="1" x14ac:dyDescent="0.2">
      <c r="A126" s="463" t="s">
        <v>922</v>
      </c>
      <c r="B126" s="562">
        <v>3110</v>
      </c>
      <c r="C126" s="551">
        <v>5040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23346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224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29444</v>
      </c>
      <c r="G151" s="467"/>
      <c r="H151" s="468"/>
      <c r="I151" s="468"/>
      <c r="J151" s="468"/>
      <c r="K151" s="468"/>
    </row>
    <row r="152" spans="1:11" ht="12.75" customHeight="1" x14ac:dyDescent="0.2">
      <c r="A152" s="463" t="s">
        <v>1117</v>
      </c>
      <c r="B152" s="562">
        <v>3510</v>
      </c>
      <c r="C152" s="551"/>
      <c r="D152" s="466"/>
      <c r="E152" s="561"/>
      <c r="F152" s="466">
        <v>41172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70616</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4000</v>
      </c>
      <c r="D171" s="580"/>
      <c r="E171" s="580"/>
      <c r="F171" s="580"/>
      <c r="G171" s="581"/>
      <c r="H171" s="582"/>
      <c r="I171" s="581"/>
      <c r="J171" s="581"/>
      <c r="K171" s="582"/>
    </row>
    <row r="172" spans="1:11" ht="12.75" customHeight="1" thickTop="1" thickBot="1" x14ac:dyDescent="0.25">
      <c r="A172" s="2162" t="s">
        <v>418</v>
      </c>
      <c r="B172" s="2163"/>
      <c r="C172" s="1743">
        <f t="shared" ref="C172:K172" si="6">SUM(C131,C140,C144,C145:C149,C154,C155:C170,C171)</f>
        <v>27570</v>
      </c>
      <c r="D172" s="1743">
        <f t="shared" si="6"/>
        <v>0</v>
      </c>
      <c r="E172" s="1743">
        <f t="shared" si="6"/>
        <v>0</v>
      </c>
      <c r="F172" s="1743">
        <f t="shared" si="6"/>
        <v>70616</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124199</v>
      </c>
      <c r="D173" s="1736">
        <f>SUM(D121,D172)</f>
        <v>0</v>
      </c>
      <c r="E173" s="1736">
        <f>SUM(E121,E172)</f>
        <v>0</v>
      </c>
      <c r="F173" s="1736">
        <f t="shared" ref="F173:K173" si="7">SUM(F121,F172)</f>
        <v>70616</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16943</v>
      </c>
      <c r="D177" s="466"/>
      <c r="E177" s="467"/>
      <c r="F177" s="466"/>
      <c r="G177" s="466"/>
      <c r="H177" s="467"/>
      <c r="I177" s="467"/>
      <c r="J177" s="467"/>
      <c r="K177" s="467"/>
    </row>
    <row r="178" spans="1:11" ht="13.5" thickBot="1" x14ac:dyDescent="0.25">
      <c r="A178" s="2168" t="s">
        <v>1764</v>
      </c>
      <c r="B178" s="2169"/>
      <c r="C178" s="1728">
        <f>SUM(C176:C177)</f>
        <v>16943</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18248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18248</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17196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17196</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10000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5949</v>
      </c>
      <c r="D220" s="466"/>
      <c r="E220" s="468"/>
      <c r="F220" s="466"/>
      <c r="G220" s="466"/>
      <c r="H220" s="468"/>
      <c r="I220" s="468"/>
      <c r="J220" s="468"/>
      <c r="K220" s="468"/>
    </row>
    <row r="221" spans="1:11" ht="12.75" customHeight="1" x14ac:dyDescent="0.2">
      <c r="A221" s="463" t="s">
        <v>1114</v>
      </c>
      <c r="B221" s="470">
        <v>4625</v>
      </c>
      <c r="C221" s="551">
        <v>31258</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37207</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3142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13496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99289</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116232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918312</v>
      </c>
      <c r="D275" s="1736">
        <f t="shared" si="12"/>
        <v>167402</v>
      </c>
      <c r="E275" s="1736">
        <f t="shared" si="12"/>
        <v>0</v>
      </c>
      <c r="F275" s="1736">
        <f t="shared" si="12"/>
        <v>105635</v>
      </c>
      <c r="G275" s="1736">
        <f t="shared" si="12"/>
        <v>35438</v>
      </c>
      <c r="H275" s="1736">
        <f t="shared" si="12"/>
        <v>0</v>
      </c>
      <c r="I275" s="1736">
        <f t="shared" si="12"/>
        <v>14691</v>
      </c>
      <c r="J275" s="1736">
        <f t="shared" si="12"/>
        <v>125296</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3" activePane="bottomLeft" state="frozen"/>
      <selection activeCell="A47" sqref="A47"/>
      <selection pane="bottomLeft" activeCell="K115" sqref="K1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350541</v>
      </c>
      <c r="D5" s="466">
        <v>90951</v>
      </c>
      <c r="E5" s="466">
        <v>4820</v>
      </c>
      <c r="F5" s="466">
        <v>17527</v>
      </c>
      <c r="G5" s="466"/>
      <c r="H5" s="466">
        <v>4403</v>
      </c>
      <c r="I5" s="467"/>
      <c r="J5" s="467"/>
      <c r="K5" s="1692">
        <f>SUM(C5:J5)</f>
        <v>468242</v>
      </c>
      <c r="L5" s="466">
        <v>521500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29133</v>
      </c>
      <c r="D8" s="466"/>
      <c r="E8" s="466"/>
      <c r="F8" s="466"/>
      <c r="G8" s="466"/>
      <c r="H8" s="466"/>
      <c r="I8" s="467"/>
      <c r="J8" s="467"/>
      <c r="K8" s="1692">
        <f t="shared" si="0"/>
        <v>29133</v>
      </c>
      <c r="L8" s="466">
        <v>29182</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c r="D10" s="466"/>
      <c r="E10" s="466"/>
      <c r="F10" s="466"/>
      <c r="G10" s="466"/>
      <c r="H10" s="466"/>
      <c r="I10" s="467"/>
      <c r="J10" s="467"/>
      <c r="K10" s="1692">
        <f t="shared" si="0"/>
        <v>0</v>
      </c>
      <c r="L10" s="466"/>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5101</v>
      </c>
      <c r="D14" s="466">
        <v>482</v>
      </c>
      <c r="E14" s="466">
        <v>900</v>
      </c>
      <c r="F14" s="466">
        <v>763</v>
      </c>
      <c r="G14" s="466"/>
      <c r="H14" s="466">
        <v>494</v>
      </c>
      <c r="I14" s="467"/>
      <c r="J14" s="467"/>
      <c r="K14" s="1692">
        <f t="shared" si="0"/>
        <v>7740</v>
      </c>
      <c r="L14" s="466">
        <v>8800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384775</v>
      </c>
      <c r="D33" s="1691">
        <f t="shared" ref="D33:L33" si="1">SUM(D5:D32)</f>
        <v>91433</v>
      </c>
      <c r="E33" s="1691">
        <f t="shared" si="1"/>
        <v>5720</v>
      </c>
      <c r="F33" s="1691">
        <f t="shared" si="1"/>
        <v>18290</v>
      </c>
      <c r="G33" s="1691">
        <f t="shared" si="1"/>
        <v>0</v>
      </c>
      <c r="H33" s="1691">
        <f t="shared" si="1"/>
        <v>4897</v>
      </c>
      <c r="I33" s="1691">
        <f t="shared" si="1"/>
        <v>0</v>
      </c>
      <c r="J33" s="1691">
        <f t="shared" si="1"/>
        <v>0</v>
      </c>
      <c r="K33" s="1691">
        <f t="shared" si="1"/>
        <v>505115</v>
      </c>
      <c r="L33" s="1691">
        <f t="shared" si="1"/>
        <v>559482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c r="D38" s="466"/>
      <c r="E38" s="466">
        <v>510</v>
      </c>
      <c r="F38" s="466"/>
      <c r="G38" s="466"/>
      <c r="H38" s="466"/>
      <c r="I38" s="467"/>
      <c r="J38" s="467"/>
      <c r="K38" s="1692">
        <f t="shared" si="2"/>
        <v>510</v>
      </c>
      <c r="L38" s="466">
        <v>800</v>
      </c>
    </row>
    <row r="39" spans="1:14" x14ac:dyDescent="0.2">
      <c r="A39" s="1526" t="s">
        <v>208</v>
      </c>
      <c r="B39" s="615">
        <v>2140</v>
      </c>
      <c r="C39" s="466"/>
      <c r="D39" s="466"/>
      <c r="E39" s="466"/>
      <c r="F39" s="466"/>
      <c r="G39" s="466"/>
      <c r="H39" s="466"/>
      <c r="I39" s="467"/>
      <c r="J39" s="467"/>
      <c r="K39" s="1692">
        <f t="shared" si="2"/>
        <v>0</v>
      </c>
      <c r="L39" s="466">
        <v>33472</v>
      </c>
    </row>
    <row r="40" spans="1:14" x14ac:dyDescent="0.2">
      <c r="A40" s="1526" t="s">
        <v>209</v>
      </c>
      <c r="B40" s="615">
        <v>2150</v>
      </c>
      <c r="C40" s="466"/>
      <c r="D40" s="466"/>
      <c r="E40" s="466">
        <v>13709</v>
      </c>
      <c r="F40" s="466"/>
      <c r="G40" s="466"/>
      <c r="H40" s="466"/>
      <c r="I40" s="467"/>
      <c r="J40" s="467"/>
      <c r="K40" s="1692">
        <f t="shared" si="2"/>
        <v>13709</v>
      </c>
      <c r="L40" s="466">
        <v>15666</v>
      </c>
    </row>
    <row r="41" spans="1:14" x14ac:dyDescent="0.2">
      <c r="A41" s="1526" t="s">
        <v>1768</v>
      </c>
      <c r="B41" s="615">
        <v>2190</v>
      </c>
      <c r="C41" s="466">
        <v>8843</v>
      </c>
      <c r="D41" s="466"/>
      <c r="E41" s="466"/>
      <c r="F41" s="466"/>
      <c r="G41" s="466"/>
      <c r="H41" s="466"/>
      <c r="I41" s="467"/>
      <c r="J41" s="467"/>
      <c r="K41" s="1692">
        <f t="shared" si="2"/>
        <v>8843</v>
      </c>
      <c r="L41" s="466">
        <v>8700</v>
      </c>
    </row>
    <row r="42" spans="1:14" ht="12.75" customHeight="1" thickBot="1" x14ac:dyDescent="0.25">
      <c r="A42" s="1689" t="s">
        <v>581</v>
      </c>
      <c r="B42" s="1690" t="s">
        <v>740</v>
      </c>
      <c r="C42" s="1691">
        <f>SUM(C36:C41)</f>
        <v>8843</v>
      </c>
      <c r="D42" s="1691">
        <f t="shared" ref="D42:L42" si="3">SUM(D36:D41)</f>
        <v>0</v>
      </c>
      <c r="E42" s="1691">
        <f t="shared" si="3"/>
        <v>14219</v>
      </c>
      <c r="F42" s="1691">
        <f t="shared" si="3"/>
        <v>0</v>
      </c>
      <c r="G42" s="1691">
        <f t="shared" si="3"/>
        <v>0</v>
      </c>
      <c r="H42" s="1691">
        <f t="shared" si="3"/>
        <v>0</v>
      </c>
      <c r="I42" s="1691">
        <f t="shared" si="3"/>
        <v>0</v>
      </c>
      <c r="J42" s="1691">
        <f t="shared" si="3"/>
        <v>0</v>
      </c>
      <c r="K42" s="1691">
        <f t="shared" si="3"/>
        <v>23062</v>
      </c>
      <c r="L42" s="1691">
        <f t="shared" si="3"/>
        <v>58638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3">
        <f>SUM(C44:J44)</f>
        <v>0</v>
      </c>
      <c r="L44" s="481"/>
    </row>
    <row r="45" spans="1:14" x14ac:dyDescent="0.2">
      <c r="A45" s="1526" t="s">
        <v>869</v>
      </c>
      <c r="B45" s="615">
        <v>2220</v>
      </c>
      <c r="C45" s="466"/>
      <c r="D45" s="466"/>
      <c r="E45" s="466"/>
      <c r="F45" s="466">
        <v>2297</v>
      </c>
      <c r="G45" s="466"/>
      <c r="H45" s="466">
        <v>199</v>
      </c>
      <c r="I45" s="467"/>
      <c r="J45" s="467"/>
      <c r="K45" s="1693">
        <f>SUM(C45:J45)</f>
        <v>2496</v>
      </c>
      <c r="L45" s="466">
        <v>975</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0</v>
      </c>
      <c r="D47" s="1691">
        <f t="shared" ref="D47:K47" si="4">SUM(D44:D46)</f>
        <v>0</v>
      </c>
      <c r="E47" s="1691">
        <f t="shared" si="4"/>
        <v>0</v>
      </c>
      <c r="F47" s="1691">
        <f t="shared" si="4"/>
        <v>2297</v>
      </c>
      <c r="G47" s="1691">
        <f t="shared" si="4"/>
        <v>0</v>
      </c>
      <c r="H47" s="1691">
        <f t="shared" si="4"/>
        <v>199</v>
      </c>
      <c r="I47" s="1691">
        <f t="shared" si="4"/>
        <v>0</v>
      </c>
      <c r="J47" s="1691">
        <f t="shared" si="4"/>
        <v>0</v>
      </c>
      <c r="K47" s="1691">
        <f t="shared" si="4"/>
        <v>2496</v>
      </c>
      <c r="L47" s="1691">
        <f>SUM(L44:L46)</f>
        <v>975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4880</v>
      </c>
      <c r="F49" s="481"/>
      <c r="G49" s="481">
        <v>2918</v>
      </c>
      <c r="H49" s="481"/>
      <c r="I49" s="467"/>
      <c r="J49" s="467"/>
      <c r="K49" s="1693">
        <f>SUM(C49:J49)</f>
        <v>7798</v>
      </c>
      <c r="L49" s="481">
        <v>1750</v>
      </c>
    </row>
    <row r="50" spans="1:14" x14ac:dyDescent="0.2">
      <c r="A50" s="1526" t="s">
        <v>872</v>
      </c>
      <c r="B50" s="615">
        <v>2320</v>
      </c>
      <c r="C50" s="466">
        <v>59062</v>
      </c>
      <c r="D50" s="466">
        <v>13983</v>
      </c>
      <c r="E50" s="466">
        <v>707</v>
      </c>
      <c r="F50" s="466">
        <v>1416</v>
      </c>
      <c r="G50" s="466"/>
      <c r="H50" s="466">
        <v>1698</v>
      </c>
      <c r="I50" s="467"/>
      <c r="J50" s="467"/>
      <c r="K50" s="1693">
        <f>SUM(C50:J50)</f>
        <v>76866</v>
      </c>
      <c r="L50" s="466">
        <v>92853</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59062</v>
      </c>
      <c r="D53" s="1691">
        <f t="shared" ref="D53:L53" si="5">SUM(D49:D52)</f>
        <v>13983</v>
      </c>
      <c r="E53" s="1691">
        <f t="shared" si="5"/>
        <v>5587</v>
      </c>
      <c r="F53" s="1691">
        <f t="shared" si="5"/>
        <v>1416</v>
      </c>
      <c r="G53" s="1691">
        <f t="shared" si="5"/>
        <v>2918</v>
      </c>
      <c r="H53" s="1691">
        <f t="shared" si="5"/>
        <v>1698</v>
      </c>
      <c r="I53" s="1691">
        <f t="shared" si="5"/>
        <v>0</v>
      </c>
      <c r="J53" s="1691">
        <f t="shared" si="5"/>
        <v>0</v>
      </c>
      <c r="K53" s="1691">
        <f t="shared" si="5"/>
        <v>84664</v>
      </c>
      <c r="L53" s="1691">
        <f t="shared" si="5"/>
        <v>94603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3">
        <f>SUM(C55:J55)</f>
        <v>0</v>
      </c>
      <c r="L55" s="481"/>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36018</v>
      </c>
      <c r="D60" s="466">
        <v>7564</v>
      </c>
      <c r="E60" s="466"/>
      <c r="F60" s="466">
        <v>448</v>
      </c>
      <c r="G60" s="466"/>
      <c r="H60" s="466">
        <v>2072</v>
      </c>
      <c r="I60" s="467"/>
      <c r="J60" s="467"/>
      <c r="K60" s="1693">
        <f t="shared" si="7"/>
        <v>46102</v>
      </c>
      <c r="L60" s="466">
        <v>54200</v>
      </c>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20354</v>
      </c>
      <c r="D63" s="466"/>
      <c r="E63" s="466">
        <v>1122</v>
      </c>
      <c r="F63" s="466">
        <v>11679</v>
      </c>
      <c r="G63" s="466"/>
      <c r="H63" s="466">
        <v>413</v>
      </c>
      <c r="I63" s="467"/>
      <c r="J63" s="467"/>
      <c r="K63" s="1693">
        <f t="shared" si="7"/>
        <v>33568</v>
      </c>
      <c r="L63" s="466">
        <v>37325</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56372</v>
      </c>
      <c r="D65" s="1691">
        <f t="shared" ref="D65:L65" si="8">SUM(D59:D64)</f>
        <v>7564</v>
      </c>
      <c r="E65" s="1691">
        <f t="shared" si="8"/>
        <v>1122</v>
      </c>
      <c r="F65" s="1691">
        <f t="shared" si="8"/>
        <v>12127</v>
      </c>
      <c r="G65" s="1691">
        <f t="shared" si="8"/>
        <v>0</v>
      </c>
      <c r="H65" s="1691">
        <f t="shared" si="8"/>
        <v>2485</v>
      </c>
      <c r="I65" s="1691">
        <f t="shared" si="8"/>
        <v>0</v>
      </c>
      <c r="J65" s="1691">
        <f t="shared" si="8"/>
        <v>0</v>
      </c>
      <c r="K65" s="1691">
        <f t="shared" si="8"/>
        <v>79670</v>
      </c>
      <c r="L65" s="1691">
        <f t="shared" si="8"/>
        <v>91525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124277</v>
      </c>
      <c r="D74" s="1698">
        <f t="shared" ref="D74:K74" si="10">SUM(D42,D47,D53,D57,D65,D72,D73)</f>
        <v>21547</v>
      </c>
      <c r="E74" s="1698">
        <f t="shared" si="10"/>
        <v>20928</v>
      </c>
      <c r="F74" s="1698">
        <f t="shared" si="10"/>
        <v>15840</v>
      </c>
      <c r="G74" s="1698">
        <f t="shared" si="10"/>
        <v>2918</v>
      </c>
      <c r="H74" s="1698">
        <f t="shared" si="10"/>
        <v>4382</v>
      </c>
      <c r="I74" s="1698">
        <f t="shared" si="10"/>
        <v>0</v>
      </c>
      <c r="J74" s="1698">
        <f t="shared" si="10"/>
        <v>0</v>
      </c>
      <c r="K74" s="1698">
        <f t="shared" si="10"/>
        <v>189892</v>
      </c>
      <c r="L74" s="1698">
        <f>SUM(L42,L47,L53,L57,L65,L72,L73)</f>
        <v>245741</v>
      </c>
    </row>
    <row r="75" spans="1:14" s="259" customFormat="1" ht="15.75" customHeight="1" thickTop="1" thickBot="1" x14ac:dyDescent="0.25">
      <c r="A75" s="1632" t="s">
        <v>49</v>
      </c>
      <c r="B75" s="1633" t="s">
        <v>596</v>
      </c>
      <c r="C75" s="573"/>
      <c r="D75" s="573"/>
      <c r="E75" s="573"/>
      <c r="F75" s="573"/>
      <c r="G75" s="573"/>
      <c r="H75" s="573"/>
      <c r="I75" s="531"/>
      <c r="J75" s="531"/>
      <c r="K75" s="1691">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c r="F79" s="617"/>
      <c r="G79" s="617"/>
      <c r="H79" s="466"/>
      <c r="I79" s="477"/>
      <c r="J79" s="477"/>
      <c r="K79" s="1692">
        <f t="shared" si="11"/>
        <v>0</v>
      </c>
      <c r="L79" s="466"/>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77489</v>
      </c>
      <c r="I86" s="477"/>
      <c r="J86" s="477"/>
      <c r="K86" s="1698">
        <f t="shared" ref="K86:K98" si="12">H86</f>
        <v>77489</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77489</v>
      </c>
      <c r="I92" s="477"/>
      <c r="J92" s="477"/>
      <c r="K92" s="1698">
        <f t="shared" si="12"/>
        <v>77489</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77489</v>
      </c>
      <c r="I102" s="477"/>
      <c r="J102" s="477"/>
      <c r="K102" s="1698">
        <f>SUM(K84,K92,K100,K101)</f>
        <v>77489</v>
      </c>
      <c r="L102" s="1698">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509052</v>
      </c>
      <c r="D114" s="1691">
        <f t="shared" ref="D114:K114" si="13">SUM(D33,D74,D75,D102,D112,D113)</f>
        <v>112980</v>
      </c>
      <c r="E114" s="1691">
        <f t="shared" si="13"/>
        <v>26648</v>
      </c>
      <c r="F114" s="1691">
        <f t="shared" si="13"/>
        <v>34130</v>
      </c>
      <c r="G114" s="1691">
        <f t="shared" si="13"/>
        <v>2918</v>
      </c>
      <c r="H114" s="1691">
        <f>SUM(H33,H74,H75,H102,H112,H113)</f>
        <v>86768</v>
      </c>
      <c r="I114" s="1691">
        <f t="shared" si="13"/>
        <v>0</v>
      </c>
      <c r="J114" s="1691">
        <f t="shared" si="13"/>
        <v>0</v>
      </c>
      <c r="K114" s="1691">
        <f t="shared" si="13"/>
        <v>772496</v>
      </c>
      <c r="L114" s="1691">
        <f>SUM(L33,L74,L75,L102,L112,L113)</f>
        <v>805223</v>
      </c>
    </row>
    <row r="115" spans="1:14" ht="13.5" thickTop="1" x14ac:dyDescent="0.2">
      <c r="A115" s="2199" t="s">
        <v>1053</v>
      </c>
      <c r="B115" s="2200"/>
      <c r="C115" s="619"/>
      <c r="D115" s="619"/>
      <c r="E115" s="619"/>
      <c r="F115" s="619"/>
      <c r="G115" s="619"/>
      <c r="H115" s="619"/>
      <c r="I115" s="619"/>
      <c r="J115" s="619"/>
      <c r="K115" s="1705">
        <f>'Revenues 9-14'!C275-'Expenditures 15-22'!K114</f>
        <v>145816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13075</v>
      </c>
      <c r="D124" s="466">
        <v>1509</v>
      </c>
      <c r="E124" s="466">
        <v>47816</v>
      </c>
      <c r="F124" s="466">
        <v>32783</v>
      </c>
      <c r="G124" s="466">
        <v>6400</v>
      </c>
      <c r="H124" s="466"/>
      <c r="I124" s="467"/>
      <c r="J124" s="467"/>
      <c r="K124" s="1691">
        <f>SUM(C124:J124)</f>
        <v>101583</v>
      </c>
      <c r="L124" s="466">
        <v>95630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13075</v>
      </c>
      <c r="D127" s="1691">
        <f t="shared" ref="D127:L127" si="14">SUM(D122:D126)</f>
        <v>1509</v>
      </c>
      <c r="E127" s="1691">
        <f t="shared" si="14"/>
        <v>47816</v>
      </c>
      <c r="F127" s="1691">
        <f t="shared" si="14"/>
        <v>32783</v>
      </c>
      <c r="G127" s="1691">
        <f t="shared" si="14"/>
        <v>6400</v>
      </c>
      <c r="H127" s="1691">
        <f t="shared" si="14"/>
        <v>0</v>
      </c>
      <c r="I127" s="1691">
        <f t="shared" si="14"/>
        <v>0</v>
      </c>
      <c r="J127" s="1691">
        <f t="shared" si="14"/>
        <v>0</v>
      </c>
      <c r="K127" s="1691">
        <f t="shared" si="14"/>
        <v>101583</v>
      </c>
      <c r="L127" s="1691">
        <f t="shared" si="14"/>
        <v>95630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13075</v>
      </c>
      <c r="D129" s="1698">
        <f t="shared" ref="D129:L129" si="15">SUM(D120,D127,D128)</f>
        <v>1509</v>
      </c>
      <c r="E129" s="1698">
        <f t="shared" si="15"/>
        <v>47816</v>
      </c>
      <c r="F129" s="1698">
        <f t="shared" si="15"/>
        <v>32783</v>
      </c>
      <c r="G129" s="1698">
        <f t="shared" si="15"/>
        <v>6400</v>
      </c>
      <c r="H129" s="1698">
        <f t="shared" si="15"/>
        <v>0</v>
      </c>
      <c r="I129" s="1698">
        <f t="shared" si="15"/>
        <v>0</v>
      </c>
      <c r="J129" s="1698">
        <f t="shared" si="15"/>
        <v>0</v>
      </c>
      <c r="K129" s="1698">
        <f t="shared" si="15"/>
        <v>101583</v>
      </c>
      <c r="L129" s="1698">
        <f t="shared" si="15"/>
        <v>95630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1">
        <f>SUM(C129,C130,C139,C149,C150)</f>
        <v>13075</v>
      </c>
      <c r="D151" s="1691">
        <f t="shared" ref="D151:K151" si="16">SUM(D129,D130,D139,D149,D150)</f>
        <v>1509</v>
      </c>
      <c r="E151" s="1691">
        <f t="shared" si="16"/>
        <v>47816</v>
      </c>
      <c r="F151" s="1691">
        <f t="shared" si="16"/>
        <v>32783</v>
      </c>
      <c r="G151" s="1691">
        <f t="shared" si="16"/>
        <v>6400</v>
      </c>
      <c r="H151" s="1691">
        <f t="shared" si="16"/>
        <v>0</v>
      </c>
      <c r="I151" s="1691">
        <f t="shared" si="16"/>
        <v>0</v>
      </c>
      <c r="J151" s="1691">
        <f t="shared" si="16"/>
        <v>0</v>
      </c>
      <c r="K151" s="1691">
        <f t="shared" si="16"/>
        <v>101583</v>
      </c>
      <c r="L151" s="1691">
        <f>SUM(L129,L130,L139,L149,L150)</f>
        <v>95630</v>
      </c>
    </row>
    <row r="152" spans="1:14" ht="12.75" customHeight="1" thickTop="1" x14ac:dyDescent="0.2">
      <c r="A152" s="2192" t="s">
        <v>1240</v>
      </c>
      <c r="B152" s="2193"/>
      <c r="C152" s="619"/>
      <c r="D152" s="619"/>
      <c r="E152" s="619"/>
      <c r="F152" s="619"/>
      <c r="G152" s="619"/>
      <c r="H152" s="619"/>
      <c r="I152" s="619"/>
      <c r="J152" s="617"/>
      <c r="K152" s="1705">
        <f>'Revenues 9-14'!D275-'Expenditures 15-22'!K151</f>
        <v>65819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99" t="s">
        <v>1053</v>
      </c>
      <c r="B175" s="2200"/>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31123</v>
      </c>
      <c r="D182" s="466">
        <v>1509</v>
      </c>
      <c r="E182" s="466">
        <v>57513</v>
      </c>
      <c r="F182" s="466">
        <v>5980</v>
      </c>
      <c r="G182" s="466"/>
      <c r="H182" s="466">
        <v>130</v>
      </c>
      <c r="I182" s="467"/>
      <c r="J182" s="467"/>
      <c r="K182" s="1692">
        <f>SUM(C182:J182)</f>
        <v>96255</v>
      </c>
      <c r="L182" s="466">
        <v>92757</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31123</v>
      </c>
      <c r="D184" s="1698">
        <f t="shared" ref="D184:J184" si="17">SUM(D180,D182,D183)</f>
        <v>1509</v>
      </c>
      <c r="E184" s="1698">
        <f t="shared" si="17"/>
        <v>57513</v>
      </c>
      <c r="F184" s="1698">
        <f t="shared" si="17"/>
        <v>5980</v>
      </c>
      <c r="G184" s="1698">
        <f t="shared" si="17"/>
        <v>0</v>
      </c>
      <c r="H184" s="1698">
        <f t="shared" si="17"/>
        <v>130</v>
      </c>
      <c r="I184" s="1698">
        <f t="shared" si="17"/>
        <v>0</v>
      </c>
      <c r="J184" s="1698">
        <f t="shared" si="17"/>
        <v>0</v>
      </c>
      <c r="K184" s="1698">
        <f>SUM(K180,K182,K183)</f>
        <v>96255</v>
      </c>
      <c r="L184" s="1698">
        <f>SUM(L180, L182:L183)</f>
        <v>92757</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31123</v>
      </c>
      <c r="D210" s="1691">
        <f>SUM(D184,D185)</f>
        <v>1509</v>
      </c>
      <c r="E210" s="1691">
        <f>SUM(E184,E185,E196)</f>
        <v>57513</v>
      </c>
      <c r="F210" s="1691">
        <f>SUM(F184,F185)</f>
        <v>5980</v>
      </c>
      <c r="G210" s="1691">
        <f>SUM(G184,G185)</f>
        <v>0</v>
      </c>
      <c r="H210" s="1691">
        <f>SUM(H184,H185,H196,H208,H209)</f>
        <v>130</v>
      </c>
      <c r="I210" s="1691">
        <f>SUM(I184,I185)</f>
        <v>0</v>
      </c>
      <c r="J210" s="1691">
        <f>SUM(J184,J185)</f>
        <v>0</v>
      </c>
      <c r="K210" s="1692">
        <f>SUM(K184,K185,K196,K208,K209)</f>
        <v>96255</v>
      </c>
      <c r="L210" s="1691">
        <f>SUM(L184,L185,L196,L208,L209)</f>
        <v>92757</v>
      </c>
    </row>
    <row r="211" spans="1:14" ht="13.5" thickTop="1" x14ac:dyDescent="0.2">
      <c r="A211" s="2199" t="s">
        <v>1053</v>
      </c>
      <c r="B211" s="2200"/>
      <c r="C211" s="619"/>
      <c r="D211" s="619"/>
      <c r="E211" s="619"/>
      <c r="F211" s="619"/>
      <c r="G211" s="619"/>
      <c r="H211" s="619"/>
      <c r="I211" s="617"/>
      <c r="J211" s="617"/>
      <c r="K211" s="1705">
        <f>'Revenues 9-14'!F275-'Expenditures 15-22'!K210</f>
        <v>9380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9208</v>
      </c>
      <c r="E215" s="617"/>
      <c r="F215" s="617"/>
      <c r="G215" s="617"/>
      <c r="H215" s="617"/>
      <c r="I215" s="617"/>
      <c r="J215" s="617"/>
      <c r="K215" s="1692">
        <f>D215</f>
        <v>9208</v>
      </c>
      <c r="L215" s="466">
        <v>9000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422</v>
      </c>
      <c r="E217" s="617"/>
      <c r="F217" s="617"/>
      <c r="G217" s="617"/>
      <c r="H217" s="617"/>
      <c r="I217" s="617"/>
      <c r="J217" s="617"/>
      <c r="K217" s="1692">
        <f t="shared" si="19"/>
        <v>422</v>
      </c>
      <c r="L217" s="466">
        <v>425</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c r="E219" s="617"/>
      <c r="F219" s="617"/>
      <c r="G219" s="617"/>
      <c r="H219" s="617"/>
      <c r="I219" s="617"/>
      <c r="J219" s="617"/>
      <c r="K219" s="1692">
        <f t="shared" si="19"/>
        <v>0</v>
      </c>
      <c r="L219" s="466"/>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v>147</v>
      </c>
      <c r="E223" s="617"/>
      <c r="F223" s="617"/>
      <c r="G223" s="617"/>
      <c r="H223" s="617"/>
      <c r="I223" s="617"/>
      <c r="J223" s="617"/>
      <c r="K223" s="1692">
        <f t="shared" si="19"/>
        <v>147</v>
      </c>
      <c r="L223" s="466">
        <v>160</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9777</v>
      </c>
      <c r="E229" s="617"/>
      <c r="F229" s="617"/>
      <c r="G229" s="617"/>
      <c r="H229" s="617"/>
      <c r="I229" s="617"/>
      <c r="J229" s="617"/>
      <c r="K229" s="1691">
        <f>SUM(K215:K228)</f>
        <v>9777</v>
      </c>
      <c r="L229" s="1691">
        <f>SUM(L215:L228)</f>
        <v>9585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c r="E234" s="617"/>
      <c r="F234" s="617"/>
      <c r="G234" s="617"/>
      <c r="H234" s="617"/>
      <c r="I234" s="617"/>
      <c r="J234" s="617"/>
      <c r="K234" s="1692">
        <f t="shared" si="20"/>
        <v>0</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v>677</v>
      </c>
      <c r="E237" s="617"/>
      <c r="F237" s="617"/>
      <c r="G237" s="617"/>
      <c r="H237" s="617"/>
      <c r="I237" s="617"/>
      <c r="J237" s="617"/>
      <c r="K237" s="1692">
        <f t="shared" si="20"/>
        <v>677</v>
      </c>
      <c r="L237" s="466">
        <v>675</v>
      </c>
    </row>
    <row r="238" spans="1:12" ht="12.75" customHeight="1" thickBot="1" x14ac:dyDescent="0.25">
      <c r="A238" s="1689" t="s">
        <v>581</v>
      </c>
      <c r="B238" s="1696" t="s">
        <v>740</v>
      </c>
      <c r="C238" s="617"/>
      <c r="D238" s="1691">
        <f>SUM(D232:D237)</f>
        <v>677</v>
      </c>
      <c r="E238" s="617"/>
      <c r="F238" s="617"/>
      <c r="G238" s="617"/>
      <c r="H238" s="617"/>
      <c r="I238" s="617"/>
      <c r="J238" s="617"/>
      <c r="K238" s="1691">
        <f>SUM(K232:K237)</f>
        <v>677</v>
      </c>
      <c r="L238" s="1691">
        <f>SUM(L232:L237)</f>
        <v>675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3">
        <f>D245</f>
        <v>0</v>
      </c>
      <c r="L245" s="481"/>
    </row>
    <row r="246" spans="1:12" x14ac:dyDescent="0.2">
      <c r="A246" s="1526" t="s">
        <v>872</v>
      </c>
      <c r="B246" s="615">
        <v>2320</v>
      </c>
      <c r="C246" s="617"/>
      <c r="D246" s="466">
        <v>1581</v>
      </c>
      <c r="E246" s="617"/>
      <c r="F246" s="617"/>
      <c r="G246" s="617"/>
      <c r="H246" s="617"/>
      <c r="I246" s="617"/>
      <c r="J246" s="617"/>
      <c r="K246" s="1693">
        <f t="shared" ref="K246:K256" si="21">D246</f>
        <v>1581</v>
      </c>
      <c r="L246" s="466">
        <v>1575</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1581</v>
      </c>
      <c r="E257" s="617"/>
      <c r="F257" s="617"/>
      <c r="G257" s="617"/>
      <c r="H257" s="617"/>
      <c r="I257" s="617"/>
      <c r="J257" s="617"/>
      <c r="K257" s="1691">
        <f>SUM(K245:K256)</f>
        <v>1581</v>
      </c>
      <c r="L257" s="1691">
        <f>SUM(L245:L256)</f>
        <v>1575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row>
    <row r="260" spans="1:14" s="598" customFormat="1" x14ac:dyDescent="0.2">
      <c r="A260" s="1544"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v>6722</v>
      </c>
      <c r="E264" s="617"/>
      <c r="F264" s="617"/>
      <c r="G264" s="617"/>
      <c r="H264" s="617"/>
      <c r="I264" s="617"/>
      <c r="J264" s="617"/>
      <c r="K264" s="1693">
        <f t="shared" ref="K264:K269" si="22">D264</f>
        <v>6722</v>
      </c>
      <c r="L264" s="466">
        <v>7500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2441</v>
      </c>
      <c r="E266" s="617"/>
      <c r="F266" s="617"/>
      <c r="G266" s="617"/>
      <c r="H266" s="617"/>
      <c r="I266" s="617"/>
      <c r="J266" s="617"/>
      <c r="K266" s="1693">
        <f t="shared" si="22"/>
        <v>2441</v>
      </c>
      <c r="L266" s="466">
        <v>2850</v>
      </c>
    </row>
    <row r="267" spans="1:14" x14ac:dyDescent="0.2">
      <c r="A267" s="1526" t="s">
        <v>1010</v>
      </c>
      <c r="B267" s="615">
        <v>2550</v>
      </c>
      <c r="C267" s="617"/>
      <c r="D267" s="466">
        <v>5141</v>
      </c>
      <c r="E267" s="617"/>
      <c r="F267" s="617"/>
      <c r="G267" s="617"/>
      <c r="H267" s="617"/>
      <c r="I267" s="617"/>
      <c r="J267" s="617"/>
      <c r="K267" s="1693">
        <f t="shared" si="22"/>
        <v>5141</v>
      </c>
      <c r="L267" s="466">
        <v>6500</v>
      </c>
    </row>
    <row r="268" spans="1:14" x14ac:dyDescent="0.2">
      <c r="A268" s="1526" t="s">
        <v>102</v>
      </c>
      <c r="B268" s="615">
        <v>2560</v>
      </c>
      <c r="C268" s="617"/>
      <c r="D268" s="466">
        <v>3313</v>
      </c>
      <c r="E268" s="617"/>
      <c r="F268" s="617"/>
      <c r="G268" s="617"/>
      <c r="H268" s="617"/>
      <c r="I268" s="617"/>
      <c r="J268" s="617"/>
      <c r="K268" s="1693">
        <f t="shared" si="22"/>
        <v>3313</v>
      </c>
      <c r="L268" s="466">
        <v>3670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17617</v>
      </c>
      <c r="E270" s="617"/>
      <c r="F270" s="617"/>
      <c r="G270" s="617"/>
      <c r="H270" s="617"/>
      <c r="I270" s="617"/>
      <c r="J270" s="617"/>
      <c r="K270" s="1691">
        <f>SUM(K263:K269)</f>
        <v>17617</v>
      </c>
      <c r="L270" s="1691">
        <f>SUM(L263:L269)</f>
        <v>20520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19875</v>
      </c>
      <c r="E279" s="617"/>
      <c r="F279" s="617"/>
      <c r="G279" s="617"/>
      <c r="H279" s="617"/>
      <c r="I279" s="617"/>
      <c r="J279" s="617"/>
      <c r="K279" s="1698">
        <f>SUM(K238,K243,K257,K261,K270,K277,K278)</f>
        <v>19875</v>
      </c>
      <c r="L279" s="1698">
        <f>SUM(L238,L243,L257,L261,L270,L277,L278)</f>
        <v>22770</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1">
        <f>SUM(D229,D279,D280,D285)</f>
        <v>29652</v>
      </c>
      <c r="E295" s="617"/>
      <c r="F295" s="617"/>
      <c r="G295" s="617"/>
      <c r="H295" s="1691">
        <f>H293</f>
        <v>0</v>
      </c>
      <c r="I295" s="617"/>
      <c r="J295" s="617"/>
      <c r="K295" s="1691">
        <f>SUM(K229,K279,K280,K285,K293,K294)</f>
        <v>29652</v>
      </c>
      <c r="L295" s="1691">
        <f>SUM(L229,L279,L280,L285,L293,L294)</f>
        <v>32355</v>
      </c>
    </row>
    <row r="296" spans="1:14" ht="13.5" thickTop="1" x14ac:dyDescent="0.2">
      <c r="A296" s="2199" t="s">
        <v>1053</v>
      </c>
      <c r="B296" s="2200"/>
      <c r="C296" s="617"/>
      <c r="D296" s="619"/>
      <c r="E296" s="617"/>
      <c r="F296" s="617"/>
      <c r="G296" s="617"/>
      <c r="H296" s="688"/>
      <c r="I296" s="617"/>
      <c r="J296" s="617"/>
      <c r="K296" s="1705">
        <f>'Revenues 9-14'!G275-'Expenditures 15-22'!K295</f>
        <v>5786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3" t="s">
        <v>1053</v>
      </c>
      <c r="B313" s="218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6592</v>
      </c>
      <c r="F320" s="467"/>
      <c r="G320" s="467"/>
      <c r="H320" s="467"/>
      <c r="I320" s="467"/>
      <c r="J320" s="467"/>
      <c r="K320" s="1692">
        <f t="shared" ref="K320:K327" si="24">SUM(C320:J320)</f>
        <v>6592</v>
      </c>
      <c r="L320" s="467">
        <v>26751</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11362</v>
      </c>
      <c r="F322" s="467"/>
      <c r="G322" s="467"/>
      <c r="H322" s="467"/>
      <c r="I322" s="467"/>
      <c r="J322" s="467"/>
      <c r="K322" s="1692">
        <f t="shared" si="24"/>
        <v>11362</v>
      </c>
      <c r="L322" s="467">
        <v>18541</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v>102000</v>
      </c>
      <c r="D325" s="467"/>
      <c r="E325" s="467"/>
      <c r="F325" s="467"/>
      <c r="G325" s="467"/>
      <c r="H325" s="467"/>
      <c r="I325" s="467"/>
      <c r="J325" s="467"/>
      <c r="K325" s="1692">
        <f t="shared" si="24"/>
        <v>102000</v>
      </c>
      <c r="L325" s="467">
        <v>64208</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2">
        <f t="shared" si="24"/>
        <v>0</v>
      </c>
      <c r="L327" s="467">
        <v>4500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102000</v>
      </c>
      <c r="D330" s="1691">
        <f t="shared" ref="D330:J330" si="25">SUM(D319:D329)</f>
        <v>0</v>
      </c>
      <c r="E330" s="1691">
        <f t="shared" si="25"/>
        <v>17954</v>
      </c>
      <c r="F330" s="1691">
        <f t="shared" si="25"/>
        <v>0</v>
      </c>
      <c r="G330" s="1691">
        <f t="shared" si="25"/>
        <v>0</v>
      </c>
      <c r="H330" s="1691">
        <f t="shared" si="25"/>
        <v>0</v>
      </c>
      <c r="I330" s="1691">
        <f t="shared" si="25"/>
        <v>0</v>
      </c>
      <c r="J330" s="1691">
        <f t="shared" si="25"/>
        <v>0</v>
      </c>
      <c r="K330" s="1691">
        <f>SUM(K319:K329)</f>
        <v>119954</v>
      </c>
      <c r="L330" s="1691">
        <f>SUM(L319:L329)</f>
        <v>114000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102000</v>
      </c>
      <c r="D342" s="1691">
        <f>SUM(D330)</f>
        <v>0</v>
      </c>
      <c r="E342" s="1691">
        <f>SUM(E330)</f>
        <v>17954</v>
      </c>
      <c r="F342" s="1691">
        <f>SUM(F330)</f>
        <v>0</v>
      </c>
      <c r="G342" s="1691">
        <f>SUM(G330)</f>
        <v>0</v>
      </c>
      <c r="H342" s="1691">
        <f>SUM(H330,H334,H340)</f>
        <v>0</v>
      </c>
      <c r="I342" s="1691">
        <f>SUM(I330)</f>
        <v>0</v>
      </c>
      <c r="J342" s="1691">
        <f>SUM(J330)</f>
        <v>0</v>
      </c>
      <c r="K342" s="1691">
        <f>SUM(K330,K334,K340)</f>
        <v>119954</v>
      </c>
      <c r="L342" s="1698">
        <f>SUM(L330,L340,L341)</f>
        <v>114000</v>
      </c>
    </row>
    <row r="343" spans="1:14" ht="12.75" customHeight="1" thickTop="1" x14ac:dyDescent="0.2">
      <c r="A343" s="2185" t="s">
        <v>1053</v>
      </c>
      <c r="B343" s="2186"/>
      <c r="C343" s="617"/>
      <c r="D343" s="617"/>
      <c r="E343" s="617"/>
      <c r="F343" s="617"/>
      <c r="G343" s="617"/>
      <c r="H343" s="617"/>
      <c r="I343" s="617"/>
      <c r="J343" s="617"/>
      <c r="K343" s="1705">
        <f>'Revenues 9-14'!J275-'Expenditures 15-22'!K342</f>
        <v>5342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99" t="s">
        <v>1053</v>
      </c>
      <c r="B368" s="2200"/>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d21dc803-237d-4c68-8692-8d731fd29118"/>
    <ds:schemaRef ds:uri="http://schemas.openxmlformats.org/package/2006/metadata/core-properties"/>
    <ds:schemaRef ds:uri="http://www.w3.org/XML/1998/namespace"/>
    <ds:schemaRef ds:uri="http://schemas.microsoft.com/office/infopath/2007/PartnerControls"/>
    <ds:schemaRef ds:uri="4d435f69-8686-490b-bd6d-b153bf22ab50"/>
    <ds:schemaRef ds:uri="http://schemas.microsoft.com/office/2006/documentManagement/types"/>
    <ds:schemaRef ds:uri="6ce3111e-7420-4802-b50a-75d4e9a0b980"/>
    <ds:schemaRef ds:uri="http://purl.org/dc/terms/"/>
    <ds:schemaRef ds:uri="http://schemas.microsoft.com/sharepoint/v3"/>
    <ds:schemaRef ds:uri="http://schemas.microsoft.com/office/2006/metadata/properties"/>
    <ds:schemaRef ds:uri="http://purl.org/dc/dcmitype/"/>
    <ds:schemaRef ds:uri="http://purl.org/dc/elements/1.1/"/>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2018-08-08T19:35:09Z</cp:lastPrinted>
  <dcterms:created xsi:type="dcterms:W3CDTF">2003-10-29T19:06:34Z</dcterms:created>
  <dcterms:modified xsi:type="dcterms:W3CDTF">2019-01-14T19:27:00Z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