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Short-Term Long-Term Debt 2 (2" sheetId="183"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11">#REF!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11">#REF!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11">#REF!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11">#REF!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11">#REF!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J49" i="183" l="1"/>
  <c r="H49" i="183"/>
  <c r="G49" i="183"/>
  <c r="F49" i="183"/>
  <c r="E49" i="183"/>
  <c r="C49" i="183"/>
  <c r="I48" i="183"/>
  <c r="I47" i="183"/>
  <c r="I46" i="183"/>
  <c r="I45" i="183"/>
  <c r="I44" i="183"/>
  <c r="I43" i="183"/>
  <c r="I42" i="183"/>
  <c r="I41" i="183"/>
  <c r="I40" i="183"/>
  <c r="I39" i="183"/>
  <c r="I38" i="183"/>
  <c r="I37" i="183"/>
  <c r="I36" i="183"/>
  <c r="I35" i="183"/>
  <c r="I34" i="183"/>
  <c r="I33" i="183"/>
  <c r="I32" i="183"/>
  <c r="I31" i="183"/>
  <c r="F27" i="183"/>
  <c r="F25" i="183"/>
  <c r="F23" i="183"/>
  <c r="E21" i="183"/>
  <c r="D21" i="183"/>
  <c r="C21" i="183"/>
  <c r="F20" i="183"/>
  <c r="F19" i="183"/>
  <c r="F18" i="183"/>
  <c r="F17" i="183"/>
  <c r="F21" i="183" s="1"/>
  <c r="E15" i="183"/>
  <c r="D15" i="183"/>
  <c r="C15" i="183"/>
  <c r="F14" i="183"/>
  <c r="F13" i="183"/>
  <c r="F12" i="183"/>
  <c r="F11" i="183"/>
  <c r="F10" i="183"/>
  <c r="F9" i="183"/>
  <c r="F8" i="183"/>
  <c r="F7" i="183"/>
  <c r="F6" i="183"/>
  <c r="F15" i="183" s="1"/>
  <c r="F4" i="183"/>
  <c r="I49"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F74" i="34" l="1"/>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s="1"/>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s="1"/>
  <c r="B6738" i="106"/>
  <c r="D6738" i="106"/>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56" i="127"/>
  <c r="B57" i="127"/>
  <c r="D26" i="108"/>
  <c r="E26" i="108"/>
  <c r="F26" i="108"/>
  <c r="G26"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D7" i="7"/>
  <c r="B1763" i="106" s="1"/>
  <c r="D1763" i="106" s="1"/>
  <c r="H4" i="4"/>
  <c r="H6" i="4"/>
  <c r="B2656" i="106" s="1"/>
  <c r="D2656" i="106" s="1"/>
  <c r="B2655" i="106"/>
  <c r="D2655" i="106" s="1"/>
  <c r="B1746" i="106"/>
  <c r="D1746" i="106" s="1"/>
  <c r="D17" i="7"/>
  <c r="B4104" i="106" s="1"/>
  <c r="D4104" i="106" s="1"/>
  <c r="D15" i="7"/>
  <c r="B1772" i="106" s="1"/>
  <c r="D1772" i="106" s="1"/>
  <c r="K41" i="3" l="1"/>
  <c r="B3568" i="106" s="1"/>
  <c r="D3568" i="106" s="1"/>
  <c r="L367" i="29"/>
  <c r="L312" i="29"/>
  <c r="L13" i="11"/>
  <c r="B2060" i="106" s="1"/>
  <c r="D2060" i="106" s="1"/>
  <c r="E28" i="108"/>
  <c r="N22" i="3"/>
  <c r="B283" i="106" s="1"/>
  <c r="D283" i="106" s="1"/>
  <c r="D68" i="36"/>
  <c r="D69" i="36"/>
  <c r="F19" i="7"/>
  <c r="B1807" i="106" s="1"/>
  <c r="D1807" i="106" s="1"/>
  <c r="C172" i="5"/>
  <c r="B5214" i="106" s="1"/>
  <c r="D5214" i="106" s="1"/>
  <c r="F106" i="34"/>
  <c r="D4" i="4"/>
  <c r="B2564" i="106" s="1"/>
  <c r="D2564" i="106" s="1"/>
  <c r="G109" i="5"/>
  <c r="C109" i="5"/>
  <c r="B5121" i="106" s="1"/>
  <c r="D5121" i="106" s="1"/>
  <c r="D12" i="7"/>
  <c r="B1769" i="106" s="1"/>
  <c r="D1769" i="106" s="1"/>
  <c r="D11" i="7"/>
  <c r="B1768" i="106" s="1"/>
  <c r="D1768" i="106" s="1"/>
  <c r="D4" i="7"/>
  <c r="B1760" i="106" s="1"/>
  <c r="D1760" i="106" s="1"/>
  <c r="G352" i="29"/>
  <c r="K350" i="29"/>
  <c r="B1410" i="106"/>
  <c r="D1410" i="106" s="1"/>
  <c r="F65" i="34"/>
  <c r="E29" i="108"/>
  <c r="G29" i="108"/>
  <c r="K184" i="29"/>
  <c r="F13" i="4" s="1"/>
  <c r="B2596" i="106" s="1"/>
  <c r="D2596" i="106" s="1"/>
  <c r="B1329" i="106"/>
  <c r="D1329" i="106" s="1"/>
  <c r="F61" i="34"/>
  <c r="F28" i="108"/>
  <c r="F41" i="108" s="1"/>
  <c r="G43" i="108" s="1"/>
  <c r="D27" i="108"/>
  <c r="D41" i="108" s="1"/>
  <c r="E43" i="108" s="1"/>
  <c r="F41" i="34"/>
  <c r="F38" i="34"/>
  <c r="F35"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D52" i="36" l="1"/>
  <c r="L114" i="29"/>
  <c r="B1317" i="106"/>
  <c r="D1317" i="106" s="1"/>
  <c r="L16" i="11"/>
  <c r="B2061" i="106" s="1"/>
  <c r="D2061" i="106" s="1"/>
  <c r="N23" i="3"/>
  <c r="B284" i="106" s="1"/>
  <c r="D284" i="106" s="1"/>
  <c r="C173" i="5"/>
  <c r="B5223" i="106" s="1"/>
  <c r="D5223" i="106" s="1"/>
  <c r="C6" i="4"/>
  <c r="B2553" i="106" s="1"/>
  <c r="D2553" i="106" s="1"/>
  <c r="C4" i="4"/>
  <c r="B2551" i="106" s="1"/>
  <c r="D2551" i="106" s="1"/>
  <c r="B6024" i="106"/>
  <c r="D6024" i="106" s="1"/>
  <c r="G4" i="4"/>
  <c r="B2603" i="106" s="1"/>
  <c r="D2603" i="106" s="1"/>
  <c r="D19" i="7"/>
  <c r="B1775" i="106" s="1"/>
  <c r="D1775" i="106" s="1"/>
  <c r="B3670" i="106"/>
  <c r="D3670" i="106" s="1"/>
  <c r="K352" i="29"/>
  <c r="B3649" i="106"/>
  <c r="D3649" i="106" s="1"/>
  <c r="G367" i="29"/>
  <c r="B3650" i="106" s="1"/>
  <c r="D3650" i="106" s="1"/>
  <c r="K342" i="29"/>
  <c r="F13" i="34" s="1"/>
  <c r="B1381" i="106"/>
  <c r="D138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7224" i="106"/>
  <c r="D7224" i="106" s="1"/>
  <c r="J17" i="4"/>
  <c r="J20" i="4"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<sst xmlns="http://schemas.openxmlformats.org/spreadsheetml/2006/main" count="5160" uniqueCount="2161">
  <si>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</si>
  <si>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</si>
  <si>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</si>
  <si>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</si>
  <si>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</si>
  <si>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</si>
  <si>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</si>
  <si>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</si>
  <si>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</si>
  <si>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</si>
  <si>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</si>
  <si>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</si>
  <si>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</si>
  <si>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</si>
  <si>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</si>
  <si>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</si>
  <si>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</si>
  <si>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</si>
  <si>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</si>
  <si>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</si>
  <si>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</si>
  <si>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</si>
  <si>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</si>
  <si>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</si>
  <si>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</si>
  <si>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</si>
  <si>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</si>
  <si>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</si>
  <si>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</si>
  <si>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</si>
  <si>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</si>
  <si>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</si>
  <si>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</si>
  <si>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</si>
  <si>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</si>
  <si>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</si>
  <si>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</si>
  <si>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</si>
  <si>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</si>
  <si>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</si>
  <si>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</si>
  <si>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</si>
  <si>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</si>
  <si>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</si>
  <si>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</si>
  <si>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</si>
  <si>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</si>
  <si>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</si>
  <si>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</si>
  <si>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</si>
  <si>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</si>
  <si>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</si>
  <si>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</si>
  <si>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</si>
  <si>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</si>
  <si>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</si>
  <si>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</si>
  <si>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</si>
  <si>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</si>
  <si>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</si>
  <si>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</si>
  <si>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</si>
  <si>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</si>
  <si>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</si>
  <si>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</si>
  <si>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</si>
  <si>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</si>
  <si>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</si>
  <si>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</si>
  <si>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</si>
  <si>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</si>
  <si>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</si>
  <si>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</si>
  <si>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</si>
  <si>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</si>
  <si>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</si>
  <si>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</si>
  <si>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</si>
  <si>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</si>
  <si>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</si>
  <si>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</si>
  <si>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</si>
  <si>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</si>
  <si>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</si>
  <si>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</si>
  <si>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</si>
  <si>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</si>
  <si>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</si>
  <si>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</si>
  <si>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</si>
  <si>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</si>
  <si>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</si>
  <si>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</si>
  <si>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</si>
  <si>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</si>
  <si>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</si>
  <si>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</si>
  <si>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</si>
  <si>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</si>
  <si>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</si>
  <si>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</si>
  <si>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</si>
  <si>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</si>
  <si>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</si>
  <si>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</si>
  <si>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</si>
  <si>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</si>
  <si>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</si>
  <si>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</si>
  <si>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</si>
  <si>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</si>
  <si>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</si>
  <si>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</si>
  <si>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</si>
  <si>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</si>
  <si>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</si>
  <si>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</si>
  <si>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</si>
  <si>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</si>
  <si>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</si>
  <si>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</si>
  <si>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</si>
  <si>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</si>
  <si>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</si>
  <si>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</si>
  <si>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</si>
  <si>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</si>
  <si>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</si>
  <si>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</si>
  <si>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</si>
  <si>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</si>
  <si>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</si>
  <si>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</si>
  <si>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</si>
  <si>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</si>
  <si>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</si>
  <si>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</si>
  <si>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</si>
  <si>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</si>
  <si>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</si>
  <si>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</si>
  <si>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</si>
  <si>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</si>
  <si>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</si>
  <si>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</si>
  <si>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</si>
  <si>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</si>
  <si>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</si>
  <si>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</si>
  <si>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</si>
  <si>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</si>
  <si>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</si>
  <si>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</si>
  <si>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</si>
  <si>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</si>
  <si>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</si>
  <si>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</si>
  <si>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</si>
  <si>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</si>
  <si>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</si>
  <si>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</si>
  <si>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</si>
  <si>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</si>
  <si>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</si>
  <si>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</si>
  <si>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</si>
  <si>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</si>
  <si>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</si>
  <si>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</si>
  <si>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</si>
  <si>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</si>
  <si>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</si>
  <si>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</si>
  <si>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</si>
  <si>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</si>
  <si>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</si>
  <si>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</si>
  <si>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</si>
  <si>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</si>
  <si>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</si>
  <si>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</si>
  <si>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</si>
  <si>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</si>
  <si>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</si>
  <si>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</si>
  <si>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</si>
  <si>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</si>
  <si>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</si>
  <si>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</si>
  <si>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</si>
  <si>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</si>
  <si>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</si>
  <si>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</si>
  <si>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</si>
  <si>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</si>
  <si>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</si>
  <si>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</si>
  <si>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</si>
  <si>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</si>
  <si>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</si>
  <si>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</si>
  <si>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</si>
  <si>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</si>
  <si>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</si>
  <si>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</si>
  <si>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</si>
  <si>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</si>
  <si>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</si>
  <si>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</si>
  <si>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</si>
  <si>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</si>
  <si>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</si>
  <si>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</si>
  <si>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</si>
  <si>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</si>
  <si>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</si>
  <si>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</si>
  <si>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</si>
  <si>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</si>
  <si>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</si>
  <si>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</si>
  <si>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</si>
  <si>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</si>
  <si>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</si>
  <si>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</si>
  <si>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</si>
  <si>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</si>
  <si>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</si>
  <si>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</si>
  <si>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</si>
  <si>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</si>
  <si>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</si>
  <si>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</si>
  <si>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</si>
  <si>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</si>
  <si>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</si>
  <si>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</si>
  <si>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</si>
  <si>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</si>
  <si>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</si>
  <si>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</si>
  <si>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</si>
  <si>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</si>
  <si>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</si>
  <si>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</si>
  <si>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</si>
  <si>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</si>
  <si>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</si>
  <si>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</si>
  <si>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</si>
  <si>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</si>
  <si>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</si>
  <si>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</si>
  <si>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</si>
  <si>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</si>
  <si>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</si>
  <si>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</si>
  <si>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</si>
  <si>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</si>
  <si>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</si>
  <si>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</si>
  <si>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</si>
  <si>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</si>
  <si>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</si>
  <si>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</si>
  <si>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</si>
  <si>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</si>
  <si>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</si>
  <si>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</si>
  <si>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</si>
  <si>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</si>
  <si>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</si>
  <si>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</si>
  <si>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</si>
  <si>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</si>
  <si>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</si>
  <si>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</si>
  <si>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</si>
  <si>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</si>
  <si>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</si>
  <si>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</si>
  <si>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</si>
  <si>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</si>
  <si>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</si>
  <si>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</si>
  <si>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</si>
  <si>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</si>
  <si>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</si>
  <si>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</si>
  <si>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</si>
  <si>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</si>
  <si>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</si>
  <si>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</si>
  <si>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</si>
  <si>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</si>
  <si>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</si>
  <si>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</si>
  <si>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</si>
  <si>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</si>
  <si>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</si>
  <si>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</si>
  <si>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</si>
  <si>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</si>
  <si>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</si>
  <si>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</si>
  <si>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</si>
  <si>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</si>
  <si>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</si>
  <si>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</si>
  <si>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</si>
  <si>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</si>
  <si>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</si>
  <si>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</si>
  <si>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</si>
  <si>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</si>
  <si>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</si>
  <si>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</si>
  <si>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</si>
  <si>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</si>
  <si>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</si>
  <si>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</si>
  <si>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</si>
  <si>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</si>
  <si>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</si>
  <si>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</si>
  <si>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</si>
  <si>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</si>
  <si>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</si>
  <si>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</si>
  <si>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</si>
  <si>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</si>
  <si>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</si>
  <si>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</si>
  <si>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</si>
  <si>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</si>
  <si>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</si>
  <si>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</si>
  <si>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</si>
  <si>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</si>
  <si>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</si>
  <si>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</si>
  <si>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</si>
  <si>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</si>
  <si>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</si>
  <si>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</si>
  <si>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</si>
  <si>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</si>
  <si>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</si>
  <si>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</si>
  <si>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</si>
  <si>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</si>
  <si>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</si>
  <si>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</si>
  <si>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</si>
  <si>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</si>
  <si>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</si>
  <si>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</si>
  <si>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</si>
  <si>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</si>
  <si>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</si>
  <si>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</si>
  <si>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</si>
  <si>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</si>
  <si>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</si>
  <si>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</si>
  <si>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</si>
  <si>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</si>
  <si>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</si>
  <si>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</si>
  <si>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</si>
  <si>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</si>
  <si>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</si>
  <si>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</si>
  <si>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</si>
  <si>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</si>
  <si>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</si>
  <si>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</si>
  <si>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</si>
  <si>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</si>
  <si>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</si>
  <si>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</si>
  <si>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</si>
  <si>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</si>
  <si>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</si>
  <si>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</si>
  <si>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</si>
  <si>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</si>
  <si>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</si>
  <si>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</si>
  <si>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</si>
  <si>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</si>
  <si>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</si>
  <si>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</si>
  <si>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</si>
  <si>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</si>
  <si>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</si>
  <si>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</si>
  <si>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</si>
  <si>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</si>
  <si>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</si>
  <si>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</si>
  <si>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</si>
  <si>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</si>
  <si>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</si>
  <si>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</si>
  <si>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</si>
  <si>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</si>
  <si>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</si>
  <si>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</si>
  <si>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</si>
  <si>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</si>
  <si>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</si>
  <si>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</si>
  <si>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</si>
  <si>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</si>
  <si>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</si>
  <si>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</si>
  <si>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</si>
  <si>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</si>
  <si>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</si>
  <si>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</si>
  <si>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</si>
  <si>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</si>
  <si>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</si>
  <si>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</si>
  <si>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</si>
  <si>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</si>
  <si>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</si>
  <si>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</si>
  <si>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</si>
  <si>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</si>
  <si>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</si>
  <si>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</si>
  <si>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</si>
  <si>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</si>
  <si>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</si>
  <si>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</si>
  <si>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</si>
  <si>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</si>
  <si>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</si>
  <si>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</si>
  <si>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</si>
  <si>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</si>
  <si>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</si>
  <si>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</si>
  <si>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</si>
  <si>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</si>
  <si>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</si>
  <si>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</si>
  <si>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</si>
  <si>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</si>
  <si>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</si>
  <si>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</si>
  <si>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</si>
  <si>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</si>
  <si>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</si>
  <si>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</si>
  <si>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</si>
  <si>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</si>
  <si>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</si>
  <si>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</si>
  <si>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</si>
  <si>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</si>
  <si>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</si>
  <si>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</si>
  <si>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</si>
  <si>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</si>
  <si>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</si>
  <si>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</si>
  <si>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</si>
  <si>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</si>
  <si>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</si>
  <si>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</si>
  <si>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</si>
  <si>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</si>
  <si>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</si>
  <si>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</si>
  <si>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</si>
  <si>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</si>
  <si>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</si>
  <si>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</si>
  <si>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</si>
  <si>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</si>
  <si>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</si>
  <si>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</si>
  <si>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</si>
  <si>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</si>
  <si>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</si>
  <si>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</si>
  <si>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</si>
  <si>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</si>
  <si>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</si>
  <si>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</si>
  <si>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</si>
  <si>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</si>
  <si>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</si>
  <si>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</si>
  <si>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</si>
  <si>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</si>
  <si>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</si>
  <si>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</si>
  <si>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</si>
  <si>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</si>
  <si>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</si>
  <si>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</si>
  <si>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</si>
  <si>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</si>
  <si>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</si>
  <si>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</si>
  <si>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</si>
  <si>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</si>
  <si>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</si>
  <si>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</si>
  <si>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</si>
  <si>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</si>
  <si>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</si>
  <si>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</si>
  <si>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</si>
  <si>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</si>
  <si>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</si>
  <si>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</si>
  <si>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</si>
  <si>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</si>
  <si>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</si>
  <si>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</si>
  <si>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</si>
  <si>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</si>
  <si>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</si>
  <si>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</si>
  <si>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</si>
  <si>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</si>
  <si>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</si>
  <si>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</si>
  <si>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</si>
  <si>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</si>
  <si>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</si>
  <si>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</si>
  <si>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</si>
  <si>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</si>
  <si>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</si>
  <si>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</si>
  <si>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</si>
  <si>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</si>
  <si>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</si>
  <si>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</si>
  <si>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</si>
  <si>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</si>
  <si>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</si>
  <si>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</si>
  <si>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</si>
  <si>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</si>
  <si>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</si>
  <si>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</si>
  <si>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</si>
  <si>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</si>
  <si>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</si>
  <si>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</si>
  <si>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</si>
  <si>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</si>
  <si>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</si>
  <si>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</si>
  <si>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</si>
  <si>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</si>
  <si>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</si>
  <si>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</si>
  <si>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</si>
  <si>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</si>
  <si>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</si>
  <si>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</si>
  <si>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</si>
  <si>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</si>
  <si>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</si>
  <si>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</si>
  <si>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</si>
  <si>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</si>
  <si>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</si>
  <si>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</si>
  <si>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</si>
  <si>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</si>
  <si>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</si>
  <si>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</si>
  <si>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</si>
  <si>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</si>
  <si>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</si>
  <si>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</si>
  <si>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</si>
  <si>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</si>
  <si>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</si>
  <si>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</si>
  <si>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</si>
  <si>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</si>
  <si>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</si>
  <si>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</si>
  <si>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</si>
  <si>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</si>
  <si>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</si>
  <si>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</si>
  <si>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</si>
  <si>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</si>
  <si>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</si>
  <si>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</si>
  <si>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</si>
  <si>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</si>
  <si>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</si>
  <si>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</si>
  <si>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</si>
  <si>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</si>
  <si>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</si>
  <si>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</si>
  <si>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</si>
  <si>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</si>
  <si>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</si>
  <si>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</si>
  <si>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</si>
  <si>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</si>
  <si>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</si>
  <si>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</si>
  <si>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</si>
  <si>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</si>
  <si>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</si>
  <si>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</si>
  <si>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</si>
  <si>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</si>
  <si>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</si>
  <si>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</si>
  <si>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</si>
  <si>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</si>
  <si>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</si>
  <si>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</si>
  <si>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</si>
  <si>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</si>
  <si>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</si>
  <si>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</si>
  <si>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</si>
  <si>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</si>
  <si>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</si>
  <si>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</si>
  <si>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</si>
  <si>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</si>
  <si>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</si>
  <si>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</si>
  <si>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</si>
  <si>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</si>
  <si>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</si>
  <si>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</si>
  <si>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</si>
  <si>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</si>
  <si>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</si>
  <si>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</si>
  <si>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</si>
  <si>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</si>
  <si>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</si>
  <si>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</si>
  <si>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</si>
  <si>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</si>
  <si>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</si>
  <si>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</si>
  <si>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</si>
  <si>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</si>
  <si>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</si>
  <si>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</si>
  <si>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</si>
  <si>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</si>
  <si>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</si>
  <si>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</si>
  <si>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</si>
  <si>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</si>
  <si>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</si>
  <si>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</si>
  <si>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</si>
  <si>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</si>
  <si>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</si>
  <si>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</si>
  <si>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</si>
  <si>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</si>
  <si>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</si>
  <si>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</si>
  <si>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</si>
  <si>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</si>
  <si>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</si>
  <si>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</si>
  <si>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</si>
  <si>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</si>
  <si>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</si>
  <si>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</si>
  <si>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</si>
  <si>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</si>
  <si>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</si>
  <si>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</si>
  <si>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</si>
  <si>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</si>
  <si>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</si>
  <si>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</si>
  <si>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</si>
  <si>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</si>
  <si>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</si>
  <si>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</si>
  <si>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</si>
  <si>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</si>
  <si>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</si>
  <si>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</si>
  <si>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</si>
  <si>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</si>
  <si>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</si>
  <si>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</si>
  <si>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</si>
  <si>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</si>
  <si>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</si>
  <si>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</si>
  <si>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</si>
  <si>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</si>
  <si>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</si>
  <si>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</si>
  <si>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</si>
  <si>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</si>
  <si>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</si>
  <si>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</si>
  <si>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</si>
  <si>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</si>
  <si>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</si>
  <si>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</si>
  <si>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</si>
  <si>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</si>
  <si>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</si>
  <si>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</si>
  <si>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</si>
  <si>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</si>
  <si>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</si>
  <si>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</si>
  <si>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</si>
  <si>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</si>
  <si>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</si>
  <si>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</si>
  <si>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</si>
  <si>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</si>
  <si>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</si>
  <si>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</si>
  <si>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</si>
  <si>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</si>
  <si>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</si>
  <si>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</si>
  <si>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</si>
  <si>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</si>
  <si>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</si>
  <si>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</si>
  <si>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</si>
  <si>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</si>
  <si>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</si>
  <si>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</si>
  <si>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</si>
  <si>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</si>
  <si>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</si>
  <si>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</si>
  <si>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</si>
  <si>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</si>
  <si>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</si>
  <si>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</si>
  <si>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</si>
  <si>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</si>
  <si>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</si>
  <si>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</si>
  <si>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</si>
  <si>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</si>
  <si>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</si>
  <si>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</si>
  <si>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</si>
  <si>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</si>
  <si>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</si>
  <si>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</si>
  <si>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</si>
  <si>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</si>
  <si>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</si>
  <si>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</si>
  <si>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</si>
  <si>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</si>
  <si>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</si>
  <si>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</si>
  <si>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</si>
  <si>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</si>
  <si>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</si>
  <si>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</si>
  <si>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</si>
  <si>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</si>
  <si>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</si>
  <si>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</si>
  <si>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</si>
  <si>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</si>
  <si>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</si>
  <si>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</si>
  <si>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</si>
  <si>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</si>
  <si>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</si>
  <si>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</si>
  <si>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</si>
  <si>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</si>
  <si>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</si>
  <si>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</si>
  <si>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</si>
  <si>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</si>
  <si>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</si>
  <si>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</si>
  <si>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</si>
  <si>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</si>
  <si>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</si>
  <si>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</si>
  <si>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</si>
  <si>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</si>
  <si>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</si>
  <si>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</si>
  <si>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</si>
  <si>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</si>
  <si>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</si>
  <si>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</si>
  <si>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</si>
  <si>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</si>
  <si>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</si>
  <si>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</si>
  <si>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</si>
  <si>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</si>
  <si>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</si>
  <si>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</si>
  <si>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</si>
  <si>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</si>
  <si>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</si>
  <si>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</si>
  <si>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</si>
  <si>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</si>
  <si>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</si>
  <si>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</si>
  <si>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</si>
  <si>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</si>
  <si>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</si>
  <si>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</si>
  <si>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</si>
  <si>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</si>
  <si>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</si>
  <si>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</si>
  <si>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</si>
  <si>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</si>
  <si>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</si>
  <si>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</si>
  <si>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</si>
  <si>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</si>
  <si>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</si>
  <si>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</si>
  <si>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</si>
  <si>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</si>
  <si>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</si>
  <si>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</si>
  <si>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</si>
  <si>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</si>
  <si>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</si>
  <si>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</si>
  <si>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</si>
  <si>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</si>
  <si>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</si>
  <si>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</si>
  <si>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</si>
  <si>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</si>
  <si>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</si>
  <si>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</si>
  <si>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</si>
  <si>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</si>
  <si>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</si>
  <si>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</si>
  <si>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</si>
  <si>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</si>
  <si>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</si>
  <si>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</si>
  <si>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</si>
  <si>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</si>
  <si>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</si>
  <si>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</si>
  <si>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</si>
  <si>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</si>
  <si>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</si>
  <si>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</si>
  <si>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</si>
  <si>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</si>
  <si>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</si>
  <si>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</si>
  <si>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</si>
  <si>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</si>
  <si>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</si>
  <si>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</si>
  <si>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</si>
  <si>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</si>
  <si>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</si>
  <si>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</si>
  <si>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</si>
  <si>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</si>
  <si>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</si>
  <si>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</si>
  <si>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</si>
  <si>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</si>
  <si>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</si>
  <si>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</si>
  <si>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</si>
  <si>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</si>
  <si>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</si>
  <si>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</si>
  <si>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</si>
  <si>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</si>
  <si>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</si>
  <si>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</si>
  <si>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</si>
  <si>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</si>
  <si>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</si>
  <si>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</si>
  <si>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</si>
  <si>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</si>
  <si>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</si>
  <si>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</si>
  <si>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</si>
  <si>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</si>
  <si>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</si>
  <si>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</si>
  <si>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</si>
  <si>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</si>
  <si>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</si>
  <si>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</si>
  <si>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</si>
  <si>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</si>
  <si>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</si>
  <si>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</si>
  <si>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</si>
  <si>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</si>
  <si>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</si>
  <si>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</si>
  <si>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</si>
  <si>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</si>
  <si>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</si>
  <si>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</si>
  <si>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</si>
  <si>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</si>
  <si>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</si>
  <si>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</si>
  <si>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</si>
  <si>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</si>
  <si>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</si>
  <si>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</si>
  <si>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</si>
  <si>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</si>
  <si>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</si>
  <si>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</si>
  <si>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</si>
  <si>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</si>
  <si>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</si>
  <si>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</si>
  <si>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</si>
  <si>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</si>
  <si>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</si>
  <si>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</si>
  <si>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</si>
  <si>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</si>
  <si>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</si>
  <si>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</si>
  <si>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</si>
  <si>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</si>
  <si>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</si>
  <si>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</si>
  <si>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</si>
  <si>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</si>
  <si>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</si>
  <si>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</si>
  <si>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</si>
  <si>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</si>
  <si>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</si>
  <si>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</si>
  <si>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</si>
  <si>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</si>
  <si>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</si>
  <si>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</si>
  <si>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</si>
  <si>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</si>
  <si>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</si>
  <si>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</si>
  <si>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</si>
  <si>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</si>
  <si>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</si>
  <si>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</si>
  <si>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</si>
  <si>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</si>
  <si>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</si>
  <si>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</si>
  <si>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</si>
  <si>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</si>
  <si>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</si>
  <si>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</si>
  <si>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</si>
  <si>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</si>
  <si>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</si>
  <si>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</si>
  <si>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</si>
  <si>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</si>
  <si>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</si>
  <si>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</si>
  <si>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</si>
  <si>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</si>
  <si>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</si>
  <si>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</si>
  <si>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</si>
  <si>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</si>
  <si>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</si>
  <si>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</si>
  <si>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</si>
  <si>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</si>
  <si>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</si>
  <si>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</si>
  <si>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</si>
  <si>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</si>
  <si>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</si>
  <si>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</si>
  <si>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</si>
  <si>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</si>
  <si>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</si>
  <si>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</si>
  <si>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</si>
  <si>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</si>
  <si>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</si>
  <si>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</si>
  <si>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</si>
  <si>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</si>
  <si>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</si>
  <si>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</si>
  <si>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</si>
  <si>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</si>
  <si>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</si>
  <si>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</si>
  <si>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</si>
  <si>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</si>
  <si>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</si>
  <si>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</si>
  <si>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</si>
  <si>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</si>
  <si>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</si>
  <si>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</si>
  <si>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</si>
  <si>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</si>
  <si>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</si>
  <si>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</si>
  <si>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</si>
  <si>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</si>
  <si>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</si>
  <si>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</si>
  <si>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</si>
  <si>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</si>
  <si>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</si>
  <si>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</si>
  <si>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</si>
  <si>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</si>
  <si>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</si>
  <si>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</si>
  <si>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</si>
  <si>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</si>
  <si>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</si>
  <si>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</si>
  <si>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</si>
  <si>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</si>
  <si>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</si>
  <si>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</si>
  <si>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</si>
  <si>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</si>
  <si>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</si>
  <si>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</si>
  <si>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</si>
  <si>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</si>
  <si>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</si>
  <si>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</si>
  <si>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</si>
  <si>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</si>
  <si>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</si>
  <si>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</si>
  <si>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</si>
  <si>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</si>
  <si>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</si>
  <si>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</si>
  <si>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</si>
  <si>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</si>
  <si>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</si>
  <si>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</si>
  <si>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</si>
  <si>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</si>
  <si>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</si>
  <si>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</si>
  <si>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</si>
  <si>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</si>
  <si>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</si>
  <si>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</si>
  <si>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</si>
  <si>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</si>
  <si>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</si>
  <si>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</si>
  <si>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</si>
  <si>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</si>
  <si>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</si>
  <si>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</si>
  <si>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</si>
  <si>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</si>
  <si>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</si>
  <si>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</si>
  <si>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</si>
  <si>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</si>
  <si>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</si>
  <si>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</si>
  <si>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</si>
  <si>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</si>
  <si>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</si>
  <si>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</si>
  <si>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</si>
  <si>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</si>
  <si>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</si>
  <si>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</si>
  <si>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</si>
  <si>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</si>
  <si>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</si>
  <si>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</si>
  <si>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</si>
  <si>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</si>
  <si>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</si>
  <si>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</si>
  <si>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</si>
  <si>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</si>
  <si>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</si>
  <si>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</si>
  <si>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</si>
  <si>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</si>
  <si>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</si>
  <si>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</si>
  <si>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</si>
  <si>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</si>
  <si>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</si>
  <si>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</si>
  <si>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</si>
  <si>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</si>
  <si>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</si>
  <si>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</si>
  <si>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</si>
  <si>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</si>
  <si>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</si>
  <si>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</si>
  <si>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</si>
  <si>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</si>
  <si>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</si>
  <si>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</si>
  <si>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</si>
  <si>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</si>
  <si>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</si>
  <si>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</si>
  <si>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</si>
  <si>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</si>
  <si>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</si>
  <si>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</si>
  <si>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</si>
  <si>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</si>
  <si>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</si>
  <si>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</si>
  <si>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</si>
  <si>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</si>
  <si>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</si>
  <si>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</si>
  <si>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</si>
  <si>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</si>
  <si>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</si>
  <si>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</si>
  <si>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</si>
  <si>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</si>
  <si>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</si>
  <si>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</si>
  <si>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</si>
  <si>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</si>
  <si>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</si>
  <si>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</si>
  <si>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</si>
  <si>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</si>
  <si>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</si>
  <si>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</si>
  <si>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</si>
  <si>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</si>
  <si>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</si>
  <si>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</si>
  <si>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</si>
  <si>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</si>
  <si>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</si>
  <si>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</si>
  <si>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</si>
  <si>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</si>
  <si>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</si>
  <si>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</si>
  <si>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</si>
  <si>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</si>
  <si>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</si>
  <si>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</si>
  <si>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</si>
  <si>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</si>
  <si>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</si>
  <si>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</si>
  <si>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</si>
  <si>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</si>
  <si>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</si>
  <si>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</si>
  <si>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</si>
  <si>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</si>
  <si>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</si>
  <si>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</si>
  <si>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</si>
  <si>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</si>
  <si>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</si>
  <si>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</si>
  <si>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</si>
  <si>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</si>
  <si>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</si>
  <si>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</si>
  <si>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</si>
  <si>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</si>
  <si>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</si>
  <si>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</si>
  <si>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</si>
  <si>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</si>
  <si>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</si>
  <si>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</si>
  <si>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</si>
  <si>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</si>
  <si>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</si>
  <si>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</si>
  <si>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</si>
  <si>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</si>
  <si>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</si>
  <si>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</si>
  <si>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</si>
  <si>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</si>
  <si>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</si>
  <si>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</si>
  <si>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</si>
  <si>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</si>
  <si>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</si>
  <si>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</si>
  <si>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</si>
  <si>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</si>
  <si>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</si>
  <si>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</si>
  <si>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</si>
  <si>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</si>
  <si>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</si>
  <si>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</si>
  <si>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</si>
  <si>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</si>
  <si>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</si>
  <si>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</si>
  <si>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</si>
  <si>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</si>
  <si>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</si>
  <si>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</si>
  <si>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</si>
  <si>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</si>
  <si>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</si>
  <si>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</si>
  <si>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</si>
  <si>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</si>
  <si>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</si>
  <si>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</si>
  <si>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</si>
  <si>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</si>
  <si>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</si>
  <si>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</si>
  <si>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</si>
  <si>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</si>
  <si>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</si>
  <si>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</si>
  <si>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</si>
  <si>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</si>
  <si>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</si>
  <si>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</si>
  <si>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</si>
  <si>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</si>
  <si>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</si>
  <si>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</si>
  <si>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</si>
  <si>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</si>
  <si>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</si>
  <si>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</si>
  <si>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</si>
  <si>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</si>
  <si>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</si>
  <si>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</si>
  <si>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</si>
  <si>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</si>
  <si>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</si>
  <si>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</si>
  <si>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</si>
  <si>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</si>
  <si>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</si>
  <si>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</si>
  <si>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</si>
  <si>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</si>
  <si>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</si>
  <si>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</si>
  <si>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</si>
  <si>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</si>
  <si>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</si>
  <si>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</si>
  <si>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</si>
  <si>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</si>
  <si>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</si>
  <si>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</si>
  <si>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</si>
  <si>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</si>
  <si>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</si>
  <si>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</si>
  <si>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</si>
  <si>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</si>
  <si>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</si>
  <si>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</si>
  <si>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</si>
  <si>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</si>
  <si>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</si>
  <si>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</si>
  <si>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</si>
  <si>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</si>
  <si>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</si>
  <si>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</si>
  <si>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</si>
  <si>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</si>
  <si>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</si>
  <si>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</si>
  <si>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</si>
  <si>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</si>
  <si>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</si>
  <si>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</si>
  <si>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</si>
  <si>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</si>
  <si>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</si>
  <si>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</si>
  <si>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</si>
  <si>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</si>
  <si>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</si>
  <si>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</si>
  <si>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</si>
  <si>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</si>
  <si>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</si>
  <si>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</si>
  <si>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</si>
  <si>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</si>
  <si>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</si>
  <si>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</si>
  <si>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</si>
  <si>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</si>
  <si>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</si>
  <si>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</si>
  <si>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</si>
  <si>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</si>
  <si>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</si>
  <si>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</si>
  <si>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</si>
  <si>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</si>
  <si>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</si>
  <si>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</si>
  <si>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</si>
  <si>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</si>
  <si>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</si>
  <si>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</si>
  <si>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</si>
  <si>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</si>
  <si>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</si>
  <si>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</si>
  <si>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</si>
  <si>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</si>
  <si>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</si>
  <si>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</si>
  <si>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</si>
  <si>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</si>
  <si>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</si>
  <si>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</si>
  <si>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</si>
  <si>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</si>
  <si>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</si>
  <si>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</si>
  <si>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</si>
  <si>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</si>
  <si>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</si>
  <si>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</si>
  <si>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</si>
  <si>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</si>
  <si>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</si>
  <si>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</si>
  <si>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</si>
  <si>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</si>
  <si>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</si>
  <si>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</si>
  <si>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</si>
  <si>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</si>
  <si>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</si>
  <si>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</si>
  <si>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</si>
  <si>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</si>
  <si>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</si>
  <si>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</si>
  <si>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</si>
  <si>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</si>
  <si>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</si>
  <si>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</si>
  <si>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</si>
  <si>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</si>
  <si>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</si>
  <si>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</si>
  <si>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</si>
  <si>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</si>
  <si>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</si>
  <si>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</si>
  <si>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</si>
  <si>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</si>
  <si>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</si>
  <si>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</si>
  <si>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</si>
  <si>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</si>
  <si>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</si>
  <si>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</si>
  <si>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</si>
  <si>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</si>
  <si>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</si>
  <si>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</si>
  <si>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</si>
  <si>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</si>
  <si>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</si>
  <si>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</si>
  <si>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</si>
  <si>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</si>
  <si>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</si>
  <si>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</si>
  <si>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</si>
  <si>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</si>
  <si>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</si>
  <si>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</si>
  <si>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</si>
  <si>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</si>
  <si>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</si>
  <si>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</si>
  <si>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</si>
  <si>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</si>
  <si>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</si>
  <si>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</si>
  <si>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</si>
  <si>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</si>
  <si>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</si>
  <si>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</si>
  <si>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</si>
  <si>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</si>
  <si>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</si>
  <si>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</si>
  <si>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</si>
  <si>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</si>
  <si>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</si>
  <si>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</si>
  <si>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</si>
  <si>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</si>
  <si>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</si>
  <si>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</si>
  <si>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</si>
  <si>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</si>
  <si>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</si>
  <si>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</si>
  <si>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</si>
  <si>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</si>
  <si>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</si>
  <si>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</si>
  <si>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</si>
  <si>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</si>
  <si>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</si>
  <si>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</si>
  <si>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</si>
  <si>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</si>
  <si>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</si>
  <si>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</si>
  <si>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</si>
  <si>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</si>
  <si>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</si>
  <si>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</si>
  <si>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</si>
  <si>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</si>
  <si>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</si>
  <si>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</si>
  <si>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</si>
  <si>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</si>
  <si>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</si>
  <si>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</si>
  <si>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</si>
  <si>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</si>
  <si>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</si>
  <si>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</si>
  <si>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</si>
  <si>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</si>
  <si>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</si>
  <si>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</si>
  <si>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</si>
  <si>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</si>
  <si>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</si>
  <si>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</si>
  <si>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</si>
  <si>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</si>
  <si>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</si>
  <si>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</si>
  <si>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</si>
  <si>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</si>
  <si>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</si>
  <si>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</si>
  <si>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</si>
  <si>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</si>
  <si>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</si>
  <si>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</si>
  <si>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</si>
  <si>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</si>
  <si>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</si>
  <si>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</si>
  <si>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</si>
  <si>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</si>
  <si>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</si>
  <si>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</si>
  <si>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</si>
  <si>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</si>
  <si>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</si>
  <si>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</si>
  <si>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</si>
  <si>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</si>
  <si>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</si>
  <si>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</si>
  <si>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</si>
  <si>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</si>
  <si>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</si>
  <si>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</si>
  <si>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</si>
  <si>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</si>
  <si>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</si>
  <si>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</si>
  <si>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</si>
  <si>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</si>
  <si>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</si>
  <si>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</si>
  <si>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</si>
  <si>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</si>
  <si>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</si>
  <si>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</si>
  <si>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</si>
  <si>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</si>
  <si>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</si>
  <si>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</si>
  <si>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</si>
  <si>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</si>
  <si>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</si>
  <si>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</si>
  <si>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</si>
  <si>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</si>
  <si>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</si>
  <si>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</si>
  <si>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</si>
  <si>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</si>
  <si>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</si>
  <si>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</si>
  <si>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</si>
  <si>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</si>
  <si>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</si>
  <si>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</si>
  <si>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</si>
  <si>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</si>
  <si>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</si>
  <si>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</si>
  <si>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</si>
  <si>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</si>
  <si>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</si>
  <si>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</si>
  <si>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</si>
  <si>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</si>
  <si>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</si>
  <si>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</si>
  <si>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</si>
  <si>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</si>
  <si>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</si>
  <si>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</si>
  <si>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</si>
  <si>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</si>
  <si>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</si>
  <si>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</si>
  <si>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</si>
  <si>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</si>
  <si>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</si>
  <si>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</si>
  <si>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</si>
  <si>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</si>
  <si>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</si>
  <si>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</si>
  <si>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</si>
  <si>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</si>
  <si>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</si>
  <si>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</si>
  <si>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</si>
  <si>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</si>
  <si>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</si>
  <si>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</si>
  <si>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</si>
  <si>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</si>
  <si>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</si>
  <si>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</si>
  <si>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</si>
  <si>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</si>
  <si>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</si>
  <si>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</si>
  <si>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</si>
  <si>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</si>
  <si>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</si>
  <si>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</si>
  <si>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</si>
  <si>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</si>
  <si>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</si>
  <si>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</si>
  <si>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</si>
  <si>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</si>
  <si>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</si>
  <si>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</si>
  <si>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</si>
  <si>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</si>
  <si>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</si>
  <si>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</si>
  <si>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</si>
  <si>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</si>
  <si>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</si>
  <si>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</si>
  <si>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</si>
  <si>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</si>
  <si>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</si>
  <si>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</si>
  <si>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</si>
  <si>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</si>
  <si>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</si>
  <si>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</si>
  <si>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</si>
  <si>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</si>
  <si>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</si>
  <si>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</si>
  <si>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</si>
  <si>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</si>
  <si>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</si>
  <si>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</si>
  <si>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</si>
  <si>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</si>
  <si>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</si>
  <si>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</si>
  <si>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</si>
  <si>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</si>
  <si>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</si>
  <si>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</si>
  <si>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</si>
  <si>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</si>
  <si>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</si>
  <si>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</si>
  <si>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</si>
  <si>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</si>
  <si>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</si>
  <si>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</si>
  <si>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</si>
  <si>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</si>
  <si>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</si>
  <si>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</si>
  <si>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</si>
  <si>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</si>
  <si>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</si>
  <si>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</si>
  <si>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</si>
  <si>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</si>
  <si>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</si>
  <si>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</si>
  <si>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</si>
  <si>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</si>
  <si>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</si>
  <si>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</si>
  <si>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</si>
  <si>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</si>
  <si>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</si>
  <si>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</si>
  <si>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</si>
  <si>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</si>
  <si>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</si>
  <si>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</si>
  <si>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</si>
  <si>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</si>
  <si>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</si>
  <si>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</si>
  <si>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</si>
  <si>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</si>
  <si>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</si>
  <si>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</si>
  <si>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</si>
  <si>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</si>
  <si>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</si>
  <si>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</si>
  <si>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</si>
  <si>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</si>
  <si>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</si>
  <si>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</si>
  <si>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</si>
  <si>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</si>
  <si>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</si>
  <si>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</si>
  <si>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</si>
  <si>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</si>
  <si>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</si>
  <si>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</si>
  <si>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</si>
  <si>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</si>
  <si>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</si>
  <si>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</si>
  <si>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</si>
  <si>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</si>
  <si>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</si>
  <si>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</si>
  <si>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</si>
  <si>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</si>
  <si>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</si>
  <si>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</si>
  <si>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</si>
  <si>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</si>
  <si>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</si>
  <si>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</si>
  <si>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</si>
  <si>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</si>
  <si>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</si>
  <si>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</si>
  <si>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</si>
  <si>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</si>
  <si>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</si>
  <si>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</si>
  <si>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</si>
  <si>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</si>
  <si>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</si>
  <si>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</si>
  <si>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</si>
  <si>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</si>
  <si>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</si>
  <si>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</si>
  <si>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</si>
  <si>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</si>
  <si>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</si>
  <si>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</si>
  <si>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</si>
  <si>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</si>
  <si>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</si>
  <si>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</si>
  <si>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</si>
  <si>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</si>
  <si>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</si>
  <si>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</si>
  <si>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</si>
  <si>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</si>
  <si>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</si>
  <si>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</si>
  <si>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</si>
  <si>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</si>
  <si>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</si>
  <si>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</si>
  <si>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</si>
  <si>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</si>
  <si>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</si>
  <si>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</si>
  <si>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</si>
  <si>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</si>
  <si>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</si>
  <si>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</si>
  <si>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</si>
  <si>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</si>
  <si>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</si>
  <si>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</si>
  <si>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</si>
  <si>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</si>
  <si>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</si>
  <si>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</si>
  <si>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</si>
  <si>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</si>
  <si>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</si>
  <si>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</si>
  <si>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</si>
  <si>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</si>
  <si>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</si>
  <si>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</si>
  <si>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</si>
  <si>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</si>
  <si>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</si>
  <si>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</si>
  <si>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</si>
  <si>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</si>
  <si>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</si>
  <si>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</si>
  <si>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</si>
  <si>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</si>
  <si>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</si>
  <si>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</si>
  <si>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</si>
  <si>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</si>
  <si>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</si>
  <si>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</si>
  <si>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</si>
  <si>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</si>
  <si>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</si>
  <si>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</si>
  <si>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</si>
  <si>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</si>
  <si>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</si>
  <si>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</si>
  <si>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</si>
  <si>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</si>
  <si>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</si>
  <si>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</si>
  <si>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</si>
  <si>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</si>
  <si>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</si>
  <si>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</si>
  <si>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</si>
  <si>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</si>
  <si>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</si>
  <si>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</si>
  <si>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</si>
  <si>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</si>
  <si>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</si>
  <si>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</si>
  <si>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</si>
  <si>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</si>
  <si>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</si>
  <si>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</si>
  <si>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</si>
  <si>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</si>
  <si>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</si>
  <si>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</si>
  <si>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</si>
  <si>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</si>
  <si>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</si>
  <si>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</si>
  <si>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</si>
  <si>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</si>
  <si>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</si>
  <si>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</si>
  <si>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</si>
  <si>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</si>
  <si>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</si>
  <si>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</si>
  <si>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</si>
  <si>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</si>
  <si>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</si>
  <si>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</si>
  <si>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</si>
  <si>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</si>
  <si>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</si>
  <si>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</si>
  <si>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</si>
  <si>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</si>
  <si>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</si>
  <si>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</si>
  <si>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</si>
  <si>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</si>
  <si>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</si>
  <si>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</si>
  <si>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</si>
  <si>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</si>
  <si>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</si>
  <si>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</si>
  <si>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</si>
  <si>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</si>
  <si>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</si>
  <si>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</si>
  <si>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</si>
  <si>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</si>
  <si>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</si>
  <si>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</si>
  <si>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</si>
  <si>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</si>
  <si>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</si>
  <si>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</si>
  <si>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</si>
  <si>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</si>
  <si>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</si>
  <si>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</si>
  <si>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</si>
  <si>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</si>
  <si>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</si>
  <si>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</si>
  <si>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</si>
  <si>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</si>
  <si>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</si>
  <si>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</si>
  <si>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</si>
  <si>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</si>
  <si>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</si>
  <si>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</si>
  <si>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</si>
  <si>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</si>
  <si>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</si>
  <si>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</si>
  <si>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</si>
  <si>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</si>
  <si>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</si>
  <si>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</si>
  <si>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</si>
  <si>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</si>
  <si>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</si>
  <si>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</si>
  <si>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</si>
  <si>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</si>
  <si>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</si>
  <si>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</si>
  <si>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</si>
  <si>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</si>
  <si>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</si>
  <si>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</si>
  <si>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</si>
  <si>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</si>
  <si>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</si>
  <si>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</si>
  <si>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</si>
  <si>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</si>
  <si>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</si>
  <si>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</si>
  <si>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</si>
  <si>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</si>
  <si>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</si>
  <si>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</si>
  <si>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</si>
  <si>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</si>
  <si>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</si>
  <si>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</si>
  <si>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</si>
  <si>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</si>
  <si>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</si>
  <si>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</si>
  <si>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</si>
  <si>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</si>
  <si>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</si>
  <si>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</si>
  <si>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</si>
  <si>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</si>
  <si>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</si>
  <si>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</si>
  <si>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</si>
  <si>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</si>
  <si>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</si>
  <si>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</si>
  <si>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</si>
  <si>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</si>
  <si>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</si>
  <si>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</si>
  <si>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</si>
  <si>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</si>
  <si>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</si>
  <si>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</si>
  <si>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</si>
  <si>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</si>
  <si>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</si>
  <si>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</si>
  <si>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</si>
  <si>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</si>
  <si>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</si>
  <si>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</si>
  <si>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</si>
  <si>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</si>
  <si>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</si>
  <si>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</si>
  <si>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</si>
  <si>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</si>
  <si>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</si>
  <si>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</si>
  <si>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</si>
  <si>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</si>
  <si>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</si>
  <si>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</si>
  <si>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</si>
  <si>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</si>
  <si>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</si>
  <si>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</si>
  <si>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</si>
  <si>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</si>
  <si>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</si>
  <si>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</si>
  <si>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</si>
  <si>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</si>
  <si>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</si>
  <si>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</si>
  <si>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</si>
  <si>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</si>
  <si>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</si>
  <si>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</si>
  <si>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</si>
  <si>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</si>
  <si>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</si>
  <si>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</si>
  <si>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</si>
  <si>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</si>
  <si>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</si>
  <si>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</si>
  <si>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</si>
  <si>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</si>
  <si>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</si>
  <si>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</si>
  <si>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</si>
  <si>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</si>
  <si>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</si>
  <si>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</si>
  <si>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</si>
  <si>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</si>
  <si>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</si>
  <si>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</si>
  <si>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</si>
  <si>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</si>
  <si>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</si>
  <si>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</si>
  <si>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</si>
  <si>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</si>
  <si>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</si>
  <si>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</si>
  <si>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</si>
  <si>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</si>
  <si>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</si>
  <si>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</si>
  <si>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</si>
  <si>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</si>
  <si>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</si>
  <si>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</si>
  <si>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</si>
  <si>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</si>
  <si>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</si>
  <si>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</si>
  <si>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</si>
  <si>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</si>
  <si>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</si>
  <si>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</si>
  <si>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</si>
  <si>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</si>
  <si>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</si>
  <si>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</si>
  <si>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</si>
  <si>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</si>
  <si>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</si>
  <si>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</si>
  <si>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</si>
  <si>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</si>
  <si>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</si>
  <si>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</si>
  <si>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</si>
  <si>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</si>
  <si>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</si>
  <si>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</si>
  <si>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</si>
  <si>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</si>
  <si>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</si>
  <si>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</si>
  <si>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</si>
  <si>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</si>
  <si>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</si>
  <si>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</si>
  <si>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</si>
  <si>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</si>
  <si>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</si>
  <si>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</si>
  <si>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</si>
  <si>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</si>
  <si>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</si>
  <si>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</si>
  <si>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</si>
  <si>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</si>
  <si>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</si>
  <si>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</si>
  <si>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</si>
  <si>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</si>
  <si>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</si>
  <si>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</si>
  <si>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</si>
  <si>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</si>
  <si>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</si>
  <si>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</si>
  <si>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</si>
  <si>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</si>
  <si>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</si>
  <si>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</si>
  <si>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</si>
  <si>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Ogle</t>
  </si>
  <si>
    <t>Sherri Noel</t>
  </si>
  <si>
    <t>1252 Bell Valley Road, Suite 300</t>
  </si>
  <si>
    <t>696 North Colfax Street</t>
  </si>
  <si>
    <t xml:space="preserve">Rockford </t>
  </si>
  <si>
    <t>IL</t>
  </si>
  <si>
    <t>Byron</t>
  </si>
  <si>
    <t>815-231-7300</t>
  </si>
  <si>
    <t>815-231-7309</t>
  </si>
  <si>
    <t>bbarton@byron226.org</t>
  </si>
  <si>
    <t>066-003346</t>
  </si>
  <si>
    <t>sherri.noel@rsmus.com</t>
  </si>
  <si>
    <t>Mr. Buster Barton</t>
  </si>
  <si>
    <t>815-234-5491</t>
  </si>
  <si>
    <t>815-234-4106</t>
  </si>
  <si>
    <t>General Obligation Series 2009A</t>
  </si>
  <si>
    <t>General Obligation Series 2009B</t>
  </si>
  <si>
    <t>General Obligation Series 2013</t>
  </si>
  <si>
    <t>General Obligation Series 2015</t>
  </si>
  <si>
    <t>General Obligation Series 2015B</t>
  </si>
  <si>
    <t>General Obligation Series 2016</t>
  </si>
  <si>
    <t>Capital Lease - Computers</t>
  </si>
  <si>
    <t>Capital Lease - Technology Equipment</t>
  </si>
  <si>
    <t>Total From Page 2</t>
  </si>
  <si>
    <t>Page 9-14, line 107, Other Local Revenues</t>
  </si>
  <si>
    <t xml:space="preserve"> - O&amp;M Fund - Refund for prior year service $5,645</t>
  </si>
  <si>
    <t xml:space="preserve"> - Erate Receipts $22,800</t>
  </si>
  <si>
    <t>Page 15-22, line 41, Other Support Services - Pupils</t>
  </si>
  <si>
    <t>Page 9-14, line 272, Other Restricted Revenue from Federal Sources</t>
  </si>
  <si>
    <t xml:space="preserve"> - Purchased Services - Physical Therapy Services $44,472</t>
  </si>
  <si>
    <t xml:space="preserve"> - Employee Benefits - Ocuupmational Therapy Benefits $30</t>
  </si>
  <si>
    <t xml:space="preserve"> - Education Fund - Occupational Therapy Salaries $73,744</t>
  </si>
  <si>
    <t xml:space="preserve"> - Supplies - Occupational Therapy Supplies $3,278</t>
  </si>
  <si>
    <t xml:space="preserve"> - Purchased Services - Ombudsman Education Services $29,335</t>
  </si>
  <si>
    <t xml:space="preserve"> - Bond Administrative fees $3,325</t>
  </si>
  <si>
    <t>Page 15-22, line 171, Debt Services - Other - Other Objects</t>
  </si>
  <si>
    <t>Page 15-22, line 83, Other Payments to In-state Govt. Units</t>
  </si>
  <si>
    <t>Page 15-22, line 237, Other Support Services - Pupils</t>
  </si>
  <si>
    <t>Audit Checklist - Principal retired on long-term debt does not equal page 24, cell H49 due to payments on operating leases.</t>
  </si>
  <si>
    <t>x</t>
  </si>
  <si>
    <t>2017-001</t>
  </si>
  <si>
    <t>One individual has access to the main operating bank account and can also approve purchase orders, record transactions in the general ledger, has full access to the payroll system, prepares the bank reconciliations, and initiates bank account transfers with no approval required by another manager of management.</t>
  </si>
  <si>
    <t xml:space="preserve">One individual has access to the main operating bank </t>
  </si>
  <si>
    <t>account and can also aprove purchase orders, record</t>
  </si>
  <si>
    <t xml:space="preserve">transactions in the general ledger, has full access to </t>
  </si>
  <si>
    <t>the payroll system, prepares the bank reconciliations,</t>
  </si>
  <si>
    <t>and initiates bank account transfers with no approval</t>
  </si>
  <si>
    <t>required by another manager of management.</t>
  </si>
  <si>
    <t xml:space="preserve">No corrective action has been taken. The finding will be </t>
  </si>
  <si>
    <t>repeated in the current year as finding 2018-001</t>
  </si>
  <si>
    <t>Strong internal controls require the separation of custody, authorization and recording of transactions.</t>
  </si>
  <si>
    <t>We noted a lack of segregation of duties within the District during our review of internal controls.</t>
  </si>
  <si>
    <t>A lack of segregation of duties could result in errors or irregularities occurring and not being detected on a timely basis.</t>
  </si>
  <si>
    <t xml:space="preserve">We recommend that the District perform an assessment of internal controls relating to the significant transaction cycles and identify additional individuals that could become an integral part of the controls structure such that conflicting duties can be appropriately segregated. </t>
  </si>
  <si>
    <t>There is a potential for future significant decreases in EAV depending on the status of the Byron nuclear power plant.</t>
  </si>
  <si>
    <t>The District has not maintained detailed records of investments in captial assets at historical costs.</t>
  </si>
  <si>
    <t>No additional comments.</t>
  </si>
  <si>
    <t>RSM US LLP</t>
  </si>
  <si>
    <t>Single audit not required as expenditures of federal awards was below</t>
  </si>
  <si>
    <t>$750,000, therefore SEFA was not prepared.</t>
  </si>
  <si>
    <t>Capital lease obligations</t>
  </si>
  <si>
    <t>Page 9-14, line 171, Other Restricted Revenue from State Sources</t>
  </si>
  <si>
    <t xml:space="preserve"> - Education Fund - $5,502 Library grant</t>
  </si>
  <si>
    <t xml:space="preserve"> - Transportation Fund - Sale of Bus Fleet $2,000,000</t>
  </si>
  <si>
    <t xml:space="preserve"> - Employee Benefits - Occupational Therapy Benefits $13,358</t>
  </si>
  <si>
    <t xml:space="preserve"> - Education Fund - $27,831 Settlement from class action lawsuit, </t>
  </si>
  <si>
    <t>$12,197 Proceeds from recycled laptops, $53,412 Misc</t>
  </si>
  <si>
    <t>ED-Other Support Services - Pupils - Purchased Services</t>
  </si>
  <si>
    <t>Mary Wheaton</t>
  </si>
  <si>
    <t>80-2365-300</t>
  </si>
  <si>
    <t>Marco</t>
  </si>
  <si>
    <t>Tort-Risk Management and Claims Services Pmt-Purchased Service</t>
  </si>
  <si>
    <t>ED-Educational Media Services-Purchased Services</t>
  </si>
  <si>
    <t xml:space="preserve">Marlin Lease Co. </t>
  </si>
  <si>
    <t>Braun Thyssenkrupp Elevator</t>
  </si>
  <si>
    <t>Audit Checklist - Principal on long-term debt retired does not equal page 18, cell H170 due to payments on capital leases being recorded in fund 10.</t>
  </si>
  <si>
    <t>Audit Checklist - Principal on long-term debt sold does not equal page 24, cell F49 due to capital leases enteted into in 2018</t>
  </si>
  <si>
    <t>Due to the current design of internal controls relating to significant transaction cycles, a lack of segregation of duties exists.</t>
  </si>
  <si>
    <t>Due to the size of the District office, there will always be an issue with segregation of duties.  The District has taken steps to try and mitigate the risk due to the lack of segregation of duties by separating various tasks, but this process is limited, as there are only 2 people in the District office.  The Business Manager, Superintendent and Board of Education review and approve all checks and credit card purchases monthly.</t>
  </si>
  <si>
    <t>See PDF Opinion Page with signature</t>
  </si>
  <si>
    <t>Byron CUSD 226</t>
  </si>
  <si>
    <t>10-2100-300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</si>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</sst>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left" indent="1"/>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1066800</xdr:colOff>
          <xdr:row>3</xdr:row>
          <xdr:rowOff>38100</xdr:rowOff>
        </xdr:from>
        <xdr:to>
          <xdr:col>1</xdr:col>
          <xdr:colOff>1981200</xdr:colOff>
          <xdr:row>7</xdr:row>
          <xdr:rowOff>85725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3</xdr:row>
          <xdr:rowOff>28575</xdr:rowOff>
        </xdr:from>
        <xdr:to>
          <xdr:col>1</xdr:col>
          <xdr:colOff>3124200</xdr:colOff>
          <xdr:row>7</xdr:row>
          <xdr:rowOff>76200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3515591</xdr:colOff>
          <xdr:row>3</xdr:row>
          <xdr:rowOff>51955</xdr:rowOff>
        </xdr:from>
        <xdr:to>
          <xdr:col>2</xdr:col>
          <xdr:colOff>444211</xdr:colOff>
          <xdr:row>8</xdr:row>
          <xdr:rowOff>8659</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47071226026</v>
      </c>
      <c r="B13" s="2038"/>
      <c r="C13" s="2038"/>
      <c r="D13" s="2038"/>
      <c r="E13" s="2038"/>
      <c r="F13" s="2038"/>
      <c r="G13" s="2038"/>
      <c r="H13" s="2039"/>
      <c r="I13" s="31"/>
      <c r="J13" s="30"/>
      <c r="K13" s="28"/>
      <c r="L13" s="30"/>
      <c r="M13" s="30"/>
      <c r="N13" s="30"/>
      <c r="O13" s="30"/>
      <c r="P13" s="30"/>
      <c r="Q13" s="30"/>
      <c r="R13" s="30"/>
      <c r="S13" s="30"/>
      <c r="T13" s="2042" t="s">
        <v>2135</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2079</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2158</v>
      </c>
      <c r="B17" s="1997"/>
      <c r="C17" s="1997"/>
      <c r="D17" s="1997"/>
      <c r="E17" s="1997"/>
      <c r="F17" s="1997"/>
      <c r="G17" s="1997"/>
      <c r="H17" s="2022"/>
      <c r="T17" s="2053" t="s">
        <v>2080</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2081</v>
      </c>
      <c r="B19" s="1982"/>
      <c r="C19" s="1982"/>
      <c r="D19" s="1982"/>
      <c r="E19" s="1982"/>
      <c r="F19" s="1982"/>
      <c r="G19" s="1982"/>
      <c r="H19" s="1962"/>
      <c r="I19" s="30"/>
      <c r="J19" s="99"/>
      <c r="K19" s="40"/>
      <c r="L19" s="38"/>
      <c r="M19" s="112" t="s">
        <v>333</v>
      </c>
      <c r="P19" s="27"/>
      <c r="Q19" s="27"/>
      <c r="R19" s="27"/>
      <c r="S19" s="31"/>
      <c r="T19" s="2036" t="s">
        <v>2082</v>
      </c>
      <c r="U19" s="1961"/>
      <c r="V19" s="1961"/>
      <c r="W19" s="1962"/>
      <c r="X19" s="2051" t="s">
        <v>2083</v>
      </c>
      <c r="Y19" s="2052"/>
      <c r="Z19" s="2049">
        <v>61108</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2084</v>
      </c>
      <c r="B21" s="1961"/>
      <c r="C21" s="1961"/>
      <c r="D21" s="1961"/>
      <c r="E21" s="1961"/>
      <c r="F21" s="1961"/>
      <c r="G21" s="1961"/>
      <c r="H21" s="1962"/>
      <c r="I21" s="2016" t="s">
        <v>699</v>
      </c>
      <c r="J21" s="2011"/>
      <c r="K21" s="2011"/>
      <c r="L21" s="2011"/>
      <c r="M21" s="2011"/>
      <c r="N21" s="2011"/>
      <c r="O21" s="2011"/>
      <c r="P21" s="2011"/>
      <c r="Q21" s="2011"/>
      <c r="R21" s="2011"/>
      <c r="S21" s="2017"/>
      <c r="T21" s="2060" t="s">
        <v>2085</v>
      </c>
      <c r="U21" s="2061"/>
      <c r="V21" s="2061"/>
      <c r="W21" s="2061"/>
      <c r="X21" s="2066" t="s">
        <v>2086</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2088</v>
      </c>
      <c r="U23" s="2059"/>
      <c r="V23" s="2059"/>
      <c r="W23" s="2059"/>
      <c r="X23" s="2063"/>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61010</v>
      </c>
      <c r="B25" s="1961"/>
      <c r="C25" s="1961"/>
      <c r="D25" s="1961"/>
      <c r="E25" s="1961"/>
      <c r="F25" s="1961"/>
      <c r="G25" s="1961"/>
      <c r="H25" s="1962"/>
      <c r="I25" s="113"/>
      <c r="J25" s="1985"/>
      <c r="K25" s="1985"/>
      <c r="L25" s="1985"/>
      <c r="M25" s="1985"/>
      <c r="N25" s="1985"/>
      <c r="O25" s="1985"/>
      <c r="P25" s="1985"/>
      <c r="Q25" s="1985"/>
      <c r="R25" s="1985"/>
      <c r="S25" s="1986"/>
      <c r="T25" s="2056" t="s">
        <v>2089</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2090</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2087</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2091</v>
      </c>
      <c r="B42" s="1980"/>
      <c r="C42" s="1981"/>
      <c r="D42" s="1979" t="s">
        <v>2092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3:H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15988456</v>
      </c>
      <c r="C4" s="1546">
        <v>8190434.8899999997</v>
      </c>
      <c r="D4" s="1774">
        <f>B4-C4</f>
        <v>7798021.1100000003</v>
      </c>
      <c r="E4" s="1546">
        <v>16027729</v>
      </c>
      <c r="F4" s="1774">
        <f>E4-C4</f>
        <v>7837294.1100000003</v>
      </c>
    </row>
    <row r="5" spans="1:6" ht="13.7" customHeight="1" x14ac:dyDescent="0.2">
      <c r="A5" s="716" t="s">
        <v>925</v>
      </c>
      <c r="B5" s="1772">
        <f>'Revenues 9-14'!D5</f>
        <v>3023897</v>
      </c>
      <c r="C5" s="585">
        <v>1549061</v>
      </c>
      <c r="D5" s="1775">
        <f t="shared" ref="D5:D18" si="0">B5-C5</f>
        <v>1474836</v>
      </c>
      <c r="E5" s="585">
        <v>3031331</v>
      </c>
      <c r="F5" s="1775">
        <f>E5-C5</f>
        <v>1482270</v>
      </c>
    </row>
    <row r="6" spans="1:6" ht="13.7" customHeight="1" x14ac:dyDescent="0.2">
      <c r="A6" s="716" t="s">
        <v>431</v>
      </c>
      <c r="B6" s="1772">
        <f>'Revenues 9-14'!E5</f>
        <v>3553832</v>
      </c>
      <c r="C6" s="585">
        <v>1788326</v>
      </c>
      <c r="D6" s="1775">
        <f t="shared" si="0"/>
        <v>1765506</v>
      </c>
      <c r="E6" s="585">
        <v>3499550</v>
      </c>
      <c r="F6" s="1775">
        <f t="shared" ref="F6:F18" si="1">E6-C6</f>
        <v>1711224</v>
      </c>
    </row>
    <row r="7" spans="1:6" ht="13.7" customHeight="1" x14ac:dyDescent="0.2">
      <c r="A7" s="716" t="s">
        <v>157</v>
      </c>
      <c r="B7" s="1772">
        <f>'Revenues 9-14'!F5</f>
        <v>1390296</v>
      </c>
      <c r="C7" s="585">
        <v>712206</v>
      </c>
      <c r="D7" s="1775">
        <f t="shared" si="0"/>
        <v>678090</v>
      </c>
      <c r="E7" s="585">
        <v>1393716</v>
      </c>
      <c r="F7" s="1775">
        <f t="shared" si="1"/>
        <v>681510</v>
      </c>
    </row>
    <row r="8" spans="1:6" ht="13.7" customHeight="1" x14ac:dyDescent="0.2">
      <c r="A8" s="716" t="s">
        <v>1241</v>
      </c>
      <c r="B8" s="1772">
        <f>'Revenues 9-14'!G5</f>
        <v>420134</v>
      </c>
      <c r="C8" s="585">
        <v>204404</v>
      </c>
      <c r="D8" s="1775">
        <f t="shared" si="0"/>
        <v>215730</v>
      </c>
      <c r="E8" s="585">
        <v>399996</v>
      </c>
      <c r="F8" s="1775">
        <f t="shared" si="1"/>
        <v>195592</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347578</v>
      </c>
      <c r="C10" s="585">
        <v>178055</v>
      </c>
      <c r="D10" s="1775">
        <f t="shared" si="0"/>
        <v>169523</v>
      </c>
      <c r="E10" s="585">
        <v>348429</v>
      </c>
      <c r="F10" s="1775">
        <f t="shared" si="1"/>
        <v>170374</v>
      </c>
    </row>
    <row r="11" spans="1:6" x14ac:dyDescent="0.2">
      <c r="A11" s="716" t="s">
        <v>429</v>
      </c>
      <c r="B11" s="1772">
        <f>'Revenues 9-14'!J5</f>
        <v>1489061</v>
      </c>
      <c r="C11" s="585">
        <v>829618</v>
      </c>
      <c r="D11" s="1775">
        <f t="shared" si="0"/>
        <v>659443</v>
      </c>
      <c r="E11" s="585">
        <v>1623470</v>
      </c>
      <c r="F11" s="1775">
        <f t="shared" si="1"/>
        <v>793852</v>
      </c>
    </row>
    <row r="12" spans="1:6" ht="13.7" customHeight="1" x14ac:dyDescent="0.2">
      <c r="A12" s="716" t="s">
        <v>159</v>
      </c>
      <c r="B12" s="1772">
        <f>'Revenues 9-14'!K5</f>
        <v>347578</v>
      </c>
      <c r="C12" s="585">
        <v>178055</v>
      </c>
      <c r="D12" s="1775">
        <f t="shared" si="0"/>
        <v>169523</v>
      </c>
      <c r="E12" s="585">
        <v>348429</v>
      </c>
      <c r="F12" s="1775">
        <f t="shared" si="1"/>
        <v>170374</v>
      </c>
    </row>
    <row r="13" spans="1:6" ht="13.7" customHeight="1" x14ac:dyDescent="0.2">
      <c r="A13" s="716" t="s">
        <v>993</v>
      </c>
      <c r="B13" s="1772">
        <f>SUM('Revenues 9-14'!C6:D6)</f>
        <v>347578</v>
      </c>
      <c r="C13" s="585">
        <v>178055</v>
      </c>
      <c r="D13" s="1775">
        <f t="shared" si="0"/>
        <v>169523</v>
      </c>
      <c r="E13" s="585">
        <v>348429</v>
      </c>
      <c r="F13" s="1775">
        <f t="shared" si="1"/>
        <v>170374</v>
      </c>
    </row>
    <row r="14" spans="1:6" ht="13.7" customHeight="1" x14ac:dyDescent="0.2">
      <c r="A14" s="716" t="s">
        <v>430</v>
      </c>
      <c r="B14" s="1772">
        <f>SUM('Revenues 9-14'!C7:D7,'Revenues 9-14'!F7:H7)</f>
        <v>278062</v>
      </c>
      <c r="C14" s="585">
        <v>142441</v>
      </c>
      <c r="D14" s="1775">
        <f t="shared" si="0"/>
        <v>135621</v>
      </c>
      <c r="E14" s="585">
        <v>278743</v>
      </c>
      <c r="F14" s="1775">
        <f t="shared" si="1"/>
        <v>136302</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466099</v>
      </c>
      <c r="C16" s="585">
        <v>238130.41</v>
      </c>
      <c r="D16" s="1775">
        <f t="shared" si="0"/>
        <v>227968.59</v>
      </c>
      <c r="E16" s="585">
        <v>465989</v>
      </c>
      <c r="F16" s="1775">
        <f t="shared" si="1"/>
        <v>227858.59</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27652571</v>
      </c>
      <c r="C19" s="1773">
        <f>SUM(C4:C18)</f>
        <v>14188786.300000001</v>
      </c>
      <c r="D19" s="1773">
        <f>SUM(D4:D18)</f>
        <v>13463784.699999999</v>
      </c>
      <c r="E19" s="1773">
        <f>SUM(E4:E18)</f>
        <v>27765811</v>
      </c>
      <c r="F19" s="1773">
        <f>SUM(F4:F18)</f>
        <v>13577024.699999999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90" zoomScaleNormal="90" workbookViewId="0">
      <selection activeCell="A13" sqref="A13:H1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2036</v>
      </c>
      <c r="D2" s="724" t="s">
        <v>2043</v>
      </c>
      <c r="E2" s="724" t="s">
        <v>2044</v>
      </c>
      <c r="F2" s="1909" t="s">
        <v>2037</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40177</v>
      </c>
      <c r="C31" s="735">
        <v>8585000</v>
      </c>
      <c r="D31" s="736">
        <v>6</v>
      </c>
      <c r="E31" s="735">
        <v>8585000</v>
      </c>
      <c r="F31" s="735"/>
      <c r="G31" s="735"/>
      <c r="H31" s="735">
        <v>1060000</v>
      </c>
      <c r="I31" s="1778">
        <f>((E31+F31)-H31)+G31</f>
        <v>7525000</v>
      </c>
      <c r="J31" s="735">
        <v>5762009</v>
      </c>
      <c r="K31" s="737"/>
    </row>
    <row r="32" spans="1:11" ht="12" customHeight="1" x14ac:dyDescent="0.2">
      <c r="A32" s="733" t="s">
        <v>2094</v>
      </c>
      <c r="B32" s="734">
        <v>40177</v>
      </c>
      <c r="C32" s="735">
        <v>1350000</v>
      </c>
      <c r="D32" s="736">
        <v>3</v>
      </c>
      <c r="E32" s="735">
        <v>355000</v>
      </c>
      <c r="F32" s="735"/>
      <c r="G32" s="735"/>
      <c r="H32" s="735">
        <v>355000</v>
      </c>
      <c r="I32" s="1778">
        <f>((E32+F32)-H32)+G32</f>
        <v>0</v>
      </c>
      <c r="J32" s="735"/>
      <c r="K32" s="737"/>
    </row>
    <row r="33" spans="1:11" ht="12" customHeight="1" x14ac:dyDescent="0.2">
      <c r="A33" s="733" t="s">
        <v>2095</v>
      </c>
      <c r="B33" s="734">
        <v>41478</v>
      </c>
      <c r="C33" s="735">
        <v>1460000</v>
      </c>
      <c r="D33" s="736">
        <v>1</v>
      </c>
      <c r="E33" s="735">
        <v>1400000</v>
      </c>
      <c r="F33" s="735"/>
      <c r="G33" s="735"/>
      <c r="H33" s="735"/>
      <c r="I33" s="1778">
        <f t="shared" ref="I33:I48" si="1">((E33+F33)-H33)+G33</f>
        <v>1400000</v>
      </c>
      <c r="J33" s="735">
        <v>1400000</v>
      </c>
      <c r="K33" s="737"/>
    </row>
    <row r="34" spans="1:11" ht="12" customHeight="1" x14ac:dyDescent="0.2">
      <c r="A34" s="733" t="s">
        <v>2096</v>
      </c>
      <c r="B34" s="734">
        <v>42179</v>
      </c>
      <c r="C34" s="735">
        <v>1940000</v>
      </c>
      <c r="D34" s="736">
        <v>1</v>
      </c>
      <c r="E34" s="735">
        <v>1750000</v>
      </c>
      <c r="F34" s="735"/>
      <c r="G34" s="735"/>
      <c r="H34" s="735">
        <v>195000</v>
      </c>
      <c r="I34" s="1778">
        <f t="shared" si="1"/>
        <v>1555000</v>
      </c>
      <c r="J34" s="735">
        <v>1555000</v>
      </c>
      <c r="K34" s="738"/>
    </row>
    <row r="35" spans="1:11" ht="12" customHeight="1" x14ac:dyDescent="0.2">
      <c r="A35" s="733" t="s">
        <v>2097</v>
      </c>
      <c r="B35" s="734">
        <v>42355</v>
      </c>
      <c r="C35" s="739">
        <v>7450000</v>
      </c>
      <c r="D35" s="736">
        <v>3</v>
      </c>
      <c r="E35" s="739">
        <v>5335000</v>
      </c>
      <c r="F35" s="739"/>
      <c r="G35" s="739"/>
      <c r="H35" s="739">
        <v>1200000</v>
      </c>
      <c r="I35" s="1778">
        <f t="shared" si="1"/>
        <v>4135000</v>
      </c>
      <c r="J35" s="739">
        <v>4135000</v>
      </c>
      <c r="K35" s="738"/>
    </row>
    <row r="36" spans="1:11" ht="12" customHeight="1" x14ac:dyDescent="0.2">
      <c r="A36" s="733" t="s">
        <v>2098</v>
      </c>
      <c r="B36" s="734">
        <v>42397</v>
      </c>
      <c r="C36" s="735">
        <v>7460000</v>
      </c>
      <c r="D36" s="736">
        <v>3</v>
      </c>
      <c r="E36" s="735">
        <v>7460000</v>
      </c>
      <c r="F36" s="735"/>
      <c r="G36" s="735"/>
      <c r="H36" s="735"/>
      <c r="I36" s="1778">
        <f t="shared" si="1"/>
        <v>7460000</v>
      </c>
      <c r="J36" s="735">
        <v>7460000</v>
      </c>
      <c r="K36" s="740"/>
    </row>
    <row r="37" spans="1:11" ht="12" customHeight="1" x14ac:dyDescent="0.2">
      <c r="A37" s="733" t="s">
        <v>2099</v>
      </c>
      <c r="B37" s="734">
        <v>41456</v>
      </c>
      <c r="C37" s="467">
        <v>114005</v>
      </c>
      <c r="D37" s="741">
        <v>7</v>
      </c>
      <c r="E37" s="467">
        <v>8860</v>
      </c>
      <c r="F37" s="467"/>
      <c r="G37" s="467"/>
      <c r="H37" s="467">
        <v>8860</v>
      </c>
      <c r="I37" s="1778">
        <f t="shared" si="1"/>
        <v>0</v>
      </c>
      <c r="J37" s="467">
        <v>0</v>
      </c>
      <c r="K37" s="738"/>
    </row>
    <row r="38" spans="1:11" ht="12" customHeight="1" x14ac:dyDescent="0.2">
      <c r="A38" s="733" t="s">
        <v>2099</v>
      </c>
      <c r="B38" s="734">
        <v>41830</v>
      </c>
      <c r="C38" s="735">
        <v>59227</v>
      </c>
      <c r="D38" s="742">
        <v>7</v>
      </c>
      <c r="E38" s="743">
        <v>6322</v>
      </c>
      <c r="F38" s="743"/>
      <c r="G38" s="743"/>
      <c r="H38" s="743">
        <v>6322</v>
      </c>
      <c r="I38" s="1778">
        <f t="shared" si="1"/>
        <v>0</v>
      </c>
      <c r="J38" s="744">
        <v>0</v>
      </c>
      <c r="K38" s="745"/>
    </row>
    <row r="39" spans="1:11" ht="12" customHeight="1" x14ac:dyDescent="0.2">
      <c r="A39" s="733" t="s">
        <v>2099</v>
      </c>
      <c r="B39" s="734">
        <v>41830</v>
      </c>
      <c r="C39" s="735">
        <v>62321</v>
      </c>
      <c r="D39" s="742">
        <v>7</v>
      </c>
      <c r="E39" s="743">
        <v>18892</v>
      </c>
      <c r="F39" s="743"/>
      <c r="G39" s="743"/>
      <c r="H39" s="743">
        <v>14871</v>
      </c>
      <c r="I39" s="1778">
        <f t="shared" si="1"/>
        <v>4021</v>
      </c>
      <c r="J39" s="744">
        <v>4021</v>
      </c>
      <c r="K39" s="745"/>
    </row>
    <row r="40" spans="1:11" ht="12" customHeight="1" x14ac:dyDescent="0.2">
      <c r="A40" s="733" t="s">
        <v>2100</v>
      </c>
      <c r="B40" s="734">
        <v>42194</v>
      </c>
      <c r="C40" s="735">
        <v>90265</v>
      </c>
      <c r="D40" s="742">
        <v>7</v>
      </c>
      <c r="E40" s="743">
        <v>56796</v>
      </c>
      <c r="F40" s="743"/>
      <c r="G40" s="743"/>
      <c r="H40" s="743">
        <v>17998</v>
      </c>
      <c r="I40" s="1778">
        <f t="shared" si="1"/>
        <v>38798</v>
      </c>
      <c r="J40" s="744">
        <v>38798</v>
      </c>
      <c r="K40" s="745"/>
    </row>
    <row r="41" spans="1:11" ht="12" customHeight="1" x14ac:dyDescent="0.2">
      <c r="A41" s="733" t="s">
        <v>2100</v>
      </c>
      <c r="B41" s="734">
        <v>42194</v>
      </c>
      <c r="C41" s="735">
        <v>39350</v>
      </c>
      <c r="D41" s="742">
        <v>7</v>
      </c>
      <c r="E41" s="743">
        <v>14414</v>
      </c>
      <c r="F41" s="743"/>
      <c r="G41" s="743"/>
      <c r="H41" s="743">
        <v>13297</v>
      </c>
      <c r="I41" s="1778">
        <f t="shared" si="1"/>
        <v>1117</v>
      </c>
      <c r="J41" s="744">
        <v>1117</v>
      </c>
      <c r="K41" s="745"/>
    </row>
    <row r="42" spans="1:11" ht="12" customHeight="1" x14ac:dyDescent="0.2">
      <c r="A42" s="733" t="s">
        <v>2099</v>
      </c>
      <c r="B42" s="734">
        <v>42195</v>
      </c>
      <c r="C42" s="735">
        <v>55440</v>
      </c>
      <c r="D42" s="742">
        <v>7</v>
      </c>
      <c r="E42" s="743">
        <v>21024</v>
      </c>
      <c r="F42" s="743"/>
      <c r="G42" s="743"/>
      <c r="H42" s="743">
        <v>17061</v>
      </c>
      <c r="I42" s="1778">
        <f t="shared" si="1"/>
        <v>3963</v>
      </c>
      <c r="J42" s="744">
        <v>3963</v>
      </c>
      <c r="K42" s="745"/>
    </row>
    <row r="43" spans="1:11" ht="12" customHeight="1" x14ac:dyDescent="0.2">
      <c r="A43" s="733" t="s">
        <v>2099</v>
      </c>
      <c r="B43" s="734">
        <v>42195</v>
      </c>
      <c r="C43" s="735">
        <v>83550</v>
      </c>
      <c r="D43" s="742">
        <v>7</v>
      </c>
      <c r="E43" s="743">
        <v>43399</v>
      </c>
      <c r="F43" s="743"/>
      <c r="G43" s="743"/>
      <c r="H43" s="743">
        <v>19391</v>
      </c>
      <c r="I43" s="1778">
        <f t="shared" si="1"/>
        <v>24008</v>
      </c>
      <c r="J43" s="744">
        <v>24008</v>
      </c>
      <c r="K43" s="745"/>
    </row>
    <row r="44" spans="1:11" ht="12" customHeight="1" x14ac:dyDescent="0.2">
      <c r="A44" s="733" t="s">
        <v>2099</v>
      </c>
      <c r="B44" s="734">
        <v>42561</v>
      </c>
      <c r="C44" s="735">
        <v>46733</v>
      </c>
      <c r="D44" s="736">
        <v>7</v>
      </c>
      <c r="E44" s="735">
        <v>31690</v>
      </c>
      <c r="F44" s="735"/>
      <c r="G44" s="735"/>
      <c r="H44" s="735">
        <v>13150</v>
      </c>
      <c r="I44" s="1778">
        <f t="shared" si="1"/>
        <v>18540</v>
      </c>
      <c r="J44" s="735">
        <v>18540</v>
      </c>
      <c r="K44" s="738"/>
    </row>
    <row r="45" spans="1:11" ht="12" customHeight="1" x14ac:dyDescent="0.2">
      <c r="A45" s="733" t="s">
        <v>2099</v>
      </c>
      <c r="B45" s="734">
        <v>42561</v>
      </c>
      <c r="C45" s="735">
        <v>58142</v>
      </c>
      <c r="D45" s="736">
        <v>7</v>
      </c>
      <c r="E45" s="735">
        <v>43199</v>
      </c>
      <c r="F45" s="735"/>
      <c r="G45" s="735"/>
      <c r="H45" s="735">
        <v>12576</v>
      </c>
      <c r="I45" s="1778">
        <f t="shared" si="1"/>
        <v>30623</v>
      </c>
      <c r="J45" s="735">
        <v>30623</v>
      </c>
      <c r="K45" s="738"/>
    </row>
    <row r="46" spans="1:11" ht="12" customHeight="1" x14ac:dyDescent="0.2">
      <c r="A46" s="733" t="s">
        <v>2100</v>
      </c>
      <c r="B46" s="734">
        <v>42573</v>
      </c>
      <c r="C46" s="735">
        <v>90581</v>
      </c>
      <c r="D46" s="736">
        <v>7</v>
      </c>
      <c r="E46" s="735">
        <v>7625</v>
      </c>
      <c r="F46" s="735"/>
      <c r="G46" s="735"/>
      <c r="H46" s="735">
        <v>7625</v>
      </c>
      <c r="I46" s="1778">
        <f t="shared" si="1"/>
        <v>0</v>
      </c>
      <c r="J46" s="735">
        <v>0</v>
      </c>
      <c r="K46" s="738"/>
    </row>
    <row r="47" spans="1:11" ht="12" customHeight="1" x14ac:dyDescent="0.2">
      <c r="A47" s="733" t="s">
        <v>2100</v>
      </c>
      <c r="B47" s="734">
        <v>42969</v>
      </c>
      <c r="C47" s="739">
        <v>39473</v>
      </c>
      <c r="D47" s="736">
        <v>7</v>
      </c>
      <c r="E47" s="739"/>
      <c r="F47" s="739">
        <v>39473</v>
      </c>
      <c r="G47" s="739"/>
      <c r="H47" s="739"/>
      <c r="I47" s="1778">
        <f t="shared" si="1"/>
        <v>39473</v>
      </c>
      <c r="J47" s="739">
        <v>39473</v>
      </c>
      <c r="K47" s="738"/>
    </row>
    <row r="48" spans="1:11" ht="12" customHeight="1" x14ac:dyDescent="0.2">
      <c r="A48" s="733" t="s">
        <v>2101</v>
      </c>
      <c r="B48" s="734"/>
      <c r="C48" s="735">
        <v>272190</v>
      </c>
      <c r="D48" s="736">
        <v>7</v>
      </c>
      <c r="E48" s="735"/>
      <c r="F48" s="735">
        <v>272190</v>
      </c>
      <c r="G48" s="735"/>
      <c r="H48" s="735">
        <v>34705</v>
      </c>
      <c r="I48" s="1778">
        <f t="shared" si="1"/>
        <v>237485</v>
      </c>
      <c r="J48" s="735">
        <v>237485</v>
      </c>
      <c r="K48" s="738"/>
    </row>
    <row r="49" spans="1:11" ht="12" customHeight="1" x14ac:dyDescent="0.2">
      <c r="A49" s="733"/>
      <c r="B49" s="734"/>
      <c r="C49" s="1778">
        <f>SUM(C31:C48)</f>
        <v>29256277</v>
      </c>
      <c r="D49" s="746"/>
      <c r="E49" s="1778">
        <f t="shared" ref="E49:J49" si="2">SUM(E31:E48)</f>
        <v>25137221</v>
      </c>
      <c r="F49" s="1778">
        <f t="shared" si="2"/>
        <v>311663</v>
      </c>
      <c r="G49" s="1778">
        <f t="shared" si="2"/>
        <v>0</v>
      </c>
      <c r="H49" s="1778">
        <f t="shared" si="2"/>
        <v>2975856</v>
      </c>
      <c r="I49" s="1778">
        <f t="shared" si="2"/>
        <v>22473028</v>
      </c>
      <c r="J49" s="1778">
        <f t="shared" si="2"/>
        <v>20710037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2138</v>
      </c>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59"/>
  <sheetViews>
    <sheetView showGridLines="0" defaultGridColor="0" colorId="8" zoomScaleNormal="100" workbookViewId="0">
      <selection activeCell="A13" sqref="A13:H1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2036</v>
      </c>
      <c r="D2" s="724" t="s">
        <v>2043</v>
      </c>
      <c r="E2" s="724" t="s">
        <v>2044</v>
      </c>
      <c r="F2" s="1909" t="s">
        <v>2037</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2099</v>
      </c>
      <c r="B31" s="734">
        <v>42969</v>
      </c>
      <c r="C31" s="735">
        <v>47665</v>
      </c>
      <c r="D31" s="736">
        <v>7</v>
      </c>
      <c r="E31" s="735"/>
      <c r="F31" s="735">
        <v>47665</v>
      </c>
      <c r="G31" s="735"/>
      <c r="H31" s="735"/>
      <c r="I31" s="1778">
        <f>((E31+F31)-H31)+G31</f>
        <v>47665</v>
      </c>
      <c r="J31" s="735">
        <v>47665</v>
      </c>
      <c r="K31" s="737"/>
    </row>
    <row r="32" spans="1:11" ht="12" customHeight="1" x14ac:dyDescent="0.2">
      <c r="A32" s="733" t="s">
        <v>2099</v>
      </c>
      <c r="B32" s="734">
        <v>42969</v>
      </c>
      <c r="C32" s="735">
        <v>177570</v>
      </c>
      <c r="D32" s="736">
        <v>7</v>
      </c>
      <c r="E32" s="735"/>
      <c r="F32" s="735">
        <v>177570</v>
      </c>
      <c r="G32" s="735"/>
      <c r="H32" s="735"/>
      <c r="I32" s="1778">
        <f>((E32+F32)-H32)+G32</f>
        <v>177570</v>
      </c>
      <c r="J32" s="735">
        <v>177570</v>
      </c>
      <c r="K32" s="737"/>
    </row>
    <row r="33" spans="1:11" ht="12" customHeight="1" x14ac:dyDescent="0.2">
      <c r="A33" s="733" t="s">
        <v>2099</v>
      </c>
      <c r="B33" s="734">
        <v>43035</v>
      </c>
      <c r="C33" s="735">
        <v>12250</v>
      </c>
      <c r="D33" s="736">
        <v>7</v>
      </c>
      <c r="E33" s="735"/>
      <c r="F33" s="735">
        <v>12250</v>
      </c>
      <c r="G33" s="735"/>
      <c r="H33" s="735"/>
      <c r="I33" s="1778">
        <f t="shared" ref="I33:I48" si="1">((E33+F33)-H33)+G33</f>
        <v>12250</v>
      </c>
      <c r="J33" s="735">
        <v>12250</v>
      </c>
      <c r="K33" s="737"/>
    </row>
    <row r="34" spans="1:11" ht="12" customHeight="1" x14ac:dyDescent="0.2">
      <c r="A34" s="733" t="s">
        <v>2100</v>
      </c>
      <c r="B34" s="734">
        <v>43154</v>
      </c>
      <c r="C34" s="735">
        <v>34705</v>
      </c>
      <c r="D34" s="736">
        <v>7</v>
      </c>
      <c r="E34" s="735"/>
      <c r="F34" s="735">
        <v>34705</v>
      </c>
      <c r="G34" s="735"/>
      <c r="H34" s="735">
        <v>34705</v>
      </c>
      <c r="I34" s="1778">
        <f t="shared" si="1"/>
        <v>0</v>
      </c>
      <c r="J34" s="735">
        <v>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272190</v>
      </c>
      <c r="D49" s="746"/>
      <c r="E49" s="1778">
        <f t="shared" ref="E49:J49" si="2">SUM(E31:E48)</f>
        <v>0</v>
      </c>
      <c r="F49" s="1778">
        <f t="shared" si="2"/>
        <v>272190</v>
      </c>
      <c r="G49" s="1778">
        <f t="shared" si="2"/>
        <v>0</v>
      </c>
      <c r="H49" s="1778">
        <f t="shared" si="2"/>
        <v>34705</v>
      </c>
      <c r="I49" s="1778">
        <f t="shared" si="2"/>
        <v>237485</v>
      </c>
      <c r="J49" s="1778">
        <f t="shared" si="2"/>
        <v>237485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2138</v>
      </c>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F53:G53"/>
    <mergeCell ref="F54:G54"/>
    <mergeCell ref="A25:B25"/>
    <mergeCell ref="A26:B26"/>
    <mergeCell ref="A27:B27"/>
    <mergeCell ref="A29:B29"/>
    <mergeCell ref="B52:D52"/>
    <mergeCell ref="F52:G52"/>
    <mergeCell ref="A24:B24"/>
    <mergeCell ref="C24:F24"/>
    <mergeCell ref="A15:B15"/>
    <mergeCell ref="A16:B16"/>
    <mergeCell ref="C16:F16"/>
    <mergeCell ref="A17:B17"/>
    <mergeCell ref="A18:B18"/>
    <mergeCell ref="A19:B19"/>
    <mergeCell ref="A20:B20"/>
    <mergeCell ref="A21:B21"/>
    <mergeCell ref="A22:B22"/>
    <mergeCell ref="C22:F22"/>
    <mergeCell ref="A23:B23"/>
    <mergeCell ref="A5:B5"/>
    <mergeCell ref="C5:F5"/>
    <mergeCell ref="A1:B1"/>
    <mergeCell ref="A2:B2"/>
    <mergeCell ref="A3:B3"/>
    <mergeCell ref="C3:F3"/>
    <mergeCell ref="A4:B4"/>
  </mergeCells>
  <dataValidations count="2">
    <dataValidation operator="greaterThan" allowBlank="1" showInputMessage="1" showErrorMessage="1" sqref="A1"/>
    <dataValidation type="whole" operator="greaterThan" allowBlank="1" showInputMessage="1" showErrorMessage="1" sqref="C31:C48 E31:E48 H31:H48">
      <formula1>0</formula1>
    </dataValidation>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3" sqref="A13:H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278062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14965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278062</v>
      </c>
      <c r="I12" s="1780">
        <f>SUM(I5:I11)</f>
        <v>0</v>
      </c>
      <c r="J12" s="1780">
        <f>SUM(J5:J11)</f>
        <v>0</v>
      </c>
      <c r="K12" s="1780">
        <f>SUM(K5:K11)</f>
        <v>14965</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2024</v>
      </c>
      <c r="B24" s="2266"/>
      <c r="C24" s="2266"/>
      <c r="D24" s="2266"/>
      <c r="E24" s="2266"/>
      <c r="F24" s="1784"/>
      <c r="G24" s="1785">
        <f>SUM(G3,G12)-G23</f>
        <v>0</v>
      </c>
      <c r="H24" s="1785">
        <f>SUM(H3,H12)-H23</f>
        <v>278062</v>
      </c>
      <c r="I24" s="1785">
        <f>SUM(I3,I12)-I23</f>
        <v>0</v>
      </c>
      <c r="J24" s="1785">
        <f>SUM(J3,J12)-J23</f>
        <v>0</v>
      </c>
      <c r="K24" s="1785">
        <f>SUM(K3,K12)-K23</f>
        <v>14965</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278062</v>
      </c>
      <c r="I26" s="1780">
        <f>I24-I25</f>
        <v>0</v>
      </c>
      <c r="J26" s="1780">
        <f>J24-J25</f>
        <v>0</v>
      </c>
      <c r="K26" s="1780">
        <f>K24-K25</f>
        <v>14965</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3" sqref="A13:H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280173</v>
      </c>
      <c r="D5" s="842"/>
      <c r="E5" s="842"/>
      <c r="F5" s="1782">
        <f>(C5+D5)-E5</f>
        <v>280173</v>
      </c>
      <c r="G5" s="838"/>
      <c r="H5" s="843"/>
      <c r="I5" s="843"/>
      <c r="J5" s="843"/>
      <c r="K5" s="794"/>
      <c r="L5" s="1791">
        <f>F5-K5</f>
        <v>280173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88980619</v>
      </c>
      <c r="D8" s="845"/>
      <c r="E8" s="845"/>
      <c r="F8" s="1782">
        <f>(C8+D8)-E8</f>
        <v>88980619</v>
      </c>
      <c r="G8" s="844">
        <v>50</v>
      </c>
      <c r="H8" s="766">
        <v>29658190</v>
      </c>
      <c r="I8" s="766">
        <v>1750958</v>
      </c>
      <c r="J8" s="766"/>
      <c r="K8" s="1791">
        <f>(H8+I8)-J8</f>
        <v>31409148</v>
      </c>
      <c r="L8" s="1791">
        <f>F8-K8</f>
        <v>57571471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10680334</v>
      </c>
      <c r="D10" s="847">
        <v>895337</v>
      </c>
      <c r="E10" s="847"/>
      <c r="F10" s="1786">
        <f>(C10+D10)-E10</f>
        <v>11575671</v>
      </c>
      <c r="G10" s="844">
        <v>20</v>
      </c>
      <c r="H10" s="848">
        <v>3871430</v>
      </c>
      <c r="I10" s="848">
        <v>604172</v>
      </c>
      <c r="J10" s="848"/>
      <c r="K10" s="1791">
        <f>(H10+I10)-J10</f>
        <v>4475602</v>
      </c>
      <c r="L10" s="1791">
        <f>F10-K10</f>
        <v>7100069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7480212</v>
      </c>
      <c r="D12" s="845">
        <v>11292</v>
      </c>
      <c r="E12" s="845"/>
      <c r="F12" s="1782">
        <f>(C12+D12)-E12</f>
        <v>7491504</v>
      </c>
      <c r="G12" s="844">
        <v>10</v>
      </c>
      <c r="H12" s="766">
        <v>7029284</v>
      </c>
      <c r="I12" s="766">
        <v>80250</v>
      </c>
      <c r="J12" s="766"/>
      <c r="K12" s="1791">
        <f>(H12+I12)-J12</f>
        <v>7109534</v>
      </c>
      <c r="L12" s="1791">
        <f>F12-K12</f>
        <v>381970</v>
      </c>
    </row>
    <row r="13" spans="1:14" ht="14.25" thickTop="1" thickBot="1" x14ac:dyDescent="0.25">
      <c r="A13" s="849" t="s">
        <v>1184</v>
      </c>
      <c r="B13" s="841">
        <v>252</v>
      </c>
      <c r="C13" s="845">
        <v>3278511</v>
      </c>
      <c r="D13" s="845">
        <v>2347523</v>
      </c>
      <c r="E13" s="845">
        <v>2372340</v>
      </c>
      <c r="F13" s="1782">
        <f>(C13+D13)-E13</f>
        <v>3253694</v>
      </c>
      <c r="G13" s="844">
        <v>5</v>
      </c>
      <c r="H13" s="766">
        <v>900249</v>
      </c>
      <c r="I13" s="766">
        <v>529348</v>
      </c>
      <c r="J13" s="766">
        <v>474468</v>
      </c>
      <c r="K13" s="1791">
        <f>(H13+I13)-J13</f>
        <v>955129</v>
      </c>
      <c r="L13" s="1791">
        <f>F13-K13</f>
        <v>2298565</v>
      </c>
    </row>
    <row r="14" spans="1:14" ht="14.25" thickTop="1" thickBot="1" x14ac:dyDescent="0.25">
      <c r="A14" s="849" t="s">
        <v>1185</v>
      </c>
      <c r="B14" s="841">
        <v>253</v>
      </c>
      <c r="C14" s="766">
        <v>130015</v>
      </c>
      <c r="D14" s="766"/>
      <c r="E14" s="766"/>
      <c r="F14" s="1782">
        <f>(C14+D14)-E14</f>
        <v>130015</v>
      </c>
      <c r="G14" s="844">
        <v>3</v>
      </c>
      <c r="H14" s="766">
        <v>130015</v>
      </c>
      <c r="I14" s="766">
        <v>0</v>
      </c>
      <c r="J14" s="766"/>
      <c r="K14" s="1791">
        <f>(H14+I14)-J14</f>
        <v>130015</v>
      </c>
      <c r="L14" s="1791">
        <f>F14-K14</f>
        <v>0</v>
      </c>
    </row>
    <row r="15" spans="1:14" ht="15" customHeight="1" thickTop="1" thickBot="1" x14ac:dyDescent="0.25">
      <c r="A15" s="1653" t="s">
        <v>549</v>
      </c>
      <c r="B15" s="1652">
        <v>260</v>
      </c>
      <c r="C15" s="845">
        <v>326076</v>
      </c>
      <c r="D15" s="845">
        <v>2337275</v>
      </c>
      <c r="E15" s="845">
        <v>895337</v>
      </c>
      <c r="F15" s="1782">
        <f>(C15+D15)-E15</f>
        <v>1768014</v>
      </c>
      <c r="G15" s="850" t="s">
        <v>917</v>
      </c>
      <c r="H15" s="782"/>
      <c r="I15" s="782"/>
      <c r="J15" s="782"/>
      <c r="K15" s="782"/>
      <c r="L15" s="1791">
        <f>F15-K15</f>
        <v>1768014</v>
      </c>
    </row>
    <row r="16" spans="1:14" ht="15" customHeight="1" thickTop="1" thickBot="1" x14ac:dyDescent="0.25">
      <c r="A16" s="1787" t="s">
        <v>664</v>
      </c>
      <c r="B16" s="1788">
        <v>200</v>
      </c>
      <c r="C16" s="1782">
        <f>SUM(C3,C5:C6,C8:C10,C12:C15)</f>
        <v>111155940</v>
      </c>
      <c r="D16" s="1782">
        <f>SUM(D3,D5:D6,D8:D10,D12:D15)</f>
        <v>5591427</v>
      </c>
      <c r="E16" s="1782">
        <f>SUM(E3,E5:E6,E8:E10,E12:E15)</f>
        <v>3267677</v>
      </c>
      <c r="F16" s="1782">
        <f>SUM(F3,F5:F6,F8:F10,F12:F15)</f>
        <v>113479690</v>
      </c>
      <c r="G16" s="844"/>
      <c r="H16" s="1782">
        <f>SUM(H3,H6,H8:H10,H12:H14,)</f>
        <v>41589168</v>
      </c>
      <c r="I16" s="1782">
        <f>SUM(I3,I6,I8:I10,I12:I14,)</f>
        <v>2964728</v>
      </c>
      <c r="J16" s="1782">
        <f>SUM(J3,J6,J8:J10,J12:J14,)</f>
        <v>474468</v>
      </c>
      <c r="K16" s="1782">
        <f>(H16+I16)-J16</f>
        <v>44079428</v>
      </c>
      <c r="L16" s="1782">
        <f>F16-K16</f>
        <v>69400262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134</v>
      </c>
      <c r="G17" s="838">
        <v>10</v>
      </c>
      <c r="H17" s="770"/>
      <c r="I17" s="1791">
        <f>F17/G17</f>
        <v>13.4</v>
      </c>
      <c r="J17" s="770"/>
      <c r="K17" s="796"/>
      <c r="L17" s="796"/>
    </row>
    <row r="18" spans="1:12" ht="14.25" thickTop="1" thickBot="1" x14ac:dyDescent="0.25">
      <c r="A18" s="1789" t="s">
        <v>706</v>
      </c>
      <c r="B18" s="1790"/>
      <c r="C18" s="772"/>
      <c r="D18" s="772"/>
      <c r="E18" s="772"/>
      <c r="F18" s="851"/>
      <c r="G18" s="852"/>
      <c r="H18" s="774"/>
      <c r="I18" s="1782">
        <f>SUM(I16,I17)</f>
        <v>2964741.4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A13" sqref="A13:H13"/>
      <selection pane="bottomLeft" activeCell="A13" sqref="A13:H1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17397616</v>
      </c>
      <c r="G8" s="866"/>
    </row>
    <row r="9" spans="1:7" x14ac:dyDescent="0.2">
      <c r="A9" s="870" t="s">
        <v>480</v>
      </c>
      <c r="B9" s="871" t="s">
        <v>1988</v>
      </c>
      <c r="C9" s="872"/>
      <c r="D9" s="870" t="s">
        <v>522</v>
      </c>
      <c r="E9" s="869"/>
      <c r="F9" s="1935">
        <f>'Expenditures 15-22'!K151</f>
        <v>3122361</v>
      </c>
      <c r="G9" s="873"/>
    </row>
    <row r="10" spans="1:7" x14ac:dyDescent="0.2">
      <c r="A10" s="870" t="s">
        <v>520</v>
      </c>
      <c r="B10" s="871" t="s">
        <v>1989</v>
      </c>
      <c r="C10" s="872"/>
      <c r="D10" s="870" t="s">
        <v>522</v>
      </c>
      <c r="E10" s="869"/>
      <c r="F10" s="1935">
        <f>'Expenditures 15-22'!K174</f>
        <v>3779481</v>
      </c>
      <c r="G10" s="873"/>
    </row>
    <row r="11" spans="1:7" x14ac:dyDescent="0.2">
      <c r="A11" s="870" t="s">
        <v>481</v>
      </c>
      <c r="B11" s="871" t="s">
        <v>1990</v>
      </c>
      <c r="C11" s="872"/>
      <c r="D11" s="870" t="s">
        <v>522</v>
      </c>
      <c r="E11" s="869"/>
      <c r="F11" s="1935">
        <f>'Expenditures 15-22'!K210</f>
        <v>3043265</v>
      </c>
      <c r="G11" s="873"/>
    </row>
    <row r="12" spans="1:7" x14ac:dyDescent="0.2">
      <c r="A12" s="870" t="s">
        <v>482</v>
      </c>
      <c r="B12" s="871" t="s">
        <v>1991</v>
      </c>
      <c r="C12" s="872"/>
      <c r="D12" s="870" t="s">
        <v>522</v>
      </c>
      <c r="E12" s="869"/>
      <c r="F12" s="1935">
        <f>'Expenditures 15-22'!K295</f>
        <v>780909</v>
      </c>
      <c r="G12" s="873"/>
    </row>
    <row r="13" spans="1:7" x14ac:dyDescent="0.2">
      <c r="A13" s="870" t="s">
        <v>108</v>
      </c>
      <c r="B13" s="871" t="s">
        <v>1992</v>
      </c>
      <c r="C13" s="872"/>
      <c r="D13" s="870" t="s">
        <v>522</v>
      </c>
      <c r="E13" s="869"/>
      <c r="F13" s="1935">
        <f>'Expenditures 15-22'!K342</f>
        <v>661134</v>
      </c>
      <c r="G13" s="874"/>
    </row>
    <row r="14" spans="1:7" ht="12" customHeight="1" thickBot="1" x14ac:dyDescent="0.25">
      <c r="A14" s="1792"/>
      <c r="B14" s="1793"/>
      <c r="C14" s="1794"/>
      <c r="D14" s="1795" t="s">
        <v>522</v>
      </c>
      <c r="E14" s="1796" t="s">
        <v>1015</v>
      </c>
      <c r="F14" s="1797">
        <f>SUM(F8:F13)</f>
        <v>28784766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108620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140565</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21887</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182174</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89</v>
      </c>
      <c r="G52" s="866"/>
    </row>
    <row r="53" spans="1:7" x14ac:dyDescent="0.2">
      <c r="A53" s="870" t="s">
        <v>479</v>
      </c>
      <c r="B53" s="870" t="s">
        <v>1551</v>
      </c>
      <c r="C53" s="890">
        <f>'Expenditures 15-22'!B102</f>
        <v>4000</v>
      </c>
      <c r="D53" s="889" t="str">
        <f>'Expenditures 15-22'!A102</f>
        <v>Total Payments to Other Govt Units</v>
      </c>
      <c r="E53" s="869"/>
      <c r="F53" s="1939">
        <f>'Expenditures 15-22'!K102</f>
        <v>81295</v>
      </c>
      <c r="G53" s="866"/>
    </row>
    <row r="54" spans="1:7" x14ac:dyDescent="0.2">
      <c r="A54" s="870" t="s">
        <v>479</v>
      </c>
      <c r="B54" s="870" t="s">
        <v>1552</v>
      </c>
      <c r="C54" s="890" t="s">
        <v>1039</v>
      </c>
      <c r="D54" s="886" t="s">
        <v>1157</v>
      </c>
      <c r="E54" s="869"/>
      <c r="F54" s="1939">
        <f>'Expenditures 15-22'!G114</f>
        <v>6311</v>
      </c>
      <c r="G54" s="866"/>
    </row>
    <row r="55" spans="1:7" x14ac:dyDescent="0.2">
      <c r="A55" s="870" t="s">
        <v>479</v>
      </c>
      <c r="B55" s="870" t="s">
        <v>1553</v>
      </c>
      <c r="C55" s="890" t="s">
        <v>1039</v>
      </c>
      <c r="D55" s="886" t="s">
        <v>309</v>
      </c>
      <c r="E55" s="869"/>
      <c r="F55" s="1939">
        <f>'Expenditures 15-22'!I114</f>
        <v>134</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838824</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2810000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2341212</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5239</v>
      </c>
      <c r="G67" s="866"/>
    </row>
    <row r="68" spans="1:8" x14ac:dyDescent="0.2">
      <c r="A68" s="870" t="s">
        <v>482</v>
      </c>
      <c r="B68" s="870" t="s">
        <v>1555</v>
      </c>
      <c r="C68" s="887" t="str">
        <f>'Expenditures 15-22'!B218</f>
        <v>1225</v>
      </c>
      <c r="D68" s="893" t="str">
        <f>'Expenditures 15-22'!A218</f>
        <v>Special Education Programs - Pre-K</v>
      </c>
      <c r="E68" s="869"/>
      <c r="F68" s="1939">
        <f>'Expenditures 15-22'!K218</f>
        <v>6952</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1433</v>
      </c>
      <c r="G71" s="866"/>
    </row>
    <row r="72" spans="1:8" x14ac:dyDescent="0.2">
      <c r="A72" s="870" t="s">
        <v>482</v>
      </c>
      <c r="B72" s="870" t="s">
        <v>2007</v>
      </c>
      <c r="C72" s="887">
        <f>'Expenditures 15-22'!B280</f>
        <v>3000</v>
      </c>
      <c r="D72" s="877" t="s">
        <v>469</v>
      </c>
      <c r="E72" s="869"/>
      <c r="F72" s="1939">
        <f>'Expenditures 15-22'!K280</f>
        <v>11</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6544746</v>
      </c>
      <c r="G76" s="866"/>
    </row>
    <row r="77" spans="1:8" s="894" customFormat="1" ht="12" customHeight="1" thickTop="1" thickBot="1" x14ac:dyDescent="0.25">
      <c r="A77" s="1801"/>
      <c r="B77" s="1798"/>
      <c r="C77" s="1794"/>
      <c r="D77" s="1799" t="s">
        <v>2011</v>
      </c>
      <c r="E77" s="1796"/>
      <c r="F77" s="1802">
        <f>(F14-F76)</f>
        <v>22240020</v>
      </c>
      <c r="G77" s="870"/>
    </row>
    <row r="78" spans="1:8" s="894" customFormat="1" ht="12" customHeight="1" thickTop="1" x14ac:dyDescent="0.2">
      <c r="A78" s="1803"/>
      <c r="B78" s="1798"/>
      <c r="C78" s="1794"/>
      <c r="D78" s="1799" t="s">
        <v>2057</v>
      </c>
      <c r="E78" s="1796"/>
      <c r="F78" s="899">
        <v>1342.52</v>
      </c>
      <c r="G78" s="900"/>
      <c r="H78" s="870"/>
    </row>
    <row r="79" spans="1:8" s="894" customFormat="1" ht="12" customHeight="1" thickBot="1" x14ac:dyDescent="0.25">
      <c r="A79" s="1804"/>
      <c r="B79" s="1798"/>
      <c r="C79" s="1794"/>
      <c r="D79" s="1799" t="s">
        <v>2012</v>
      </c>
      <c r="E79" s="1796" t="s">
        <v>1015</v>
      </c>
      <c r="F79" s="1805">
        <f>IF(F78&gt;0,F77/F78," Complete Line 78")</f>
        <v>16565.876113577451</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345049</v>
      </c>
      <c r="G94" s="913"/>
    </row>
    <row r="95" spans="1:7" x14ac:dyDescent="0.2">
      <c r="A95" s="909" t="s">
        <v>142</v>
      </c>
      <c r="B95" s="909" t="s">
        <v>177</v>
      </c>
      <c r="C95" s="911">
        <v>1700</v>
      </c>
      <c r="D95" s="919" t="str">
        <f>'Revenues 9-14'!A82</f>
        <v>Total District/School Activity Income</v>
      </c>
      <c r="E95" s="907"/>
      <c r="F95" s="1811">
        <f>SUM('Revenues 9-14'!C82,'Revenues 9-14'!D82)</f>
        <v>25165</v>
      </c>
      <c r="G95" s="913"/>
    </row>
    <row r="96" spans="1:7" x14ac:dyDescent="0.2">
      <c r="A96" s="909" t="s">
        <v>479</v>
      </c>
      <c r="B96" s="909" t="s">
        <v>178</v>
      </c>
      <c r="C96" s="911">
        <f>'Revenues 9-14'!B84</f>
        <v>1811</v>
      </c>
      <c r="D96" s="912" t="str">
        <f>'Revenues 9-14'!A84</f>
        <v>Rentals - Regular Textbooks</v>
      </c>
      <c r="E96" s="907"/>
      <c r="F96" s="1811">
        <f>'Revenues 9-14'!C84</f>
        <v>129583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309604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5155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1581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417824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5502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147924</v>
      </c>
      <c r="G129" s="931"/>
    </row>
    <row r="130" spans="1:7" x14ac:dyDescent="0.2">
      <c r="A130" s="928" t="s">
        <v>689</v>
      </c>
      <c r="B130" s="928" t="s">
        <v>804</v>
      </c>
      <c r="C130" s="933">
        <v>4300</v>
      </c>
      <c r="D130" s="934" t="str">
        <f>'Revenues 9-14'!A211</f>
        <v>Total Title I</v>
      </c>
      <c r="E130" s="907"/>
      <c r="F130" s="1811">
        <f>SUM('Revenues 9-14'!C211,'Revenues 9-14'!D211,'Revenues 9-14'!F211,'Revenues 9-14'!G211)</f>
        <v>93287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798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310083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53585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147365</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147365</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27427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16507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42874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22800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2102113</v>
      </c>
    </row>
    <row r="179" spans="1:7" ht="12" customHeight="1" x14ac:dyDescent="0.2">
      <c r="A179" s="1792"/>
      <c r="B179" s="1806"/>
      <c r="C179" s="1807"/>
      <c r="D179" s="1808" t="s">
        <v>2014</v>
      </c>
      <c r="E179" s="1809"/>
      <c r="F179" s="1811">
        <f>'PCTC-OEPP 27-28'!F77-F178</f>
        <v>20137907</v>
      </c>
    </row>
    <row r="180" spans="1:7" ht="12" customHeight="1" x14ac:dyDescent="0.2">
      <c r="A180" s="1792"/>
      <c r="B180" s="1806"/>
      <c r="C180" s="1807"/>
      <c r="D180" s="1808" t="s">
        <v>1924</v>
      </c>
      <c r="E180" s="1809"/>
      <c r="F180" s="1811">
        <f>'Cap Outlay Deprec 26'!I18</f>
        <v>2964741.4</v>
      </c>
    </row>
    <row r="181" spans="1:7" ht="12" customHeight="1" x14ac:dyDescent="0.2">
      <c r="A181" s="1792"/>
      <c r="B181" s="1806"/>
      <c r="C181" s="1807"/>
      <c r="D181" s="1808" t="s">
        <v>2015</v>
      </c>
      <c r="E181" s="1809"/>
      <c r="F181" s="1811">
        <f>F179+F180</f>
        <v>23102648.399999999</v>
      </c>
    </row>
    <row r="182" spans="1:7" ht="12" customHeight="1" x14ac:dyDescent="0.2">
      <c r="A182" s="1792"/>
      <c r="B182" s="1812"/>
      <c r="C182" s="1807"/>
      <c r="D182" s="1808" t="str">
        <f>D78</f>
        <v>9 Month ADA from District Average Daily Attendance/Prior General State Aid Inquiry 2017-2018</v>
      </c>
      <c r="E182" s="1809"/>
      <c r="F182" s="1813">
        <f>'PCTC-OEPP 27-28'!F78</f>
        <v>1342.52</v>
      </c>
      <c r="G182" s="931"/>
    </row>
    <row r="183" spans="1:7" ht="12" customHeight="1" thickBot="1" x14ac:dyDescent="0.25">
      <c r="A183" s="1792"/>
      <c r="B183" s="1812"/>
      <c r="C183" s="1807"/>
      <c r="D183" s="1808" t="s">
        <v>2016</v>
      </c>
      <c r="E183" s="1809" t="s">
        <v>1626</v>
      </c>
      <c r="F183" s="1814">
        <f>F181/F182</f>
        <v>17208.420284241576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activeCell="A13" sqref="A13:H13"/>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2145</v>
      </c>
      <c r="B17" s="1958" t="s">
        <v>2159</v>
      </c>
      <c r="C17" s="1959" t="s">
        <v>2146</v>
      </c>
      <c r="D17" s="1867">
        <v>44472</v>
      </c>
      <c r="E17" s="1562">
        <f t="shared" ref="E17:E141" si="1">IF(D17&lt;=25000,D17,IF(D17&gt;25000,25000,0))</f>
        <v>25000</v>
      </c>
      <c r="F17" s="1815">
        <f t="shared" si="0"/>
        <v>25000</v>
      </c>
      <c r="G17" s="1816">
        <f>IF(F17=0,0,D17-F17)</f>
        <v>19472</v>
      </c>
      <c r="H17" s="1669"/>
    </row>
    <row r="18" spans="1:8" ht="30" x14ac:dyDescent="0.25">
      <c r="A18" s="1957" t="s">
        <v>2149</v>
      </c>
      <c r="B18" s="1958" t="s">
        <v>2147</v>
      </c>
      <c r="C18" s="1959" t="s">
        <v>2152</v>
      </c>
      <c r="D18" s="1867">
        <v>7189</v>
      </c>
      <c r="E18" s="1562">
        <f t="shared" ref="E18:E140" si="2">IF(D18&lt;=25000,D18,IF(D18&gt;25000,25000,0))</f>
        <v>7189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7" t="s">
        <v>2150</v>
      </c>
      <c r="B19" s="1958" t="s">
        <v>2160</v>
      </c>
      <c r="C19" s="1959" t="s">
        <v>2148</v>
      </c>
      <c r="D19" s="1867">
        <v>53300</v>
      </c>
      <c r="E19" s="1562">
        <f t="shared" si="2"/>
        <v>25000</v>
      </c>
      <c r="F19" s="1815">
        <f t="shared" si="3"/>
        <v>25000</v>
      </c>
      <c r="G19" s="1816">
        <f t="shared" si="4"/>
        <v>28300</v>
      </c>
    </row>
    <row r="20" spans="1:8" x14ac:dyDescent="0.25">
      <c r="A20" s="1957" t="s">
        <v>2150</v>
      </c>
      <c r="B20" s="1958" t="s">
        <v>2160</v>
      </c>
      <c r="C20" s="1959" t="s">
        <v>2151</v>
      </c>
      <c r="D20" s="1867">
        <v>30762</v>
      </c>
      <c r="E20" s="1562">
        <f t="shared" si="2"/>
        <v>25000</v>
      </c>
      <c r="F20" s="1815">
        <f t="shared" si="3"/>
        <v>25000</v>
      </c>
      <c r="G20" s="1816">
        <f t="shared" si="4"/>
        <v>5762</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135723</v>
      </c>
      <c r="E141" s="1563">
        <f t="shared" si="1"/>
        <v>25000</v>
      </c>
      <c r="F141" s="1817">
        <f>SUM(F17:F140)</f>
        <v>75000</v>
      </c>
      <c r="G141" s="1818">
        <f>SUM(G17:G140)</f>
        <v>53534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colorId="8" zoomScale="60" zoomScaleNormal="11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6" t="s">
        <v>1944</v>
      </c>
      <c r="B11" s="2307"/>
      <c r="C11" s="2307"/>
      <c r="D11" s="2308"/>
      <c r="E11" s="978">
        <v>41270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13258301</v>
      </c>
      <c r="F19" s="1822"/>
      <c r="G19" s="1824">
        <f>'Expenditures 15-22'!K33-SUM('Expenditures 15-22'!G33,'Expenditures 15-22'!I33)+'Expenditures 15-22'!D229</f>
        <v>13258301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1229837</v>
      </c>
      <c r="F21" s="1825"/>
      <c r="G21" s="1828">
        <f>'Expenditures 15-22'!K42-SUM('Expenditures 15-22'!G42,'Expenditures 15-22'!I42)+'Expenditures 15-22'!K120-SUM('Expenditures 15-22'!G120,'Expenditures 15-22'!I120)+'Expenditures 15-22'!K180-SUM('Expenditures 15-22'!G180,'Expenditures 15-22'!I180)+'Expenditures 15-22'!D238</f>
        <v>1229837</v>
      </c>
      <c r="H21" s="988"/>
      <c r="I21" s="162"/>
    </row>
    <row r="22" spans="1:9" s="669" customFormat="1" ht="12" customHeight="1" x14ac:dyDescent="0.2">
      <c r="A22" s="995" t="s">
        <v>585</v>
      </c>
      <c r="B22" s="996"/>
      <c r="C22" s="994">
        <v>2200</v>
      </c>
      <c r="D22" s="1825"/>
      <c r="E22" s="1827">
        <f>'Expenditures 15-22'!K47-SUM('Expenditures 15-22'!G47,'Expenditures 15-22'!I47)+'Expenditures 15-22'!D243</f>
        <v>1317984</v>
      </c>
      <c r="F22" s="1825"/>
      <c r="G22" s="1828">
        <f>'Expenditures 15-22'!K47-SUM('Expenditures 15-22'!G47,'Expenditures 15-22'!I47)+'Expenditures 15-22'!D243</f>
        <v>1317984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728903</v>
      </c>
      <c r="F23" s="1825"/>
      <c r="G23" s="1827">
        <f>'Expenditures 15-22'!K53-SUM('Expenditures 15-22'!G53,'Expenditures 15-22'!I53)+'Expenditures 15-22'!D257+'Expenditures 15-22'!K330-SUM('Expenditures 15-22'!G330,'Expenditures 15-22'!I330)</f>
        <v>728903</v>
      </c>
      <c r="H23" s="988"/>
      <c r="I23" s="162"/>
    </row>
    <row r="24" spans="1:9" s="669" customFormat="1" ht="12" customHeight="1" x14ac:dyDescent="0.2">
      <c r="A24" s="995" t="s">
        <v>587</v>
      </c>
      <c r="B24" s="996"/>
      <c r="C24" s="994">
        <v>2400</v>
      </c>
      <c r="D24" s="1825"/>
      <c r="E24" s="1827">
        <f>'Expenditures 15-22'!K57-SUM('Expenditures 15-22'!G57,'Expenditures 15-22'!I57)+'Expenditures 15-22'!D261</f>
        <v>1110610</v>
      </c>
      <c r="F24" s="1825"/>
      <c r="G24" s="1828">
        <f>'Expenditures 15-22'!K57-SUM('Expenditures 15-22'!G57,'Expenditures 15-22'!I57)+'Expenditures 15-22'!D261</f>
        <v>1110610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309839</v>
      </c>
      <c r="E27" s="1827">
        <f>E8</f>
        <v>0</v>
      </c>
      <c r="F27" s="1827">
        <f>'Expenditures 15-22'!K60-SUM('Expenditures 15-22'!G60,'Expenditures 15-22'!I60)+'Expenditures 15-22'!D264-E8</f>
        <v>309839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2403311</v>
      </c>
      <c r="F28" s="1829">
        <f>'Expenditures 15-22'!K61-SUM('Expenditures 15-22'!G61,'Expenditures 15-22'!I61)+'Expenditures 15-22'!K124-SUM('Expenditures 15-22'!G124,'Expenditures 15-22'!I124)+'Expenditures 15-22'!D266-E9</f>
        <v>2403311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783287</v>
      </c>
      <c r="F29" s="1825"/>
      <c r="G29" s="1828">
        <f>'Expenditures 15-22'!K62-SUM('Expenditures 15-22'!G62,'Expenditures 15-22'!I62)+'Expenditures 15-22'!K125-SUM('Expenditures 15-22'!G125,'Expenditures 15-22'!I125)+'Expenditures 15-22'!K182-SUM('Expenditures 15-22'!G182,'Expenditures 15-22'!I182)+'Expenditures 15-22'!D267</f>
        <v>783287</v>
      </c>
      <c r="H29" s="986"/>
    </row>
    <row r="30" spans="1:9" ht="12" customHeight="1" x14ac:dyDescent="0.2">
      <c r="A30" s="995" t="s">
        <v>102</v>
      </c>
      <c r="B30" s="998"/>
      <c r="C30" s="994">
        <v>2560</v>
      </c>
      <c r="D30" s="1825"/>
      <c r="E30" s="1827">
        <f>'Expenditures 15-22'!K63-SUM('Expenditures 15-22'!G63,'Expenditures 15-22'!I63)+'Expenditures 15-22'!D268-E10</f>
        <v>567426</v>
      </c>
      <c r="F30" s="1825"/>
      <c r="G30" s="1827">
        <f>'Expenditures 15-22'!K63-SUM('Expenditures 15-22'!G63,'Expenditures 15-22'!I63)+'Expenditures 15-22'!D268-E10</f>
        <v>567426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22640</v>
      </c>
      <c r="F35" s="1825"/>
      <c r="G35" s="1827">
        <f>'Expenditures 15-22'!K69-SUM('Expenditures 15-22'!G69,'Expenditures 15-22'!I69)+'Expenditures 15-22'!D274</f>
        <v>22640</v>
      </c>
    </row>
    <row r="36" spans="1:7" ht="12" customHeight="1" x14ac:dyDescent="0.2">
      <c r="A36" s="995" t="s">
        <v>423</v>
      </c>
      <c r="B36" s="998"/>
      <c r="C36" s="994">
        <v>2640</v>
      </c>
      <c r="D36" s="1827">
        <f>'Expenditures 15-22'!K70-SUM('Expenditures 15-22'!G70,'Expenditures 15-22'!I70)+'Expenditures 15-22'!D275-E13</f>
        <v>5271</v>
      </c>
      <c r="E36" s="1827">
        <f>E13</f>
        <v>0</v>
      </c>
      <c r="F36" s="1827">
        <f>'Expenditures 15-22'!K70-SUM('Expenditures 15-22'!G70,'Expenditures 15-22'!I70)+'Expenditures 15-22'!D275-E13</f>
        <v>5271</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100</v>
      </c>
      <c r="F39" s="1825"/>
      <c r="G39" s="1827">
        <f>'Expenditures 15-22'!K75-SUM('Expenditures 15-22'!G75,'Expenditures 15-22'!I75)+'Expenditures 15-22'!K130-SUM('Expenditures 15-22'!G130,'Expenditures 15-22'!I130)+'Expenditures 15-22'!K185-SUM('Expenditures 15-22'!G185,'Expenditures 15-22'!I185)+'Expenditures 15-22'!D280</f>
        <v>100</v>
      </c>
    </row>
    <row r="40" spans="1:7" ht="12" customHeight="1" x14ac:dyDescent="0.2">
      <c r="A40" s="991" t="s">
        <v>1930</v>
      </c>
      <c r="B40" s="992"/>
      <c r="C40" s="994"/>
      <c r="D40" s="1825"/>
      <c r="E40" s="1829">
        <f>-'Contracts Paid in CY 29'!G141</f>
        <v>-53534</v>
      </c>
      <c r="F40" s="1825"/>
      <c r="G40" s="1829">
        <f>-'Contracts Paid in CY 29'!G141</f>
        <v>-53534</v>
      </c>
    </row>
    <row r="41" spans="1:7" ht="12" customHeight="1" x14ac:dyDescent="0.2">
      <c r="A41" s="999" t="s">
        <v>158</v>
      </c>
      <c r="B41" s="1000"/>
      <c r="C41" s="1001"/>
      <c r="D41" s="1829">
        <f>SUM(D19:D39)</f>
        <v>315110</v>
      </c>
      <c r="E41" s="1829">
        <f>SUM(E19:E40)</f>
        <v>21368865</v>
      </c>
      <c r="F41" s="1829">
        <f>SUM(F19:F39)</f>
        <v>2718421</v>
      </c>
      <c r="G41" s="1829">
        <f>SUM(G19:G40)</f>
        <v>18965554</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315110</v>
      </c>
      <c r="F43" s="1830" t="s">
        <v>495</v>
      </c>
      <c r="G43" s="1831">
        <f>F41</f>
        <v>2718421</v>
      </c>
    </row>
    <row r="44" spans="1:7" ht="12" customHeight="1" x14ac:dyDescent="0.2">
      <c r="A44" s="988"/>
      <c r="B44" s="162"/>
      <c r="C44" s="1002"/>
      <c r="D44" s="1830" t="s">
        <v>494</v>
      </c>
      <c r="E44" s="1831">
        <f>E41</f>
        <v>21368865</v>
      </c>
      <c r="F44" s="1830" t="s">
        <v>494</v>
      </c>
      <c r="G44" s="1831">
        <f>G41</f>
        <v>18965554</v>
      </c>
    </row>
    <row r="45" spans="1:7" ht="12" customHeight="1" x14ac:dyDescent="0.2">
      <c r="A45" s="988"/>
      <c r="B45" s="162"/>
      <c r="C45" s="162"/>
      <c r="D45" s="1832" t="s">
        <v>1063</v>
      </c>
      <c r="E45" s="1833">
        <f>(E43/E44)</f>
        <v>1.4746220728148173E-2</v>
      </c>
      <c r="F45" s="1832" t="s">
        <v>1063</v>
      </c>
      <c r="G45" s="1833">
        <f>(G43/G44)</f>
        <v>0.14333464764593748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Byron CUSD 226</v>
      </c>
      <c r="D6" s="2327"/>
      <c r="E6" s="2327"/>
      <c r="F6" s="1877"/>
    </row>
    <row r="7" spans="1:10" ht="11.25" customHeight="1" thickBot="1" x14ac:dyDescent="0.3">
      <c r="A7" s="1875"/>
      <c r="B7" s="1876"/>
      <c r="C7" s="2328">
        <f>COVER!A13</f>
        <v>47071226026</v>
      </c>
      <c r="D7" s="2328"/>
      <c r="E7" s="2328"/>
      <c r="F7" s="1877"/>
    </row>
    <row r="8" spans="1:10" ht="25.5" customHeight="1" thickBot="1" x14ac:dyDescent="0.25">
      <c r="A8" s="1918" t="s">
        <v>2023</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3" sqref="A13: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Byron CUSD 226</v>
      </c>
      <c r="J6" s="2337"/>
      <c r="Q6" s="1686"/>
    </row>
    <row r="7" spans="1:17" x14ac:dyDescent="0.2">
      <c r="A7" s="2338" t="s">
        <v>924</v>
      </c>
      <c r="B7" s="2339"/>
      <c r="C7" s="2339"/>
      <c r="D7" s="2339"/>
      <c r="E7" s="2340"/>
      <c r="F7" s="1018"/>
      <c r="G7" s="1010"/>
      <c r="H7" s="1017" t="s">
        <v>390</v>
      </c>
      <c r="I7" s="2341">
        <f>COVER!A13</f>
        <v>47071226026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459563</v>
      </c>
      <c r="F12" s="1040"/>
      <c r="G12" s="1834">
        <f t="shared" ref="G12:G18" si="0">SUM(E12:F12)</f>
        <v>459563</v>
      </c>
      <c r="H12" s="1041">
        <v>352624</v>
      </c>
      <c r="I12" s="1040"/>
      <c r="J12" s="1834">
        <f t="shared" ref="J12:J18" si="1">SUM(H12:I12)</f>
        <v>352624</v>
      </c>
    </row>
    <row r="13" spans="1:17" ht="15" customHeight="1" x14ac:dyDescent="0.2">
      <c r="A13" s="1036">
        <v>2</v>
      </c>
      <c r="B13" s="1037" t="s">
        <v>44</v>
      </c>
      <c r="C13" s="1038"/>
      <c r="D13" s="1039">
        <v>2330</v>
      </c>
      <c r="E13" s="1834">
        <f>'Expenditures 15-22'!K51</f>
        <v>170528</v>
      </c>
      <c r="F13" s="1040"/>
      <c r="G13" s="1834">
        <f t="shared" si="0"/>
        <v>170528</v>
      </c>
      <c r="H13" s="1041">
        <v>172204</v>
      </c>
      <c r="I13" s="1040"/>
      <c r="J13" s="1834">
        <f t="shared" si="1"/>
        <v>172204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630091</v>
      </c>
      <c r="F19" s="1836">
        <f t="shared" si="2"/>
        <v>0</v>
      </c>
      <c r="G19" s="1836">
        <f t="shared" si="2"/>
        <v>630091</v>
      </c>
      <c r="H19" s="1836">
        <f t="shared" si="2"/>
        <v>524828</v>
      </c>
      <c r="I19" s="1836">
        <f t="shared" si="2"/>
        <v>0</v>
      </c>
      <c r="J19" s="1836">
        <f t="shared" si="2"/>
        <v>524828</v>
      </c>
    </row>
    <row r="20" spans="1:10" ht="13.5" thickTop="1" x14ac:dyDescent="0.2">
      <c r="A20" s="1036">
        <v>9</v>
      </c>
      <c r="B20" s="2348" t="s">
        <v>1703</v>
      </c>
      <c r="C20" s="2348"/>
      <c r="D20" s="2349"/>
      <c r="E20" s="1047"/>
      <c r="F20" s="1047"/>
      <c r="G20" s="1047"/>
      <c r="H20" s="1047"/>
      <c r="I20" s="1047"/>
      <c r="J20" s="1837">
        <f>IF(AND(G19&gt;0,J19&gt;0),(((J19-G19)/G19)),"Enter Budget Data")</f>
        <v>-0.16705999609580202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C67"/>
  <sheetViews>
    <sheetView showGridLines="0" topLeftCell="A4" zoomScale="110" zoomScaleNormal="110" workbookViewId="0">
      <selection activeCell="A13" sqref="A13:H13"/>
    </sheetView>
  </sheetViews>
  <sheetFormatPr defaultColWidth="9.140625" defaultRowHeight="12.75" x14ac:dyDescent="0.2"/>
  <cols>
    <col min="1" max="1" width="3" style="329" customWidth="1"/>
    <col min="2" max="2" width="55.5703125" style="329" customWidth="1"/>
    <col min="3" max="3" width="3.140625" style="329" customWidth="1"/>
    <col min="4" max="7" width="9.140625" style="329"/>
    <col min="8" max="8" width="13.42578125" style="329" customWidth="1"/>
    <col min="9" max="16384" width="9.140625" style="329"/>
  </cols>
  <sheetData>
    <row r="2" spans="1:3" x14ac:dyDescent="0.2">
      <c r="A2" s="389" t="s">
        <v>276</v>
      </c>
    </row>
    <row r="3" spans="1:3" x14ac:dyDescent="0.2">
      <c r="A3" s="329" t="s">
        <v>277</v>
      </c>
    </row>
    <row r="5" spans="1:3" x14ac:dyDescent="0.2">
      <c r="A5" s="1069">
        <v>1</v>
      </c>
      <c r="B5" s="329" t="s">
        <v>2102</v>
      </c>
      <c r="C5" s="329" t="s">
        <v>2143</v>
      </c>
    </row>
    <row r="6" spans="1:3" x14ac:dyDescent="0.2">
      <c r="A6" s="1069"/>
      <c r="C6" s="1956" t="s">
        <v>2144</v>
      </c>
    </row>
    <row r="7" spans="1:3" x14ac:dyDescent="0.2">
      <c r="A7" s="1069"/>
      <c r="C7" s="329" t="s">
        <v>2141</v>
      </c>
    </row>
    <row r="8" spans="1:3" x14ac:dyDescent="0.2">
      <c r="A8" s="1069"/>
      <c r="C8" s="329" t="s">
        <v>2103</v>
      </c>
    </row>
    <row r="9" spans="1:3" x14ac:dyDescent="0.2">
      <c r="A9" s="1069">
        <v>2</v>
      </c>
      <c r="B9" s="329" t="s">
        <v>2139</v>
      </c>
      <c r="C9" s="329" t="s">
        <v>2140</v>
      </c>
    </row>
    <row r="10" spans="1:3" x14ac:dyDescent="0.2">
      <c r="A10" s="1069">
        <v>3</v>
      </c>
      <c r="B10" s="329" t="s">
        <v>2106</v>
      </c>
      <c r="C10" s="329" t="s">
        <v>2104</v>
      </c>
    </row>
    <row r="11" spans="1:3" x14ac:dyDescent="0.2">
      <c r="A11" s="1069">
        <v>4</v>
      </c>
      <c r="B11" s="329" t="s">
        <v>2105</v>
      </c>
      <c r="C11" s="329" t="s">
        <v>2109</v>
      </c>
    </row>
    <row r="12" spans="1:3" x14ac:dyDescent="0.2">
      <c r="A12" s="1070"/>
      <c r="C12" s="329" t="s">
        <v>2108</v>
      </c>
    </row>
    <row r="13" spans="1:3" x14ac:dyDescent="0.2">
      <c r="A13" s="1070"/>
      <c r="C13" s="329" t="s">
        <v>2107</v>
      </c>
    </row>
    <row r="14" spans="1:3" x14ac:dyDescent="0.2">
      <c r="A14" s="1070"/>
      <c r="C14" s="329" t="s">
        <v>2110</v>
      </c>
    </row>
    <row r="15" spans="1:3" x14ac:dyDescent="0.2">
      <c r="A15" s="1069">
        <v>5</v>
      </c>
      <c r="B15" s="329" t="s">
        <v>2114</v>
      </c>
      <c r="C15" s="329" t="s">
        <v>2111</v>
      </c>
    </row>
    <row r="16" spans="1:3" x14ac:dyDescent="0.2">
      <c r="A16" s="1069">
        <v>6</v>
      </c>
      <c r="B16" s="329" t="s">
        <v>2113</v>
      </c>
      <c r="C16" s="329" t="s">
        <v>2112</v>
      </c>
    </row>
    <row r="17" spans="1:3" x14ac:dyDescent="0.2">
      <c r="A17" s="1069">
        <v>7</v>
      </c>
      <c r="B17" s="329" t="s">
        <v>2115</v>
      </c>
      <c r="C17" s="329" t="s">
        <v>2142</v>
      </c>
    </row>
    <row r="18" spans="1:3" x14ac:dyDescent="0.2">
      <c r="A18" s="1069">
        <v>8</v>
      </c>
      <c r="B18" s="329" t="s">
        <v>2154</v>
      </c>
    </row>
    <row r="19" spans="1:3" x14ac:dyDescent="0.2">
      <c r="A19" s="1069">
        <v>9</v>
      </c>
      <c r="B19" s="329" t="s">
        <v>2153</v>
      </c>
    </row>
    <row r="20" spans="1:3" x14ac:dyDescent="0.2">
      <c r="A20" s="1069">
        <v>10</v>
      </c>
      <c r="B20" s="329" t="s">
        <v>2116</v>
      </c>
    </row>
    <row r="21" spans="1:3" x14ac:dyDescent="0.2">
      <c r="A21" s="1069"/>
    </row>
    <row r="22" spans="1:3" x14ac:dyDescent="0.2">
      <c r="A22" s="1069"/>
    </row>
    <row r="23" spans="1:3" x14ac:dyDescent="0.2">
      <c r="A23" s="1069"/>
    </row>
    <row r="24" spans="1:3" x14ac:dyDescent="0.2">
      <c r="A24" s="1069"/>
    </row>
    <row r="25" spans="1:3" x14ac:dyDescent="0.2">
      <c r="A25" s="1069"/>
    </row>
    <row r="26" spans="1:3" x14ac:dyDescent="0.2">
      <c r="A26" s="1069"/>
    </row>
    <row r="27" spans="1:3" x14ac:dyDescent="0.2">
      <c r="A27" s="1069"/>
    </row>
    <row r="28" spans="1:3" x14ac:dyDescent="0.2">
      <c r="A28" s="1069"/>
    </row>
    <row r="29" spans="1:3" x14ac:dyDescent="0.2">
      <c r="A29" s="1069"/>
    </row>
    <row r="30" spans="1:3" x14ac:dyDescent="0.2">
      <c r="A30" s="1069"/>
    </row>
    <row r="31" spans="1:3" x14ac:dyDescent="0.2">
      <c r="A31" s="1070"/>
    </row>
    <row r="32" spans="1:3"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c r="B56" s="258" t="str">
        <f>COVER!A17</f>
        <v>Byron CUSD 226</v>
      </c>
    </row>
    <row r="57" spans="1:2" x14ac:dyDescent="0.2">
      <c r="A57" s="1070"/>
      <c r="B57" s="1071">
        <f>COVER!A13</f>
        <v>47071226026</v>
      </c>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row>
    <row r="65" spans="1:1" x14ac:dyDescent="0.2">
      <c r="A65" s="1070"/>
    </row>
    <row r="66" spans="1:1" x14ac:dyDescent="0.2">
      <c r="A66" s="1070"/>
    </row>
    <row r="67" spans="1:1" x14ac:dyDescent="0.2">
      <c r="A67" s="1070"/>
    </row>
  </sheetData>
  <phoneticPr fontId="13" type="noConversion"/>
  <pageMargins left="0.2" right="0.2" top="1.17" bottom="0.75" header="0.19" footer="0.16"/>
  <pageSetup scale="91"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H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1066800</xdr:colOff>
                <xdr:row>3</xdr:row>
                <xdr:rowOff>38100</xdr:rowOff>
              </from>
              <to>
                <xdr:col>1</xdr:col>
                <xdr:colOff>1981200</xdr:colOff>
                <xdr:row>7</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2219325</xdr:colOff>
                <xdr:row>3</xdr:row>
                <xdr:rowOff>28575</xdr:rowOff>
              </from>
              <to>
                <xdr:col>1</xdr:col>
                <xdr:colOff>3124200</xdr:colOff>
                <xdr:row>7</xdr:row>
                <xdr:rowOff>76200</xdr:rowOff>
              </to>
            </anchor>
          </objectPr>
        </oleObject>
      </mc:Choice>
      <mc:Fallback>
        <oleObject progId="Acrobat Document" dvAspect="DVASPECT_ICON" shapeId="35845"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3514725</xdr:colOff>
                <xdr:row>3</xdr:row>
                <xdr:rowOff>47625</xdr:rowOff>
              </from>
              <to>
                <xdr:col>2</xdr:col>
                <xdr:colOff>447675</xdr:colOff>
                <xdr:row>8</xdr:row>
                <xdr:rowOff>9525</xdr:rowOff>
              </to>
            </anchor>
          </objectPr>
        </oleObject>
      </mc:Choice>
      <mc:Fallback>
        <oleObject progId="Acrobat Document" dvAspect="DVASPECT_ICON" shapeId="35846"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3:H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19774446</v>
      </c>
      <c r="C8" s="1838">
        <f>'Acct Summary 7-8'!D8</f>
        <v>3067139</v>
      </c>
      <c r="D8" s="1838">
        <f>'Acct Summary 7-8'!F8</f>
        <v>3828301</v>
      </c>
      <c r="E8" s="1838">
        <f>'Acct Summary 7-8'!I8</f>
        <v>351303</v>
      </c>
      <c r="F8" s="1838">
        <f>SUM(B8:E8)</f>
        <v>27021189</v>
      </c>
    </row>
    <row r="9" spans="1:8" s="1080" customFormat="1" ht="14.25" customHeight="1" thickBot="1" x14ac:dyDescent="0.25">
      <c r="A9" s="1079" t="s">
        <v>1436</v>
      </c>
      <c r="B9" s="1839">
        <f>'Acct Summary 7-8'!C17</f>
        <v>17397616</v>
      </c>
      <c r="C9" s="1839">
        <f>'Acct Summary 7-8'!D17</f>
        <v>3122361</v>
      </c>
      <c r="D9" s="1839">
        <f>'Acct Summary 7-8'!F17</f>
        <v>3043265</v>
      </c>
      <c r="E9" s="1838"/>
      <c r="F9" s="1838">
        <f>SUM(B9:E9)</f>
        <v>23563242</v>
      </c>
    </row>
    <row r="10" spans="1:8" s="1080" customFormat="1" ht="14.25" thickTop="1" thickBot="1" x14ac:dyDescent="0.25">
      <c r="A10" s="1081" t="s">
        <v>1437</v>
      </c>
      <c r="B10" s="1840">
        <f>(B8-B9)</f>
        <v>2376830</v>
      </c>
      <c r="C10" s="1840">
        <f>(C8-C9)</f>
        <v>-55222</v>
      </c>
      <c r="D10" s="1840">
        <f>(D8-D9)</f>
        <v>785036</v>
      </c>
      <c r="E10" s="1839">
        <f>(E8-E9)</f>
        <v>351303</v>
      </c>
      <c r="F10" s="1841">
        <f>SUM(F8-F9)</f>
        <v>3457947</v>
      </c>
    </row>
    <row r="11" spans="1:8" s="1080" customFormat="1" ht="14.25" thickTop="1" thickBot="1" x14ac:dyDescent="0.25">
      <c r="A11" s="1082" t="s">
        <v>1785</v>
      </c>
      <c r="B11" s="1842">
        <f>'Acct Summary 7-8'!C81</f>
        <v>16005030</v>
      </c>
      <c r="C11" s="1842">
        <f>'Acct Summary 7-8'!D81</f>
        <v>4261710</v>
      </c>
      <c r="D11" s="1842">
        <f>'Acct Summary 7-8'!F81</f>
        <v>3229312</v>
      </c>
      <c r="E11" s="1842">
        <f>'Acct Summary 7-8'!I81</f>
        <v>466015</v>
      </c>
      <c r="F11" s="1843">
        <f>SUM(B11:E11)</f>
        <v>23962067</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ERROR!</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47071226026</v>
      </c>
    </row>
    <row r="3" spans="1:2" x14ac:dyDescent="0.2">
      <c r="A3" t="s">
        <v>1013</v>
      </c>
      <c r="B3" s="138" t="str">
        <f>COVER!A15</f>
        <v>Ogle</v>
      </c>
    </row>
    <row r="4" spans="1:2" x14ac:dyDescent="0.2">
      <c r="A4" t="s">
        <v>1064</v>
      </c>
      <c r="B4" s="138" t="str">
        <f>COVER!A17</f>
        <v>Byron CUSD 226</v>
      </c>
    </row>
    <row r="5" spans="1:2" x14ac:dyDescent="0.2">
      <c r="A5" t="s">
        <v>728</v>
      </c>
      <c r="B5" s="138" t="str">
        <f>COVER!A38</f>
        <v>Mr. Buster Barton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066-003346</v>
      </c>
    </row>
    <row r="16" spans="1:2" x14ac:dyDescent="0.2">
      <c r="A16" t="s">
        <v>442</v>
      </c>
      <c r="B16" s="138" t="str">
        <f>COVER!T13</f>
        <v>RSM US LLP</v>
      </c>
    </row>
    <row r="17" spans="1:2" x14ac:dyDescent="0.2">
      <c r="A17" t="s">
        <v>939</v>
      </c>
      <c r="B17" s="138" t="str">
        <f>COVER!T15</f>
        <v>Sherri Noel</v>
      </c>
    </row>
    <row r="18" spans="1:2" x14ac:dyDescent="0.2">
      <c r="A18" t="s">
        <v>1212</v>
      </c>
      <c r="B18" s="138" t="str">
        <f>COVER!T17</f>
        <v>1252 Bell Valley Road, Suite 300</v>
      </c>
    </row>
    <row r="19" spans="1:2" x14ac:dyDescent="0.2">
      <c r="A19" t="s">
        <v>941</v>
      </c>
      <c r="B19" s="138" t="str">
        <f>COVER!T25</f>
        <v>sherri.noel@rsmus.com</v>
      </c>
    </row>
    <row r="20" spans="1:2" x14ac:dyDescent="0.2">
      <c r="A20" t="s">
        <v>942</v>
      </c>
      <c r="B20" s="138" t="str">
        <f>COVER!T19</f>
        <v xml:space="preserve">Rockford </v>
      </c>
    </row>
    <row r="21" spans="1:2" x14ac:dyDescent="0.2">
      <c r="A21" t="s">
        <v>500</v>
      </c>
      <c r="B21" s="138" t="str">
        <f>COVER!X19</f>
        <v>IL</v>
      </c>
    </row>
    <row r="22" spans="1:2" x14ac:dyDescent="0.2">
      <c r="A22" t="s">
        <v>943</v>
      </c>
      <c r="B22" s="138">
        <f>COVER!Z19</f>
        <v>61108</v>
      </c>
    </row>
    <row r="23" spans="1:2" x14ac:dyDescent="0.2">
      <c r="A23" t="s">
        <v>1214</v>
      </c>
      <c r="B23" s="138" t="str">
        <f>COVER!T21</f>
        <v>815-231-7300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t="str">
        <f>IF('FP Info 3'!B45="X","Yes",0)</f>
        <v>Yes</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2567438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16005030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14268345</v>
      </c>
      <c r="D92" s="2" t="str">
        <f t="shared" si="0"/>
        <v>Error?</v>
      </c>
    </row>
    <row r="93" spans="1:4" x14ac:dyDescent="0.2">
      <c r="A93" s="5">
        <v>32</v>
      </c>
      <c r="B93" s="138">
        <f>'Assets-Liab 5-6'!C41</f>
        <v>16005030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4261710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4261710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4261710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1762991</v>
      </c>
      <c r="D129" s="2" t="str">
        <f t="shared" si="1"/>
        <v>Error?</v>
      </c>
    </row>
    <row r="130" spans="1:4" x14ac:dyDescent="0.2">
      <c r="A130" s="5">
        <v>69</v>
      </c>
      <c r="B130" s="138">
        <f>'Assets-Liab 5-6'!E12</f>
        <v>0</v>
      </c>
      <c r="D130" s="2" t="str">
        <f t="shared" si="1"/>
        <v>Error?</v>
      </c>
    </row>
    <row r="131" spans="1:4" x14ac:dyDescent="0.2">
      <c r="A131" s="5">
        <v>70</v>
      </c>
      <c r="B131" s="138">
        <f>'Assets-Liab 5-6'!E13</f>
        <v>1762991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1762991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2274698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3229312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3229312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1418854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1418854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1418854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280173</v>
      </c>
      <c r="D273" s="2" t="str">
        <f t="shared" si="3"/>
        <v>Error?</v>
      </c>
    </row>
    <row r="274" spans="1:4" x14ac:dyDescent="0.2">
      <c r="A274" s="5">
        <v>213</v>
      </c>
      <c r="B274" s="138">
        <f>'Assets-Liab 5-6'!M17</f>
        <v>88980619</v>
      </c>
      <c r="D274" s="2" t="str">
        <f t="shared" si="3"/>
        <v>Error?</v>
      </c>
    </row>
    <row r="275" spans="1:4" x14ac:dyDescent="0.2">
      <c r="A275" s="5">
        <v>214</v>
      </c>
      <c r="B275" s="138">
        <f>'Assets-Liab 5-6'!M18</f>
        <v>11575671</v>
      </c>
      <c r="D275" s="2" t="str">
        <f t="shared" si="3"/>
        <v>Error?</v>
      </c>
    </row>
    <row r="276" spans="1:4" x14ac:dyDescent="0.2">
      <c r="A276" s="5">
        <v>215</v>
      </c>
      <c r="B276" s="138">
        <f>'Assets-Liab 5-6'!M19</f>
        <v>10875213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113479690</v>
      </c>
      <c r="C279" s="2" t="s">
        <v>594</v>
      </c>
      <c r="D279" s="2" t="str">
        <f t="shared" si="3"/>
        <v>Error?</v>
      </c>
    </row>
    <row r="280" spans="1:4" x14ac:dyDescent="0.2">
      <c r="A280" s="5">
        <v>219</v>
      </c>
      <c r="B280" s="138">
        <f>'Assets-Liab 5-6'!M40</f>
        <v>113479690</v>
      </c>
      <c r="D280" s="2" t="str">
        <f t="shared" si="3"/>
        <v>Error?</v>
      </c>
    </row>
    <row r="281" spans="1:4" x14ac:dyDescent="0.2">
      <c r="A281" s="5">
        <v>220</v>
      </c>
      <c r="B281" s="138">
        <f>'Assets-Liab 5-6'!M41</f>
        <v>113479690</v>
      </c>
      <c r="C281" s="2" t="s">
        <v>594</v>
      </c>
      <c r="D281" s="2" t="str">
        <f t="shared" si="3"/>
        <v>Error?</v>
      </c>
    </row>
    <row r="282" spans="1:4" x14ac:dyDescent="0.2">
      <c r="A282" s="5">
        <v>221</v>
      </c>
      <c r="B282" s="138">
        <f>'Assets-Liab 5-6'!N21</f>
        <v>1762991</v>
      </c>
      <c r="D282" s="2" t="str">
        <f t="shared" si="3"/>
        <v>Error?</v>
      </c>
    </row>
    <row r="283" spans="1:4" x14ac:dyDescent="0.2">
      <c r="A283" s="5">
        <v>222</v>
      </c>
      <c r="B283" s="138">
        <f>'Assets-Liab 5-6'!N22</f>
        <v>20710037</v>
      </c>
      <c r="D283" s="2" t="str">
        <f t="shared" si="3"/>
        <v>Error?</v>
      </c>
    </row>
    <row r="284" spans="1:4" x14ac:dyDescent="0.2">
      <c r="A284" s="5">
        <v>223</v>
      </c>
      <c r="B284" s="138">
        <f>'Assets-Liab 5-6'!N23</f>
        <v>22473028</v>
      </c>
      <c r="C284" s="2" t="s">
        <v>594</v>
      </c>
      <c r="D284" s="2" t="str">
        <f t="shared" si="3"/>
        <v>Error?</v>
      </c>
    </row>
    <row r="285" spans="1:4" x14ac:dyDescent="0.2">
      <c r="A285" s="5">
        <v>224</v>
      </c>
      <c r="B285" s="138">
        <f>'Assets-Liab 5-6'!N36</f>
        <v>22473028</v>
      </c>
      <c r="D285" s="2" t="str">
        <f t="shared" si="3"/>
        <v>Error?</v>
      </c>
    </row>
    <row r="286" spans="1:4" x14ac:dyDescent="0.2">
      <c r="A286" s="10">
        <v>225</v>
      </c>
      <c r="D286" s="2" t="str">
        <f t="shared" si="3"/>
        <v>OK</v>
      </c>
    </row>
    <row r="287" spans="1:4" x14ac:dyDescent="0.2">
      <c r="A287" s="5">
        <v>226</v>
      </c>
      <c r="B287" s="138">
        <f>'Assets-Liab 5-6'!N37</f>
        <v>22473028</v>
      </c>
      <c r="C287" s="2" t="s">
        <v>594</v>
      </c>
      <c r="D287" s="2" t="str">
        <f t="shared" si="3"/>
        <v>Error?</v>
      </c>
    </row>
    <row r="288" spans="1:4" x14ac:dyDescent="0.2">
      <c r="A288" s="5">
        <v>227</v>
      </c>
      <c r="B288" s="138">
        <f>'Assets-Liab 5-6'!N41</f>
        <v>22473028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6835757</v>
      </c>
      <c r="D705" s="2" t="str">
        <f t="shared" si="10"/>
        <v>Error?</v>
      </c>
    </row>
    <row r="706" spans="1:4" x14ac:dyDescent="0.2">
      <c r="A706" s="5">
        <v>645</v>
      </c>
      <c r="B706" s="138">
        <f>'Expenditures 15-22'!C16</f>
        <v>235757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486328</v>
      </c>
      <c r="D717" s="2" t="str">
        <f t="shared" si="10"/>
        <v>Error?</v>
      </c>
    </row>
    <row r="718" spans="1:4" x14ac:dyDescent="0.2">
      <c r="A718" s="5">
        <v>657</v>
      </c>
      <c r="B718" s="138">
        <f>'Expenditures 15-22'!C14</f>
        <v>598313</v>
      </c>
      <c r="D718" s="2" t="str">
        <f t="shared" si="10"/>
        <v>Error?</v>
      </c>
    </row>
    <row r="719" spans="1:4" x14ac:dyDescent="0.2">
      <c r="A719" s="5">
        <v>658</v>
      </c>
      <c r="B719" s="138">
        <f>'Expenditures 15-22'!C15</f>
        <v>18903</v>
      </c>
      <c r="D719" s="2" t="str">
        <f t="shared" si="10"/>
        <v>Error?</v>
      </c>
    </row>
    <row r="720" spans="1:4" x14ac:dyDescent="0.2">
      <c r="A720" s="5">
        <v>659</v>
      </c>
      <c r="B720" s="138">
        <f>'Expenditures 15-22'!C33</f>
        <v>10467976</v>
      </c>
      <c r="C720" s="2" t="s">
        <v>594</v>
      </c>
      <c r="D720" s="2" t="str">
        <f t="shared" si="10"/>
        <v>Error?</v>
      </c>
    </row>
    <row r="721" spans="1:4" x14ac:dyDescent="0.2">
      <c r="A721" s="5">
        <v>660</v>
      </c>
      <c r="B721" s="138">
        <f>'Expenditures 15-22'!C36</f>
        <v>142223</v>
      </c>
      <c r="D721" s="2" t="str">
        <f t="shared" si="10"/>
        <v>Error?</v>
      </c>
    </row>
    <row r="722" spans="1:4" x14ac:dyDescent="0.2">
      <c r="A722" s="5">
        <v>661</v>
      </c>
      <c r="B722" s="138">
        <f>'Expenditures 15-22'!C37</f>
        <v>261673</v>
      </c>
      <c r="D722" s="2" t="str">
        <f t="shared" si="10"/>
        <v>Error?</v>
      </c>
    </row>
    <row r="723" spans="1:4" x14ac:dyDescent="0.2">
      <c r="A723" s="5">
        <v>662</v>
      </c>
      <c r="B723" s="138">
        <f>'Expenditures 15-22'!C38</f>
        <v>139514</v>
      </c>
      <c r="D723" s="2" t="str">
        <f t="shared" si="10"/>
        <v>Error?</v>
      </c>
    </row>
    <row r="724" spans="1:4" x14ac:dyDescent="0.2">
      <c r="A724" s="5">
        <v>663</v>
      </c>
      <c r="B724" s="138">
        <f>'Expenditures 15-22'!C39</f>
        <v>142322</v>
      </c>
      <c r="D724" s="2" t="str">
        <f t="shared" si="10"/>
        <v>Error?</v>
      </c>
    </row>
    <row r="725" spans="1:4" x14ac:dyDescent="0.2">
      <c r="A725" s="5">
        <v>664</v>
      </c>
      <c r="B725" s="138">
        <f>'Expenditures 15-22'!C40</f>
        <v>229774</v>
      </c>
      <c r="D725" s="2" t="str">
        <f t="shared" si="10"/>
        <v>Error?</v>
      </c>
    </row>
    <row r="726" spans="1:4" x14ac:dyDescent="0.2">
      <c r="A726" s="5">
        <v>665</v>
      </c>
      <c r="B726" s="138">
        <f>'Expenditures 15-22'!C41</f>
        <v>73744</v>
      </c>
      <c r="D726" s="2" t="str">
        <f t="shared" si="10"/>
        <v>Error?</v>
      </c>
    </row>
    <row r="727" spans="1:4" x14ac:dyDescent="0.2">
      <c r="A727" s="5">
        <v>666</v>
      </c>
      <c r="B727" s="138">
        <f>'Expenditures 15-22'!C42</f>
        <v>989250</v>
      </c>
      <c r="C727" s="2" t="s">
        <v>594</v>
      </c>
      <c r="D727" s="2" t="str">
        <f t="shared" si="10"/>
        <v>Error?</v>
      </c>
    </row>
    <row r="728" spans="1:4" x14ac:dyDescent="0.2">
      <c r="A728" s="5">
        <v>667</v>
      </c>
      <c r="B728" s="138">
        <f>'Expenditures 15-22'!C44</f>
        <v>1091</v>
      </c>
      <c r="D728" s="2" t="str">
        <f t="shared" si="10"/>
        <v>Error?</v>
      </c>
    </row>
    <row r="729" spans="1:4" x14ac:dyDescent="0.2">
      <c r="A729" s="5">
        <v>668</v>
      </c>
      <c r="B729" s="138">
        <f>'Expenditures 15-22'!C45</f>
        <v>371818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372909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339598</v>
      </c>
      <c r="D733" s="2" t="str">
        <f t="shared" si="10"/>
        <v>Error?</v>
      </c>
    </row>
    <row r="734" spans="1:4" x14ac:dyDescent="0.2">
      <c r="A734" s="5">
        <v>673</v>
      </c>
      <c r="B734" s="138">
        <f>'Expenditures 15-22'!C53</f>
        <v>470786</v>
      </c>
      <c r="C734" s="2" t="s">
        <v>594</v>
      </c>
      <c r="D734" s="2" t="str">
        <f t="shared" si="10"/>
        <v>Error?</v>
      </c>
    </row>
    <row r="735" spans="1:4" x14ac:dyDescent="0.2">
      <c r="A735" s="5">
        <v>674</v>
      </c>
      <c r="B735" s="138">
        <f>'Expenditures 15-22'!C55</f>
        <v>807931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807931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157771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230525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388296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4000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4000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3033172</v>
      </c>
      <c r="C755" s="2" t="s">
        <v>594</v>
      </c>
      <c r="D755" s="2" t="str">
        <f t="shared" si="10"/>
        <v>Error?</v>
      </c>
    </row>
    <row r="756" spans="1:4" x14ac:dyDescent="0.2">
      <c r="A756" s="5">
        <v>695</v>
      </c>
      <c r="B756" s="138">
        <f>'Expenditures 15-22'!C75</f>
        <v>89</v>
      </c>
      <c r="D756" s="2" t="str">
        <f t="shared" si="10"/>
        <v>Error?</v>
      </c>
    </row>
    <row r="757" spans="1:4" x14ac:dyDescent="0.2">
      <c r="A757" s="5">
        <v>696</v>
      </c>
      <c r="B757" s="138">
        <f>'Expenditures 15-22'!C114</f>
        <v>13501237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1167040</v>
      </c>
      <c r="D763" s="2" t="str">
        <f t="shared" si="10"/>
        <v>Error?</v>
      </c>
    </row>
    <row r="764" spans="1:4" x14ac:dyDescent="0.2">
      <c r="A764" s="5">
        <v>703</v>
      </c>
      <c r="B764" s="138">
        <f>'Expenditures 15-22'!D16</f>
        <v>30134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51204</v>
      </c>
      <c r="D775" s="2" t="str">
        <f t="shared" si="11"/>
        <v>Error?</v>
      </c>
    </row>
    <row r="776" spans="1:4" x14ac:dyDescent="0.2">
      <c r="A776" s="5">
        <v>715</v>
      </c>
      <c r="B776" s="138">
        <f>'Expenditures 15-22'!D14</f>
        <v>66987</v>
      </c>
      <c r="D776" s="2" t="str">
        <f t="shared" si="11"/>
        <v>Error?</v>
      </c>
    </row>
    <row r="777" spans="1:4" x14ac:dyDescent="0.2">
      <c r="A777" s="5">
        <v>716</v>
      </c>
      <c r="B777" s="138">
        <f>'Expenditures 15-22'!D15</f>
        <v>2984</v>
      </c>
      <c r="D777" s="2" t="str">
        <f t="shared" si="11"/>
        <v>Error?</v>
      </c>
    </row>
    <row r="778" spans="1:4" x14ac:dyDescent="0.2">
      <c r="A778" s="5">
        <v>717</v>
      </c>
      <c r="B778" s="138">
        <f>'Expenditures 15-22'!D33</f>
        <v>1791873</v>
      </c>
      <c r="C778" s="2" t="s">
        <v>594</v>
      </c>
      <c r="D778" s="2" t="str">
        <f t="shared" si="11"/>
        <v>Error?</v>
      </c>
    </row>
    <row r="779" spans="1:4" x14ac:dyDescent="0.2">
      <c r="A779" s="5">
        <v>718</v>
      </c>
      <c r="B779" s="138">
        <f>'Expenditures 15-22'!D36</f>
        <v>29985</v>
      </c>
      <c r="D779" s="2" t="str">
        <f t="shared" si="11"/>
        <v>Error?</v>
      </c>
    </row>
    <row r="780" spans="1:4" x14ac:dyDescent="0.2">
      <c r="A780" s="5">
        <v>719</v>
      </c>
      <c r="B780" s="138">
        <f>'Expenditures 15-22'!D37</f>
        <v>37803</v>
      </c>
      <c r="D780" s="2" t="str">
        <f t="shared" si="11"/>
        <v>Error?</v>
      </c>
    </row>
    <row r="781" spans="1:4" x14ac:dyDescent="0.2">
      <c r="A781" s="5">
        <v>720</v>
      </c>
      <c r="B781" s="138">
        <f>'Expenditures 15-22'!D38</f>
        <v>981</v>
      </c>
      <c r="D781" s="2" t="str">
        <f t="shared" si="11"/>
        <v>Error?</v>
      </c>
    </row>
    <row r="782" spans="1:4" x14ac:dyDescent="0.2">
      <c r="A782" s="5">
        <v>721</v>
      </c>
      <c r="B782" s="138">
        <f>'Expenditures 15-22'!D39</f>
        <v>27776</v>
      </c>
      <c r="D782" s="2" t="str">
        <f t="shared" si="11"/>
        <v>Error?</v>
      </c>
    </row>
    <row r="783" spans="1:4" x14ac:dyDescent="0.2">
      <c r="A783" s="5">
        <v>722</v>
      </c>
      <c r="B783" s="138">
        <f>'Expenditures 15-22'!D40</f>
        <v>28759</v>
      </c>
      <c r="D783" s="2" t="str">
        <f t="shared" si="11"/>
        <v>Error?</v>
      </c>
    </row>
    <row r="784" spans="1:4" x14ac:dyDescent="0.2">
      <c r="A784" s="5">
        <v>723</v>
      </c>
      <c r="B784" s="138">
        <f>'Expenditures 15-22'!D41</f>
        <v>30</v>
      </c>
      <c r="D784" s="2" t="str">
        <f t="shared" si="11"/>
        <v>Error?</v>
      </c>
    </row>
    <row r="785" spans="1:4" x14ac:dyDescent="0.2">
      <c r="A785" s="5">
        <v>724</v>
      </c>
      <c r="B785" s="138">
        <f>'Expenditures 15-22'!D42</f>
        <v>125334</v>
      </c>
      <c r="C785" s="2" t="s">
        <v>594</v>
      </c>
      <c r="D785" s="2" t="str">
        <f t="shared" si="11"/>
        <v>Error?</v>
      </c>
    </row>
    <row r="786" spans="1:4" x14ac:dyDescent="0.2">
      <c r="A786" s="5">
        <v>725</v>
      </c>
      <c r="B786" s="138">
        <f>'Expenditures 15-22'!D44</f>
        <v>15</v>
      </c>
      <c r="D786" s="2" t="str">
        <f t="shared" si="11"/>
        <v>Error?</v>
      </c>
    </row>
    <row r="787" spans="1:4" x14ac:dyDescent="0.2">
      <c r="A787" s="5">
        <v>726</v>
      </c>
      <c r="B787" s="138">
        <f>'Expenditures 15-22'!D45</f>
        <v>105953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105968</v>
      </c>
      <c r="C789" s="2" t="s">
        <v>594</v>
      </c>
      <c r="D789" s="2" t="str">
        <f t="shared" si="11"/>
        <v>Error?</v>
      </c>
    </row>
    <row r="790" spans="1:4" x14ac:dyDescent="0.2">
      <c r="A790" s="5">
        <v>729</v>
      </c>
      <c r="B790" s="138">
        <f>'Expenditures 15-22'!D49</f>
        <v>-702974</v>
      </c>
      <c r="D790" s="2" t="str">
        <f t="shared" si="11"/>
        <v>Error?</v>
      </c>
    </row>
    <row r="791" spans="1:4" x14ac:dyDescent="0.2">
      <c r="A791" s="5">
        <v>730</v>
      </c>
      <c r="B791" s="138">
        <f>'Expenditures 15-22'!D50</f>
        <v>74507</v>
      </c>
      <c r="D791" s="2" t="str">
        <f t="shared" si="11"/>
        <v>Error?</v>
      </c>
    </row>
    <row r="792" spans="1:4" x14ac:dyDescent="0.2">
      <c r="A792" s="5">
        <v>731</v>
      </c>
      <c r="B792" s="138">
        <f>'Expenditures 15-22'!D53</f>
        <v>-589127</v>
      </c>
      <c r="C792" s="2" t="s">
        <v>594</v>
      </c>
      <c r="D792" s="2" t="str">
        <f t="shared" si="11"/>
        <v>Error?</v>
      </c>
    </row>
    <row r="793" spans="1:4" x14ac:dyDescent="0.2">
      <c r="A793" s="5">
        <v>732</v>
      </c>
      <c r="B793" s="138">
        <f>'Expenditures 15-22'!D55</f>
        <v>251607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251607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35478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41430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76908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-29253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1762620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47164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2956</v>
      </c>
      <c r="D833" s="2" t="str">
        <f t="shared" si="12"/>
        <v>Error?</v>
      </c>
    </row>
    <row r="834" spans="1:4" x14ac:dyDescent="0.2">
      <c r="A834" s="5">
        <v>773</v>
      </c>
      <c r="B834" s="138">
        <f>'Expenditures 15-22'!E14</f>
        <v>91526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198448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12340</v>
      </c>
      <c r="D838" s="2" t="str">
        <f t="shared" si="12"/>
        <v>Error?</v>
      </c>
    </row>
    <row r="839" spans="1:4" x14ac:dyDescent="0.2">
      <c r="A839" s="5">
        <v>778</v>
      </c>
      <c r="B839" s="138">
        <f>'Expenditures 15-22'!E38</f>
        <v>485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722</v>
      </c>
      <c r="D841" s="2" t="str">
        <f t="shared" si="12"/>
        <v>Error?</v>
      </c>
    </row>
    <row r="842" spans="1:4" x14ac:dyDescent="0.2">
      <c r="A842" s="5">
        <v>781</v>
      </c>
      <c r="B842" s="138">
        <f>'Expenditures 15-22'!E41</f>
        <v>44472</v>
      </c>
      <c r="D842" s="2" t="str">
        <f t="shared" si="12"/>
        <v>Error?</v>
      </c>
    </row>
    <row r="843" spans="1:4" x14ac:dyDescent="0.2">
      <c r="A843" s="5">
        <v>782</v>
      </c>
      <c r="B843" s="138">
        <f>'Expenditures 15-22'!E42</f>
        <v>58019</v>
      </c>
      <c r="C843" s="2" t="s">
        <v>594</v>
      </c>
      <c r="D843" s="2" t="str">
        <f t="shared" si="12"/>
        <v>Error?</v>
      </c>
    </row>
    <row r="844" spans="1:4" x14ac:dyDescent="0.2">
      <c r="A844" s="5">
        <v>783</v>
      </c>
      <c r="B844" s="138">
        <f>'Expenditures 15-22'!E44</f>
        <v>87100</v>
      </c>
      <c r="D844" s="2" t="str">
        <f t="shared" si="12"/>
        <v>Error?</v>
      </c>
    </row>
    <row r="845" spans="1:4" x14ac:dyDescent="0.2">
      <c r="A845" s="5">
        <v>784</v>
      </c>
      <c r="B845" s="138">
        <f>'Expenditures 15-22'!E45</f>
        <v>466408</v>
      </c>
      <c r="D845" s="2" t="str">
        <f t="shared" si="12"/>
        <v>Error?</v>
      </c>
    </row>
    <row r="846" spans="1:4" x14ac:dyDescent="0.2">
      <c r="A846" s="5">
        <v>785</v>
      </c>
      <c r="B846" s="138">
        <f>'Expenditures 15-22'!E46</f>
        <v>71970</v>
      </c>
      <c r="D846" s="2" t="str">
        <f t="shared" si="12"/>
        <v>Error?</v>
      </c>
    </row>
    <row r="847" spans="1:4" x14ac:dyDescent="0.2">
      <c r="A847" s="5">
        <v>786</v>
      </c>
      <c r="B847" s="138">
        <f>'Expenditures 15-22'!E47</f>
        <v>625478</v>
      </c>
      <c r="C847" s="2" t="s">
        <v>594</v>
      </c>
      <c r="D847" s="2" t="str">
        <f t="shared" si="12"/>
        <v>Error?</v>
      </c>
    </row>
    <row r="848" spans="1:4" x14ac:dyDescent="0.2">
      <c r="A848" s="5">
        <v>787</v>
      </c>
      <c r="B848" s="138">
        <f>'Expenditures 15-22'!E49</f>
        <v>18698</v>
      </c>
      <c r="D848" s="2" t="str">
        <f t="shared" si="12"/>
        <v>Error?</v>
      </c>
    </row>
    <row r="849" spans="1:4" x14ac:dyDescent="0.2">
      <c r="A849" s="5">
        <v>788</v>
      </c>
      <c r="B849" s="138">
        <f>'Expenditures 15-22'!E50</f>
        <v>1631</v>
      </c>
      <c r="D849" s="2" t="str">
        <f t="shared" si="12"/>
        <v>Error?</v>
      </c>
    </row>
    <row r="850" spans="1:4" x14ac:dyDescent="0.2">
      <c r="A850" s="5">
        <v>789</v>
      </c>
      <c r="B850" s="138">
        <f>'Expenditures 15-22'!E53</f>
        <v>20329</v>
      </c>
      <c r="C850" s="2" t="s">
        <v>594</v>
      </c>
      <c r="D850" s="2" t="str">
        <f t="shared" si="12"/>
        <v>Error?</v>
      </c>
    </row>
    <row r="851" spans="1:4" x14ac:dyDescent="0.2">
      <c r="A851" s="5">
        <v>790</v>
      </c>
      <c r="B851" s="138">
        <f>'Expenditures 15-22'!E55</f>
        <v>232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47653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40868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88521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22640</v>
      </c>
      <c r="D864" s="2" t="str">
        <f t="shared" si="12"/>
        <v>Error?</v>
      </c>
    </row>
    <row r="865" spans="1:4" x14ac:dyDescent="0.2">
      <c r="A865" s="5">
        <v>804</v>
      </c>
      <c r="B865" s="138">
        <f>'Expenditures 15-22'!E70</f>
        <v>1157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23797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816376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1084860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142661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20446</v>
      </c>
      <c r="D891" s="2" t="str">
        <f t="shared" si="12"/>
        <v>Error?</v>
      </c>
    </row>
    <row r="892" spans="1:4" x14ac:dyDescent="0.2">
      <c r="A892" s="5">
        <v>831</v>
      </c>
      <c r="B892" s="138">
        <f>'Expenditures 15-22'!F14</f>
        <v>77847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261438</v>
      </c>
      <c r="C894" s="2" t="s">
        <v>594</v>
      </c>
      <c r="D894" s="2" t="str">
        <f t="shared" si="12"/>
        <v>Error?</v>
      </c>
    </row>
    <row r="895" spans="1:4" x14ac:dyDescent="0.2">
      <c r="A895" s="5">
        <v>834</v>
      </c>
      <c r="B895" s="138">
        <f>'Expenditures 15-22'!F36</f>
        <v>1531</v>
      </c>
      <c r="D895" s="2" t="str">
        <f t="shared" ref="D895:D958" si="13">IF(ISBLANK(B895),"OK",IF(A895-B895=0,"OK","Error?"))</f>
        <v>Error?</v>
      </c>
    </row>
    <row r="896" spans="1:4" x14ac:dyDescent="0.2">
      <c r="A896" s="5">
        <v>835</v>
      </c>
      <c r="B896" s="138">
        <f>'Expenditures 15-22'!F37</f>
        <v>546</v>
      </c>
      <c r="D896" s="2" t="str">
        <f t="shared" si="13"/>
        <v>Error?</v>
      </c>
    </row>
    <row r="897" spans="1:4" x14ac:dyDescent="0.2">
      <c r="A897" s="5">
        <v>836</v>
      </c>
      <c r="B897" s="138">
        <f>'Expenditures 15-22'!F38</f>
        <v>4534</v>
      </c>
      <c r="D897" s="2" t="str">
        <f t="shared" si="13"/>
        <v>Error?</v>
      </c>
    </row>
    <row r="898" spans="1:4" x14ac:dyDescent="0.2">
      <c r="A898" s="5">
        <v>837</v>
      </c>
      <c r="B898" s="138">
        <f>'Expenditures 15-22'!F39</f>
        <v>2263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3278</v>
      </c>
      <c r="D900" s="2" t="str">
        <f t="shared" si="13"/>
        <v>Error?</v>
      </c>
    </row>
    <row r="901" spans="1:4" x14ac:dyDescent="0.2">
      <c r="A901" s="5">
        <v>840</v>
      </c>
      <c r="B901" s="138">
        <f>'Expenditures 15-22'!F42</f>
        <v>12152</v>
      </c>
      <c r="C901" s="2" t="s">
        <v>594</v>
      </c>
      <c r="D901" s="2" t="str">
        <f t="shared" si="13"/>
        <v>Error?</v>
      </c>
    </row>
    <row r="902" spans="1:4" x14ac:dyDescent="0.2">
      <c r="A902" s="5">
        <v>841</v>
      </c>
      <c r="B902" s="138">
        <f>'Expenditures 15-22'!F44</f>
        <v>433</v>
      </c>
      <c r="D902" s="2" t="str">
        <f t="shared" si="13"/>
        <v>Error?</v>
      </c>
    </row>
    <row r="903" spans="1:4" x14ac:dyDescent="0.2">
      <c r="A903" s="5">
        <v>842</v>
      </c>
      <c r="B903" s="138">
        <f>'Expenditures 15-22'!F45</f>
        <v>138200</v>
      </c>
      <c r="D903" s="2" t="str">
        <f t="shared" si="13"/>
        <v>Error?</v>
      </c>
    </row>
    <row r="904" spans="1:4" x14ac:dyDescent="0.2">
      <c r="A904" s="5">
        <v>843</v>
      </c>
      <c r="B904" s="138">
        <f>'Expenditures 15-22'!F46</f>
        <v>4401</v>
      </c>
      <c r="D904" s="2" t="str">
        <f t="shared" si="13"/>
        <v>Error?</v>
      </c>
    </row>
    <row r="905" spans="1:4" x14ac:dyDescent="0.2">
      <c r="A905" s="5">
        <v>844</v>
      </c>
      <c r="B905" s="138">
        <f>'Expenditures 15-22'!F47</f>
        <v>143034</v>
      </c>
      <c r="C905" s="2" t="s">
        <v>594</v>
      </c>
      <c r="D905" s="2" t="str">
        <f t="shared" si="13"/>
        <v>Error?</v>
      </c>
    </row>
    <row r="906" spans="1:4" x14ac:dyDescent="0.2">
      <c r="A906" s="5">
        <v>845</v>
      </c>
      <c r="B906" s="138">
        <f>'Expenditures 15-22'!F49</f>
        <v>11719</v>
      </c>
      <c r="D906" s="2" t="str">
        <f t="shared" si="13"/>
        <v>Error?</v>
      </c>
    </row>
    <row r="907" spans="1:4" x14ac:dyDescent="0.2">
      <c r="A907" s="5">
        <v>846</v>
      </c>
      <c r="B907" s="138">
        <f>'Expenditures 15-22'!F50</f>
        <v>43772</v>
      </c>
      <c r="D907" s="2" t="str">
        <f t="shared" si="13"/>
        <v>Error?</v>
      </c>
    </row>
    <row r="908" spans="1:4" x14ac:dyDescent="0.2">
      <c r="A908" s="5">
        <v>847</v>
      </c>
      <c r="B908" s="138">
        <f>'Expenditures 15-22'!F53</f>
        <v>55491</v>
      </c>
      <c r="C908" s="2" t="s">
        <v>594</v>
      </c>
      <c r="D908" s="2" t="str">
        <f t="shared" si="13"/>
        <v>Error?</v>
      </c>
    </row>
    <row r="909" spans="1:4" x14ac:dyDescent="0.2">
      <c r="A909" s="5">
        <v>848</v>
      </c>
      <c r="B909" s="138">
        <f>'Expenditures 15-22'!F55</f>
        <v>4306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217348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219323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434306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695744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6311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6311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13914</v>
      </c>
      <c r="D1007" s="2" t="str">
        <f t="shared" si="14"/>
        <v>Error?</v>
      </c>
    </row>
    <row r="1008" spans="1:4" x14ac:dyDescent="0.2">
      <c r="A1008" s="5">
        <v>947</v>
      </c>
      <c r="B1008" s="138">
        <f>'Expenditures 15-22'!H14</f>
        <v>21197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219579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896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896</v>
      </c>
      <c r="C1021" s="2" t="s">
        <v>594</v>
      </c>
      <c r="D1021" s="2" t="str">
        <f t="shared" si="14"/>
        <v>Error?</v>
      </c>
    </row>
    <row r="1022" spans="1:4" x14ac:dyDescent="0.2">
      <c r="A1022" s="5">
        <v>961</v>
      </c>
      <c r="B1022" s="138">
        <f>'Expenditures 15-22'!H49</f>
        <v>12689</v>
      </c>
      <c r="D1022" s="2" t="str">
        <f t="shared" si="14"/>
        <v>Error?</v>
      </c>
    </row>
    <row r="1023" spans="1:4" x14ac:dyDescent="0.2">
      <c r="A1023" s="5">
        <v>962</v>
      </c>
      <c r="B1023" s="138">
        <f>'Expenditures 15-22'!H50</f>
        <v>55</v>
      </c>
      <c r="D1023" s="2" t="str">
        <f t="shared" ref="D1023:D1086" si="15">IF(ISBLANK(B1023),"OK",IF(A1023-B1023=0,"OK","Error?"))</f>
        <v>Error?</v>
      </c>
    </row>
    <row r="1024" spans="1:4" x14ac:dyDescent="0.2">
      <c r="A1024" s="5">
        <v>963</v>
      </c>
      <c r="B1024" s="138">
        <f>'Expenditures 15-22'!H53</f>
        <v>12744</v>
      </c>
      <c r="C1024" s="2" t="s">
        <v>594</v>
      </c>
      <c r="D1024" s="2" t="str">
        <f t="shared" si="15"/>
        <v>Error?</v>
      </c>
    </row>
    <row r="1025" spans="1:4" x14ac:dyDescent="0.2">
      <c r="A1025" s="5">
        <v>964</v>
      </c>
      <c r="B1025" s="138">
        <f>'Expenditures 15-22'!H55</f>
        <v>6999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33041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1392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34433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55072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285910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8200697</v>
      </c>
      <c r="C1093" s="2" t="s">
        <v>594</v>
      </c>
      <c r="D1093" s="2" t="str">
        <f t="shared" si="16"/>
        <v>Error?</v>
      </c>
    </row>
    <row r="1094" spans="1:4" x14ac:dyDescent="0.2">
      <c r="A1094" s="5">
        <v>1033</v>
      </c>
      <c r="B1094" s="138">
        <f>'Expenditures 15-22'!K16</f>
        <v>265891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574848</v>
      </c>
      <c r="C1105" s="2" t="s">
        <v>594</v>
      </c>
      <c r="D1105" s="2" t="str">
        <f t="shared" si="16"/>
        <v>Error?</v>
      </c>
    </row>
    <row r="1106" spans="1:4" x14ac:dyDescent="0.2">
      <c r="A1106" s="5">
        <v>1045</v>
      </c>
      <c r="B1106" s="138">
        <f>'Expenditures 15-22'!K14</f>
        <v>855870</v>
      </c>
      <c r="C1106" s="2" t="s">
        <v>594</v>
      </c>
      <c r="D1106" s="2" t="str">
        <f t="shared" si="16"/>
        <v>Error?</v>
      </c>
    </row>
    <row r="1107" spans="1:4" x14ac:dyDescent="0.2">
      <c r="A1107" s="5">
        <v>1046</v>
      </c>
      <c r="B1107" s="138">
        <f>'Expenditures 15-22'!K15</f>
        <v>21887</v>
      </c>
      <c r="C1107" s="2" t="s">
        <v>594</v>
      </c>
      <c r="D1107" s="2" t="str">
        <f t="shared" si="16"/>
        <v>Error?</v>
      </c>
    </row>
    <row r="1108" spans="1:4" x14ac:dyDescent="0.2">
      <c r="A1108" s="5">
        <v>1047</v>
      </c>
      <c r="B1108" s="138">
        <f>'Expenditures 15-22'!K33</f>
        <v>12945759</v>
      </c>
      <c r="C1108" s="2" t="s">
        <v>594</v>
      </c>
      <c r="D1108" s="2" t="str">
        <f t="shared" si="16"/>
        <v>Error?</v>
      </c>
    </row>
    <row r="1109" spans="1:4" x14ac:dyDescent="0.2">
      <c r="A1109" s="5">
        <v>1048</v>
      </c>
      <c r="B1109" s="138">
        <f>'Expenditures 15-22'!K36</f>
        <v>173739</v>
      </c>
      <c r="C1109" s="2" t="s">
        <v>594</v>
      </c>
      <c r="D1109" s="2" t="str">
        <f t="shared" si="16"/>
        <v>Error?</v>
      </c>
    </row>
    <row r="1110" spans="1:4" x14ac:dyDescent="0.2">
      <c r="A1110" s="5">
        <v>1049</v>
      </c>
      <c r="B1110" s="138">
        <f>'Expenditures 15-22'!K37</f>
        <v>312362</v>
      </c>
      <c r="C1110" s="2" t="s">
        <v>594</v>
      </c>
      <c r="D1110" s="2" t="str">
        <f t="shared" si="16"/>
        <v>Error?</v>
      </c>
    </row>
    <row r="1111" spans="1:4" x14ac:dyDescent="0.2">
      <c r="A1111" s="5">
        <v>1050</v>
      </c>
      <c r="B1111" s="138">
        <f>'Expenditures 15-22'!K38</f>
        <v>145514</v>
      </c>
      <c r="C1111" s="2" t="s">
        <v>594</v>
      </c>
      <c r="D1111" s="2" t="str">
        <f t="shared" si="16"/>
        <v>Error?</v>
      </c>
    </row>
    <row r="1112" spans="1:4" x14ac:dyDescent="0.2">
      <c r="A1112" s="5">
        <v>1051</v>
      </c>
      <c r="B1112" s="138">
        <f>'Expenditures 15-22'!K39</f>
        <v>172361</v>
      </c>
      <c r="C1112" s="2" t="s">
        <v>594</v>
      </c>
      <c r="D1112" s="2" t="str">
        <f t="shared" si="16"/>
        <v>Error?</v>
      </c>
    </row>
    <row r="1113" spans="1:4" x14ac:dyDescent="0.2">
      <c r="A1113" s="5">
        <v>1052</v>
      </c>
      <c r="B1113" s="138">
        <f>'Expenditures 15-22'!K40</f>
        <v>259255</v>
      </c>
      <c r="C1113" s="2" t="s">
        <v>594</v>
      </c>
      <c r="D1113" s="2" t="str">
        <f t="shared" si="16"/>
        <v>Error?</v>
      </c>
    </row>
    <row r="1114" spans="1:4" x14ac:dyDescent="0.2">
      <c r="A1114" s="5">
        <v>1053</v>
      </c>
      <c r="B1114" s="138">
        <f>'Expenditures 15-22'!K41</f>
        <v>121524</v>
      </c>
      <c r="C1114" s="2" t="s">
        <v>594</v>
      </c>
      <c r="D1114" s="2" t="str">
        <f t="shared" si="16"/>
        <v>Error?</v>
      </c>
    </row>
    <row r="1115" spans="1:4" x14ac:dyDescent="0.2">
      <c r="A1115" s="5">
        <v>1054</v>
      </c>
      <c r="B1115" s="138">
        <f>'Expenditures 15-22'!K42</f>
        <v>1184755</v>
      </c>
      <c r="C1115" s="2" t="s">
        <v>594</v>
      </c>
      <c r="D1115" s="2" t="str">
        <f t="shared" si="16"/>
        <v>Error?</v>
      </c>
    </row>
    <row r="1116" spans="1:4" x14ac:dyDescent="0.2">
      <c r="A1116" s="5">
        <v>1055</v>
      </c>
      <c r="B1116" s="138">
        <f>'Expenditures 15-22'!K44</f>
        <v>88639</v>
      </c>
      <c r="C1116" s="2" t="s">
        <v>594</v>
      </c>
      <c r="D1116" s="2" t="str">
        <f t="shared" si="16"/>
        <v>Error?</v>
      </c>
    </row>
    <row r="1117" spans="1:4" x14ac:dyDescent="0.2">
      <c r="A1117" s="5">
        <v>1056</v>
      </c>
      <c r="B1117" s="138">
        <f>'Expenditures 15-22'!K45</f>
        <v>1083275</v>
      </c>
      <c r="C1117" s="2" t="s">
        <v>594</v>
      </c>
      <c r="D1117" s="2" t="str">
        <f t="shared" si="16"/>
        <v>Error?</v>
      </c>
    </row>
    <row r="1118" spans="1:4" x14ac:dyDescent="0.2">
      <c r="A1118" s="5">
        <v>1057</v>
      </c>
      <c r="B1118" s="138">
        <f>'Expenditures 15-22'!K46</f>
        <v>76371</v>
      </c>
      <c r="C1118" s="2" t="s">
        <v>594</v>
      </c>
      <c r="D1118" s="2" t="str">
        <f t="shared" si="16"/>
        <v>Error?</v>
      </c>
    </row>
    <row r="1119" spans="1:4" x14ac:dyDescent="0.2">
      <c r="A1119" s="5">
        <v>1058</v>
      </c>
      <c r="B1119" s="138">
        <f>'Expenditures 15-22'!K47</f>
        <v>1248285</v>
      </c>
      <c r="C1119" s="2" t="s">
        <v>594</v>
      </c>
      <c r="D1119" s="2" t="str">
        <f t="shared" si="16"/>
        <v>Error?</v>
      </c>
    </row>
    <row r="1120" spans="1:4" x14ac:dyDescent="0.2">
      <c r="A1120" s="5">
        <v>1059</v>
      </c>
      <c r="B1120" s="138">
        <f>'Expenditures 15-22'!K49</f>
        <v>-599068</v>
      </c>
      <c r="C1120" s="2" t="s">
        <v>594</v>
      </c>
      <c r="D1120" s="2" t="str">
        <f t="shared" si="16"/>
        <v>Error?</v>
      </c>
    </row>
    <row r="1121" spans="1:4" x14ac:dyDescent="0.2">
      <c r="A1121" s="5">
        <v>1060</v>
      </c>
      <c r="B1121" s="138">
        <f>'Expenditures 15-22'!K50</f>
        <v>459563</v>
      </c>
      <c r="C1121" s="2" t="s">
        <v>594</v>
      </c>
      <c r="D1121" s="2" t="str">
        <f t="shared" si="16"/>
        <v>Error?</v>
      </c>
    </row>
    <row r="1122" spans="1:4" x14ac:dyDescent="0.2">
      <c r="A1122" s="5">
        <v>1061</v>
      </c>
      <c r="B1122" s="138">
        <f>'Expenditures 15-22'!K53</f>
        <v>31023</v>
      </c>
      <c r="C1122" s="2" t="s">
        <v>594</v>
      </c>
      <c r="D1122" s="2" t="str">
        <f t="shared" si="16"/>
        <v>Error?</v>
      </c>
    </row>
    <row r="1123" spans="1:4" x14ac:dyDescent="0.2">
      <c r="A1123" s="5">
        <v>1062</v>
      </c>
      <c r="B1123" s="138">
        <f>'Expenditures 15-22'!K55</f>
        <v>1071075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1071075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275918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531563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807481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22640</v>
      </c>
      <c r="C1136" s="2" t="s">
        <v>594</v>
      </c>
      <c r="D1136" s="2" t="str">
        <f t="shared" si="16"/>
        <v>Error?</v>
      </c>
    </row>
    <row r="1137" spans="1:4" x14ac:dyDescent="0.2">
      <c r="A1137" s="5">
        <v>1076</v>
      </c>
      <c r="B1137" s="138">
        <f>'Expenditures 15-22'!K70</f>
        <v>5214</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27854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4370473</v>
      </c>
      <c r="C1143" s="2" t="s">
        <v>594</v>
      </c>
      <c r="D1143" s="2" t="str">
        <f t="shared" si="16"/>
        <v>Error?</v>
      </c>
    </row>
    <row r="1144" spans="1:4" x14ac:dyDescent="0.2">
      <c r="A1144" s="5">
        <v>1083</v>
      </c>
      <c r="B1144" s="138">
        <f>'Expenditures 15-22'!K75</f>
        <v>89</v>
      </c>
      <c r="C1144" s="2" t="s">
        <v>594</v>
      </c>
      <c r="D1144" s="2" t="str">
        <f t="shared" si="16"/>
        <v>Error?</v>
      </c>
    </row>
    <row r="1145" spans="1:4" x14ac:dyDescent="0.2">
      <c r="A1145" s="5">
        <v>1084</v>
      </c>
      <c r="B1145" s="138">
        <f>'Expenditures 15-22'!K102</f>
        <v>81295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17397616</v>
      </c>
      <c r="C1152" s="2" t="s">
        <v>594</v>
      </c>
      <c r="D1152" s="2" t="str">
        <f t="shared" si="17"/>
        <v>Error?</v>
      </c>
    </row>
    <row r="1153" spans="1:4" x14ac:dyDescent="0.2">
      <c r="A1153" s="5">
        <v>1092</v>
      </c>
      <c r="B1153" s="138">
        <f>'Expenditures 15-22'!K115</f>
        <v>2376830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702492</v>
      </c>
      <c r="D1221" s="2" t="str">
        <f t="shared" si="18"/>
        <v>Error?</v>
      </c>
    </row>
    <row r="1222" spans="1:4" x14ac:dyDescent="0.2">
      <c r="A1222" s="10">
        <v>1161</v>
      </c>
      <c r="D1222" s="2" t="str">
        <f t="shared" si="18"/>
        <v>OK</v>
      </c>
    </row>
    <row r="1223" spans="1:4" x14ac:dyDescent="0.2">
      <c r="A1223" s="5">
        <v>1162</v>
      </c>
      <c r="B1223" s="138">
        <f>'Expenditures 15-22'!C127</f>
        <v>702492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702492</v>
      </c>
      <c r="C1225" s="2" t="s">
        <v>594</v>
      </c>
      <c r="D1225" s="2" t="str">
        <f t="shared" si="18"/>
        <v>Error?</v>
      </c>
    </row>
    <row r="1226" spans="1:4" x14ac:dyDescent="0.2">
      <c r="A1226" s="5">
        <v>1165</v>
      </c>
      <c r="B1226" s="138">
        <f>'Expenditures 15-22'!C151</f>
        <v>702492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168302</v>
      </c>
      <c r="D1229" s="2" t="str">
        <f t="shared" si="18"/>
        <v>Error?</v>
      </c>
    </row>
    <row r="1230" spans="1:4" x14ac:dyDescent="0.2">
      <c r="A1230" s="10">
        <v>1169</v>
      </c>
      <c r="D1230" s="2" t="str">
        <f t="shared" si="18"/>
        <v>OK</v>
      </c>
    </row>
    <row r="1231" spans="1:4" x14ac:dyDescent="0.2">
      <c r="A1231" s="5">
        <v>1170</v>
      </c>
      <c r="B1231" s="138">
        <f>'Expenditures 15-22'!D127</f>
        <v>168302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168302</v>
      </c>
      <c r="C1233" s="2" t="s">
        <v>594</v>
      </c>
      <c r="D1233" s="2" t="str">
        <f t="shared" si="18"/>
        <v>Error?</v>
      </c>
    </row>
    <row r="1234" spans="1:4" x14ac:dyDescent="0.2">
      <c r="A1234" s="5">
        <v>1173</v>
      </c>
      <c r="B1234" s="138">
        <f>'Expenditures 15-22'!D151</f>
        <v>168302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506482</v>
      </c>
      <c r="D1237" s="2" t="str">
        <f t="shared" si="18"/>
        <v>Error?</v>
      </c>
    </row>
    <row r="1238" spans="1:4" x14ac:dyDescent="0.2">
      <c r="A1238" s="10">
        <v>1177</v>
      </c>
      <c r="D1238" s="2" t="str">
        <f t="shared" si="18"/>
        <v>OK</v>
      </c>
    </row>
    <row r="1239" spans="1:4" x14ac:dyDescent="0.2">
      <c r="A1239" s="5">
        <v>1178</v>
      </c>
      <c r="B1239" s="138">
        <f>'Expenditures 15-22'!E127</f>
        <v>506482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506482</v>
      </c>
      <c r="C1241" s="2" t="s">
        <v>594</v>
      </c>
      <c r="D1241" s="2" t="str">
        <f t="shared" si="18"/>
        <v>Error?</v>
      </c>
    </row>
    <row r="1242" spans="1:4" x14ac:dyDescent="0.2">
      <c r="A1242" s="5">
        <v>1181</v>
      </c>
      <c r="B1242" s="138">
        <f>'Expenditures 15-22'!E151</f>
        <v>506482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906261</v>
      </c>
      <c r="D1245" s="2" t="str">
        <f t="shared" si="18"/>
        <v>Error?</v>
      </c>
    </row>
    <row r="1246" spans="1:4" x14ac:dyDescent="0.2">
      <c r="A1246" s="10">
        <v>1185</v>
      </c>
      <c r="D1246" s="2" t="str">
        <f t="shared" si="18"/>
        <v>OK</v>
      </c>
    </row>
    <row r="1247" spans="1:4" x14ac:dyDescent="0.2">
      <c r="A1247" s="5">
        <v>1186</v>
      </c>
      <c r="B1247" s="138">
        <f>'Expenditures 15-22'!F127</f>
        <v>906261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906261</v>
      </c>
      <c r="C1249" s="2" t="s">
        <v>594</v>
      </c>
      <c r="D1249" s="2" t="str">
        <f t="shared" si="18"/>
        <v>Error?</v>
      </c>
    </row>
    <row r="1250" spans="1:4" x14ac:dyDescent="0.2">
      <c r="A1250" s="5">
        <v>1189</v>
      </c>
      <c r="B1250" s="138">
        <f>'Expenditures 15-22'!F151</f>
        <v>906261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838824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838824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838824</v>
      </c>
      <c r="C1258" s="2" t="s">
        <v>594</v>
      </c>
      <c r="D1258" s="2" t="str">
        <f t="shared" si="18"/>
        <v>Error?</v>
      </c>
    </row>
    <row r="1259" spans="1:4" x14ac:dyDescent="0.2">
      <c r="A1259" s="5">
        <v>1198</v>
      </c>
      <c r="B1259" s="138">
        <f>'Expenditures 15-22'!G151</f>
        <v>838824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3122361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3122361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3122361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3122361</v>
      </c>
      <c r="C1288" s="2" t="s">
        <v>594</v>
      </c>
      <c r="D1288" s="2" t="str">
        <f t="shared" si="19"/>
        <v>Error?</v>
      </c>
    </row>
    <row r="1289" spans="1:4" x14ac:dyDescent="0.2">
      <c r="A1289" s="5">
        <v>1228</v>
      </c>
      <c r="B1289" s="138">
        <f>'Expenditures 15-22'!K152</f>
        <v>-55222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966156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2810000</v>
      </c>
      <c r="D1315" s="2" t="str">
        <f t="shared" si="19"/>
        <v>Error?</v>
      </c>
    </row>
    <row r="1316" spans="1:4" x14ac:dyDescent="0.2">
      <c r="A1316" s="5">
        <v>1255</v>
      </c>
      <c r="B1316" s="138">
        <f>'Expenditures 15-22'!H171</f>
        <v>3325</v>
      </c>
      <c r="D1316" s="2" t="str">
        <f t="shared" si="19"/>
        <v>Error?</v>
      </c>
    </row>
    <row r="1317" spans="1:4" x14ac:dyDescent="0.2">
      <c r="A1317" s="5">
        <v>1256</v>
      </c>
      <c r="B1317" s="138">
        <f>'Expenditures 15-22'!H172</f>
        <v>3779481</v>
      </c>
      <c r="C1317" s="2" t="s">
        <v>594</v>
      </c>
      <c r="D1317" s="2" t="str">
        <f t="shared" si="19"/>
        <v>Error?</v>
      </c>
    </row>
    <row r="1318" spans="1:4" x14ac:dyDescent="0.2">
      <c r="A1318" s="5">
        <v>1257</v>
      </c>
      <c r="B1318" s="138">
        <f>'Expenditures 15-22'!H174</f>
        <v>3779481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966156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2810000</v>
      </c>
      <c r="C1329" s="2" t="s">
        <v>594</v>
      </c>
      <c r="D1329" s="2" t="str">
        <f t="shared" si="19"/>
        <v>Error?</v>
      </c>
    </row>
    <row r="1330" spans="1:4" x14ac:dyDescent="0.2">
      <c r="A1330" s="5">
        <v>1269</v>
      </c>
      <c r="B1330" s="138">
        <f>'Expenditures 15-22'!K171</f>
        <v>3325</v>
      </c>
      <c r="C1330" s="2" t="s">
        <v>594</v>
      </c>
      <c r="D1330" s="2" t="str">
        <f t="shared" si="19"/>
        <v>Error?</v>
      </c>
    </row>
    <row r="1331" spans="1:4" x14ac:dyDescent="0.2">
      <c r="A1331" s="5">
        <v>1270</v>
      </c>
      <c r="B1331" s="138">
        <f>'Expenditures 15-22'!K172</f>
        <v>3779481</v>
      </c>
      <c r="C1331" s="2" t="s">
        <v>594</v>
      </c>
      <c r="D1331" s="2" t="str">
        <f t="shared" si="19"/>
        <v>Error?</v>
      </c>
    </row>
    <row r="1332" spans="1:4" x14ac:dyDescent="0.2">
      <c r="A1332" s="5">
        <v>1271</v>
      </c>
      <c r="B1332" s="138">
        <f>'Expenditures 15-22'!K174</f>
        <v>3779481</v>
      </c>
      <c r="C1332" s="2" t="s">
        <v>594</v>
      </c>
      <c r="D1332" s="2" t="str">
        <f t="shared" si="19"/>
        <v>Error?</v>
      </c>
    </row>
    <row r="1333" spans="1:4" x14ac:dyDescent="0.2">
      <c r="A1333" s="5">
        <v>1272</v>
      </c>
      <c r="B1333" s="138">
        <f>'Expenditures 15-22'!K175</f>
        <v>-70462</v>
      </c>
      <c r="C1333" s="2" t="s">
        <v>594</v>
      </c>
      <c r="D1333" s="2" t="str">
        <f t="shared" si="19"/>
        <v>Error?</v>
      </c>
    </row>
    <row r="1334" spans="1:4" x14ac:dyDescent="0.2">
      <c r="A1334" s="10">
        <v>1273</v>
      </c>
      <c r="D1334" s="2" t="str">
        <f t="shared" si="19"/>
        <v>OK</v>
      </c>
    </row>
    <row r="1335" spans="1:4" x14ac:dyDescent="0.2">
      <c r="A1335" s="5">
        <v>1274</v>
      </c>
      <c r="B1335" s="138">
        <f>'Expenditures 15-22'!C182</f>
        <v>513376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513376</v>
      </c>
      <c r="C1339" s="2" t="s">
        <v>594</v>
      </c>
      <c r="D1339" s="2" t="str">
        <f t="shared" si="19"/>
        <v>Error?</v>
      </c>
    </row>
    <row r="1340" spans="1:4" x14ac:dyDescent="0.2">
      <c r="A1340" s="5">
        <v>1279</v>
      </c>
      <c r="B1340" s="138">
        <f>'Expenditures 15-22'!C210</f>
        <v>513376</v>
      </c>
      <c r="C1340" s="2" t="s">
        <v>594</v>
      </c>
      <c r="D1340" s="2" t="str">
        <f t="shared" si="19"/>
        <v>Error?</v>
      </c>
    </row>
    <row r="1341" spans="1:4" x14ac:dyDescent="0.2">
      <c r="A1341" s="5">
        <v>1280</v>
      </c>
      <c r="B1341" s="138">
        <f>'Expenditures 15-22'!D182</f>
        <v>61655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61655</v>
      </c>
      <c r="C1345" s="2" t="s">
        <v>594</v>
      </c>
      <c r="D1345" s="2" t="str">
        <f t="shared" si="20"/>
        <v>Error?</v>
      </c>
    </row>
    <row r="1346" spans="1:4" x14ac:dyDescent="0.2">
      <c r="A1346" s="5">
        <v>1285</v>
      </c>
      <c r="B1346" s="138">
        <f>'Expenditures 15-22'!D210</f>
        <v>61655</v>
      </c>
      <c r="C1346" s="2" t="s">
        <v>594</v>
      </c>
      <c r="D1346" s="2" t="str">
        <f t="shared" si="20"/>
        <v>Error?</v>
      </c>
    </row>
    <row r="1347" spans="1:4" x14ac:dyDescent="0.2">
      <c r="A1347" s="5">
        <v>1286</v>
      </c>
      <c r="B1347" s="138">
        <f>'Expenditures 15-22'!E182</f>
        <v>21559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21559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21559</v>
      </c>
      <c r="C1353" s="2" t="s">
        <v>594</v>
      </c>
      <c r="D1353" s="2" t="str">
        <f t="shared" si="20"/>
        <v>Error?</v>
      </c>
    </row>
    <row r="1354" spans="1:4" x14ac:dyDescent="0.2">
      <c r="A1354" s="5">
        <v>1293</v>
      </c>
      <c r="B1354" s="138">
        <f>'Expenditures 15-22'!F182</f>
        <v>105463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105463</v>
      </c>
      <c r="C1358" s="2" t="s">
        <v>594</v>
      </c>
      <c r="D1358" s="2" t="str">
        <f t="shared" si="20"/>
        <v>Error?</v>
      </c>
    </row>
    <row r="1359" spans="1:4" x14ac:dyDescent="0.2">
      <c r="A1359" s="5">
        <v>1298</v>
      </c>
      <c r="B1359" s="138">
        <f>'Expenditures 15-22'!F210</f>
        <v>105463</v>
      </c>
      <c r="C1359" s="2" t="s">
        <v>594</v>
      </c>
      <c r="D1359" s="2" t="str">
        <f t="shared" si="20"/>
        <v>Error?</v>
      </c>
    </row>
    <row r="1360" spans="1:4" x14ac:dyDescent="0.2">
      <c r="A1360" s="5">
        <v>1299</v>
      </c>
      <c r="B1360" s="138">
        <f>'Expenditures 15-22'!G182</f>
        <v>2341212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2341212</v>
      </c>
      <c r="C1364" s="2" t="s">
        <v>594</v>
      </c>
      <c r="D1364" s="2" t="str">
        <f t="shared" si="20"/>
        <v>Error?</v>
      </c>
    </row>
    <row r="1365" spans="1:4" x14ac:dyDescent="0.2">
      <c r="A1365" s="5">
        <v>1304</v>
      </c>
      <c r="B1365" s="138">
        <f>'Expenditures 15-22'!G210</f>
        <v>2341212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3043265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3043265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3043265</v>
      </c>
      <c r="C1388" s="2" t="s">
        <v>594</v>
      </c>
      <c r="D1388" s="2" t="str">
        <f t="shared" si="20"/>
        <v>Error?</v>
      </c>
    </row>
    <row r="1389" spans="1:4" x14ac:dyDescent="0.2">
      <c r="A1389" s="5">
        <v>1328</v>
      </c>
      <c r="B1389" s="138">
        <f>'Expenditures 15-22'!K211</f>
        <v>785036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3228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6786</v>
      </c>
      <c r="D1407" s="2" t="str">
        <f t="shared" ref="D1407:D1470" si="21">IF(ISBLANK(B1407),"OK",IF(A1407-B1407=0,"OK","Error?"))</f>
        <v>Error?</v>
      </c>
    </row>
    <row r="1408" spans="1:4" x14ac:dyDescent="0.2">
      <c r="A1408" s="5">
        <v>1347</v>
      </c>
      <c r="B1408" s="138">
        <f>'Expenditures 15-22'!D223</f>
        <v>34058</v>
      </c>
      <c r="D1408" s="2" t="str">
        <f t="shared" si="21"/>
        <v>Error?</v>
      </c>
    </row>
    <row r="1409" spans="1:4" x14ac:dyDescent="0.2">
      <c r="A1409" s="5">
        <v>1348</v>
      </c>
      <c r="B1409" s="138">
        <f>'Expenditures 15-22'!D224</f>
        <v>1433</v>
      </c>
      <c r="D1409" s="2" t="str">
        <f t="shared" si="21"/>
        <v>Error?</v>
      </c>
    </row>
    <row r="1410" spans="1:4" x14ac:dyDescent="0.2">
      <c r="A1410" s="5">
        <v>1349</v>
      </c>
      <c r="B1410" s="138">
        <f>'Expenditures 15-22'!D229</f>
        <v>318987</v>
      </c>
      <c r="C1410" s="2" t="s">
        <v>594</v>
      </c>
      <c r="D1410" s="2" t="str">
        <f t="shared" si="21"/>
        <v>Error?</v>
      </c>
    </row>
    <row r="1411" spans="1:4" x14ac:dyDescent="0.2">
      <c r="A1411" s="5">
        <v>1350</v>
      </c>
      <c r="B1411" s="138">
        <f>'Expenditures 15-22'!D232</f>
        <v>1903</v>
      </c>
      <c r="D1411" s="2" t="str">
        <f t="shared" si="21"/>
        <v>Error?</v>
      </c>
    </row>
    <row r="1412" spans="1:4" x14ac:dyDescent="0.2">
      <c r="A1412" s="5">
        <v>1351</v>
      </c>
      <c r="B1412" s="138">
        <f>'Expenditures 15-22'!D233</f>
        <v>10087</v>
      </c>
      <c r="D1412" s="2" t="str">
        <f t="shared" si="21"/>
        <v>Error?</v>
      </c>
    </row>
    <row r="1413" spans="1:4" x14ac:dyDescent="0.2">
      <c r="A1413" s="5">
        <v>1352</v>
      </c>
      <c r="B1413" s="138">
        <f>'Expenditures 15-22'!D234</f>
        <v>14756</v>
      </c>
      <c r="D1413" s="2" t="str">
        <f t="shared" si="21"/>
        <v>Error?</v>
      </c>
    </row>
    <row r="1414" spans="1:4" x14ac:dyDescent="0.2">
      <c r="A1414" s="5">
        <v>1353</v>
      </c>
      <c r="B1414" s="138">
        <f>'Expenditures 15-22'!D235</f>
        <v>1892</v>
      </c>
      <c r="D1414" s="2" t="str">
        <f t="shared" si="21"/>
        <v>Error?</v>
      </c>
    </row>
    <row r="1415" spans="1:4" x14ac:dyDescent="0.2">
      <c r="A1415" s="5">
        <v>1354</v>
      </c>
      <c r="B1415" s="138">
        <f>'Expenditures 15-22'!D236</f>
        <v>3086</v>
      </c>
      <c r="D1415" s="2" t="str">
        <f t="shared" si="21"/>
        <v>Error?</v>
      </c>
    </row>
    <row r="1416" spans="1:4" x14ac:dyDescent="0.2">
      <c r="A1416" s="5">
        <v>1355</v>
      </c>
      <c r="B1416" s="138">
        <f>'Expenditures 15-22'!D237</f>
        <v>13358</v>
      </c>
      <c r="D1416" s="2" t="str">
        <f t="shared" si="21"/>
        <v>Error?</v>
      </c>
    </row>
    <row r="1417" spans="1:4" x14ac:dyDescent="0.2">
      <c r="A1417" s="5">
        <v>1356</v>
      </c>
      <c r="B1417" s="138">
        <f>'Expenditures 15-22'!D238</f>
        <v>45082</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69684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69699</v>
      </c>
      <c r="C1421" s="2" t="s">
        <v>594</v>
      </c>
      <c r="D1421" s="2" t="str">
        <f t="shared" si="21"/>
        <v>Error?</v>
      </c>
    </row>
    <row r="1422" spans="1:4" x14ac:dyDescent="0.2">
      <c r="A1422" s="5">
        <v>1361</v>
      </c>
      <c r="B1422" s="138">
        <f>'Expenditures 15-22'!D245</f>
        <v>12</v>
      </c>
      <c r="D1422" s="2" t="str">
        <f t="shared" si="21"/>
        <v>Error?</v>
      </c>
    </row>
    <row r="1423" spans="1:4" x14ac:dyDescent="0.2">
      <c r="A1423" s="5">
        <v>1362</v>
      </c>
      <c r="B1423" s="138">
        <f>'Expenditures 15-22'!D246</f>
        <v>22929</v>
      </c>
      <c r="D1423" s="2" t="str">
        <f t="shared" si="21"/>
        <v>Error?</v>
      </c>
    </row>
    <row r="1424" spans="1:4" x14ac:dyDescent="0.2">
      <c r="A1424" s="5">
        <v>1363</v>
      </c>
      <c r="B1424" s="138">
        <f>'Expenditures 15-22'!D257</f>
        <v>36746</v>
      </c>
      <c r="C1424" s="2" t="s">
        <v>594</v>
      </c>
      <c r="D1424" s="2" t="str">
        <f t="shared" si="21"/>
        <v>Error?</v>
      </c>
    </row>
    <row r="1425" spans="1:4" x14ac:dyDescent="0.2">
      <c r="A1425" s="5">
        <v>1364</v>
      </c>
      <c r="B1425" s="138">
        <f>'Expenditures 15-22'!D259</f>
        <v>39535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39535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33921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119774</v>
      </c>
      <c r="D1431" s="2" t="str">
        <f t="shared" si="21"/>
        <v>Error?</v>
      </c>
    </row>
    <row r="1432" spans="1:4" x14ac:dyDescent="0.2">
      <c r="A1432" s="5">
        <v>1371</v>
      </c>
      <c r="B1432" s="138">
        <f>'Expenditures 15-22'!D267</f>
        <v>81234</v>
      </c>
      <c r="D1432" s="2" t="str">
        <f t="shared" si="21"/>
        <v>Error?</v>
      </c>
    </row>
    <row r="1433" spans="1:4" x14ac:dyDescent="0.2">
      <c r="A1433" s="5">
        <v>1372</v>
      </c>
      <c r="B1433" s="138">
        <f>'Expenditures 15-22'!D268</f>
        <v>35863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270792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461911</v>
      </c>
      <c r="C1446" s="2" t="s">
        <v>594</v>
      </c>
      <c r="D1446" s="2" t="str">
        <f t="shared" si="21"/>
        <v>Error?</v>
      </c>
    </row>
    <row r="1447" spans="1:4" x14ac:dyDescent="0.2">
      <c r="A1447" s="5">
        <v>1386</v>
      </c>
      <c r="B1447" s="138">
        <f>'Expenditures 15-22'!D280</f>
        <v>11</v>
      </c>
      <c r="D1447" s="2" t="str">
        <f t="shared" si="21"/>
        <v>Error?</v>
      </c>
    </row>
    <row r="1448" spans="1:4" x14ac:dyDescent="0.2">
      <c r="A1448" s="5">
        <v>1387</v>
      </c>
      <c r="B1448" s="138">
        <f>'Expenditures 15-22'!D295</f>
        <v>780909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3228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6786</v>
      </c>
      <c r="C1471" s="2" t="s">
        <v>594</v>
      </c>
      <c r="D1471" s="2" t="str">
        <f t="shared" ref="D1471:D1534" si="22">IF(ISBLANK(B1471),"OK",IF(A1471-B1471=0,"OK","Error?"))</f>
        <v>Error?</v>
      </c>
    </row>
    <row r="1472" spans="1:4" x14ac:dyDescent="0.2">
      <c r="A1472" s="5">
        <v>1411</v>
      </c>
      <c r="B1472" s="138">
        <f>'Expenditures 15-22'!K223</f>
        <v>34058</v>
      </c>
      <c r="C1472" s="2" t="s">
        <v>594</v>
      </c>
      <c r="D1472" s="2" t="str">
        <f t="shared" si="22"/>
        <v>Error?</v>
      </c>
    </row>
    <row r="1473" spans="1:4" x14ac:dyDescent="0.2">
      <c r="A1473" s="5">
        <v>1412</v>
      </c>
      <c r="B1473" s="138">
        <f>'Expenditures 15-22'!K224</f>
        <v>1433</v>
      </c>
      <c r="C1473" s="2" t="s">
        <v>594</v>
      </c>
      <c r="D1473" s="2" t="str">
        <f t="shared" si="22"/>
        <v>Error?</v>
      </c>
    </row>
    <row r="1474" spans="1:4" x14ac:dyDescent="0.2">
      <c r="A1474" s="5">
        <v>1413</v>
      </c>
      <c r="B1474" s="138">
        <f>'Expenditures 15-22'!K229</f>
        <v>318987</v>
      </c>
      <c r="C1474" s="2" t="s">
        <v>594</v>
      </c>
      <c r="D1474" s="2" t="str">
        <f t="shared" si="22"/>
        <v>Error?</v>
      </c>
    </row>
    <row r="1475" spans="1:4" x14ac:dyDescent="0.2">
      <c r="A1475" s="5">
        <v>1414</v>
      </c>
      <c r="B1475" s="138">
        <f>'Expenditures 15-22'!K232</f>
        <v>1903</v>
      </c>
      <c r="C1475" s="2" t="s">
        <v>594</v>
      </c>
      <c r="D1475" s="2" t="str">
        <f t="shared" si="22"/>
        <v>Error?</v>
      </c>
    </row>
    <row r="1476" spans="1:4" x14ac:dyDescent="0.2">
      <c r="A1476" s="5">
        <v>1415</v>
      </c>
      <c r="B1476" s="138">
        <f>'Expenditures 15-22'!K233</f>
        <v>10087</v>
      </c>
      <c r="C1476" s="2" t="s">
        <v>594</v>
      </c>
      <c r="D1476" s="2" t="str">
        <f t="shared" si="22"/>
        <v>Error?</v>
      </c>
    </row>
    <row r="1477" spans="1:4" x14ac:dyDescent="0.2">
      <c r="A1477" s="5">
        <v>1416</v>
      </c>
      <c r="B1477" s="138">
        <f>'Expenditures 15-22'!K234</f>
        <v>14756</v>
      </c>
      <c r="C1477" s="2" t="s">
        <v>594</v>
      </c>
      <c r="D1477" s="2" t="str">
        <f t="shared" si="22"/>
        <v>Error?</v>
      </c>
    </row>
    <row r="1478" spans="1:4" x14ac:dyDescent="0.2">
      <c r="A1478" s="5">
        <v>1417</v>
      </c>
      <c r="B1478" s="138">
        <f>'Expenditures 15-22'!K235</f>
        <v>1892</v>
      </c>
      <c r="C1478" s="2" t="s">
        <v>594</v>
      </c>
      <c r="D1478" s="2" t="str">
        <f t="shared" si="22"/>
        <v>Error?</v>
      </c>
    </row>
    <row r="1479" spans="1:4" x14ac:dyDescent="0.2">
      <c r="A1479" s="5">
        <v>1418</v>
      </c>
      <c r="B1479" s="138">
        <f>'Expenditures 15-22'!K236</f>
        <v>3086</v>
      </c>
      <c r="C1479" s="2" t="s">
        <v>594</v>
      </c>
      <c r="D1479" s="2" t="str">
        <f t="shared" si="22"/>
        <v>Error?</v>
      </c>
    </row>
    <row r="1480" spans="1:4" x14ac:dyDescent="0.2">
      <c r="A1480" s="5">
        <v>1419</v>
      </c>
      <c r="B1480" s="138">
        <f>'Expenditures 15-22'!K237</f>
        <v>13358</v>
      </c>
      <c r="C1480" s="2" t="s">
        <v>594</v>
      </c>
      <c r="D1480" s="2" t="str">
        <f t="shared" si="22"/>
        <v>Error?</v>
      </c>
    </row>
    <row r="1481" spans="1:4" x14ac:dyDescent="0.2">
      <c r="A1481" s="5">
        <v>1420</v>
      </c>
      <c r="B1481" s="138">
        <f>'Expenditures 15-22'!K238</f>
        <v>45082</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69684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69699</v>
      </c>
      <c r="C1485" s="2" t="s">
        <v>594</v>
      </c>
      <c r="D1485" s="2" t="str">
        <f t="shared" si="22"/>
        <v>Error?</v>
      </c>
    </row>
    <row r="1486" spans="1:4" x14ac:dyDescent="0.2">
      <c r="A1486" s="5">
        <v>1425</v>
      </c>
      <c r="B1486" s="138">
        <f>'Expenditures 15-22'!K245</f>
        <v>12</v>
      </c>
      <c r="C1486" s="2" t="s">
        <v>594</v>
      </c>
      <c r="D1486" s="2" t="str">
        <f t="shared" si="22"/>
        <v>Error?</v>
      </c>
    </row>
    <row r="1487" spans="1:4" x14ac:dyDescent="0.2">
      <c r="A1487" s="5">
        <v>1426</v>
      </c>
      <c r="B1487" s="138">
        <f>'Expenditures 15-22'!K246</f>
        <v>22929</v>
      </c>
      <c r="C1487" s="2" t="s">
        <v>594</v>
      </c>
      <c r="D1487" s="2" t="str">
        <f t="shared" si="22"/>
        <v>Error?</v>
      </c>
    </row>
    <row r="1488" spans="1:4" x14ac:dyDescent="0.2">
      <c r="A1488" s="5">
        <v>1427</v>
      </c>
      <c r="B1488" s="138">
        <f>'Expenditures 15-22'!K257</f>
        <v>36746</v>
      </c>
      <c r="C1488" s="2" t="s">
        <v>594</v>
      </c>
      <c r="D1488" s="2" t="str">
        <f t="shared" si="22"/>
        <v>Error?</v>
      </c>
    </row>
    <row r="1489" spans="1:4" x14ac:dyDescent="0.2">
      <c r="A1489" s="5">
        <v>1428</v>
      </c>
      <c r="B1489" s="138">
        <f>'Expenditures 15-22'!K259</f>
        <v>39535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39535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33921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119774</v>
      </c>
      <c r="C1495" s="2" t="s">
        <v>594</v>
      </c>
      <c r="D1495" s="2" t="str">
        <f t="shared" si="22"/>
        <v>Error?</v>
      </c>
    </row>
    <row r="1496" spans="1:4" x14ac:dyDescent="0.2">
      <c r="A1496" s="5">
        <v>1435</v>
      </c>
      <c r="B1496" s="138">
        <f>'Expenditures 15-22'!K267</f>
        <v>81234</v>
      </c>
      <c r="C1496" s="2" t="s">
        <v>594</v>
      </c>
      <c r="D1496" s="2" t="str">
        <f t="shared" si="22"/>
        <v>Error?</v>
      </c>
    </row>
    <row r="1497" spans="1:4" x14ac:dyDescent="0.2">
      <c r="A1497" s="5">
        <v>1436</v>
      </c>
      <c r="B1497" s="138">
        <f>'Expenditures 15-22'!K268</f>
        <v>35863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270792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57</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461911</v>
      </c>
      <c r="C1510" s="2" t="s">
        <v>594</v>
      </c>
      <c r="D1510" s="2" t="str">
        <f t="shared" si="22"/>
        <v>Error?</v>
      </c>
    </row>
    <row r="1511" spans="1:4" x14ac:dyDescent="0.2">
      <c r="A1511" s="5">
        <v>1450</v>
      </c>
      <c r="B1511" s="138">
        <f>'Expenditures 15-22'!K280</f>
        <v>11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780909</v>
      </c>
      <c r="C1517" s="2" t="s">
        <v>594</v>
      </c>
      <c r="D1517" s="2" t="str">
        <f t="shared" si="22"/>
        <v>Error?</v>
      </c>
    </row>
    <row r="1518" spans="1:4" x14ac:dyDescent="0.2">
      <c r="A1518" s="5">
        <v>1457</v>
      </c>
      <c r="B1518" s="138">
        <f>'Expenditures 15-22'!K296</f>
        <v>135391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242072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242072</v>
      </c>
      <c r="C1547" s="2" t="s">
        <v>594</v>
      </c>
      <c r="D1547" s="2" t="str">
        <f t="shared" si="23"/>
        <v>Error?</v>
      </c>
    </row>
    <row r="1548" spans="1:4" x14ac:dyDescent="0.2">
      <c r="A1548" s="5">
        <v>1487</v>
      </c>
      <c r="B1548" s="138">
        <f>'Expenditures 15-22'!G312</f>
        <v>242072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242072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242072</v>
      </c>
      <c r="C1559" s="2" t="s">
        <v>594</v>
      </c>
      <c r="D1559" s="2" t="str">
        <f t="shared" si="23"/>
        <v>Error?</v>
      </c>
    </row>
    <row r="1560" spans="1:4" x14ac:dyDescent="0.2">
      <c r="A1560" s="5">
        <v>1499</v>
      </c>
      <c r="B1560" s="138">
        <f>'Expenditures 15-22'!K312</f>
        <v>242072</v>
      </c>
      <c r="C1560" s="2" t="s">
        <v>594</v>
      </c>
      <c r="D1560" s="2" t="str">
        <f t="shared" si="23"/>
        <v>Error?</v>
      </c>
    </row>
    <row r="1561" spans="1:4" x14ac:dyDescent="0.2">
      <c r="A1561" s="5">
        <v>1500</v>
      </c>
      <c r="B1561" s="138">
        <f>'Expenditures 15-22'!K313</f>
        <v>-241870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13628200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16005030</v>
      </c>
      <c r="C1630" s="2" t="s">
        <v>594</v>
      </c>
      <c r="D1630" s="2" t="str">
        <f t="shared" si="24"/>
        <v>Error?</v>
      </c>
    </row>
    <row r="1631" spans="1:4" x14ac:dyDescent="0.2">
      <c r="A1631" s="5">
        <v>1570</v>
      </c>
      <c r="B1631" s="138">
        <f>'Acct Summary 7-8'!D79</f>
        <v>4316932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4261710</v>
      </c>
      <c r="C1644" s="2" t="s">
        <v>594</v>
      </c>
      <c r="D1644" s="2" t="str">
        <f t="shared" si="24"/>
        <v>Error?</v>
      </c>
    </row>
    <row r="1645" spans="1:4" x14ac:dyDescent="0.2">
      <c r="A1645" s="5">
        <v>1584</v>
      </c>
      <c r="B1645" s="138">
        <f>'Acct Summary 7-8'!E79</f>
        <v>1833453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1762991</v>
      </c>
      <c r="C1658" s="2" t="s">
        <v>594</v>
      </c>
      <c r="D1658" s="2" t="str">
        <f t="shared" si="24"/>
        <v>Error?</v>
      </c>
    </row>
    <row r="1659" spans="1:4" x14ac:dyDescent="0.2">
      <c r="A1659" s="5">
        <v>1598</v>
      </c>
      <c r="B1659" s="138">
        <f>'Acct Summary 7-8'!F79</f>
        <v>2444276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3229312</v>
      </c>
      <c r="C1672" s="2" t="s">
        <v>594</v>
      </c>
      <c r="D1672" s="2" t="str">
        <f t="shared" si="25"/>
        <v>Error?</v>
      </c>
    </row>
    <row r="1673" spans="1:4" x14ac:dyDescent="0.2">
      <c r="A1673" s="5">
        <v>1612</v>
      </c>
      <c r="B1673" s="138">
        <f>'Acct Summary 7-8'!G79</f>
        <v>1283463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1418854</v>
      </c>
      <c r="C1686" s="2" t="s">
        <v>594</v>
      </c>
      <c r="D1686" s="2" t="str">
        <f t="shared" si="25"/>
        <v>Error?</v>
      </c>
    </row>
    <row r="1687" spans="1:4" x14ac:dyDescent="0.2">
      <c r="A1687" s="5">
        <v>1626</v>
      </c>
      <c r="B1687" s="138">
        <f>'Acct Summary 7-8'!H79</f>
        <v>241870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15988456</v>
      </c>
      <c r="C1744" s="2" t="s">
        <v>594</v>
      </c>
      <c r="D1744" s="2" t="str">
        <f t="shared" si="26"/>
        <v>Error?</v>
      </c>
    </row>
    <row r="1745" spans="1:5" x14ac:dyDescent="0.2">
      <c r="A1745" s="5">
        <v>1684</v>
      </c>
      <c r="B1745" s="138">
        <f>'Tax Sched 23'!B5</f>
        <v>3023897</v>
      </c>
      <c r="C1745" s="2" t="s">
        <v>594</v>
      </c>
      <c r="D1745" s="2" t="str">
        <f t="shared" si="26"/>
        <v>Error?</v>
      </c>
    </row>
    <row r="1746" spans="1:5" x14ac:dyDescent="0.2">
      <c r="A1746" s="5">
        <v>1685</v>
      </c>
      <c r="B1746" s="138">
        <f>'Tax Sched 23'!B6</f>
        <v>3553832</v>
      </c>
      <c r="C1746" s="2" t="s">
        <v>594</v>
      </c>
      <c r="D1746" s="2" t="str">
        <f t="shared" si="26"/>
        <v>Error?</v>
      </c>
    </row>
    <row r="1747" spans="1:5" x14ac:dyDescent="0.2">
      <c r="A1747" s="5">
        <v>1686</v>
      </c>
      <c r="B1747" s="138">
        <f>'Tax Sched 23'!B7</f>
        <v>1390296</v>
      </c>
      <c r="C1747" s="2" t="s">
        <v>594</v>
      </c>
      <c r="D1747" s="2" t="str">
        <f t="shared" si="26"/>
        <v>Error?</v>
      </c>
    </row>
    <row r="1748" spans="1:5" x14ac:dyDescent="0.2">
      <c r="A1748" s="5">
        <v>1687</v>
      </c>
      <c r="B1748" s="138">
        <f>'Tax Sched 23'!B8</f>
        <v>420134</v>
      </c>
      <c r="C1748" s="2" t="s">
        <v>594</v>
      </c>
      <c r="D1748" s="2" t="str">
        <f t="shared" si="26"/>
        <v>Error?</v>
      </c>
    </row>
    <row r="1749" spans="1:5" x14ac:dyDescent="0.2">
      <c r="A1749" s="5">
        <v>1688</v>
      </c>
      <c r="B1749" s="138">
        <f>'Tax Sched 23'!B10</f>
        <v>347578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1489061</v>
      </c>
      <c r="C1752" s="2" t="s">
        <v>594</v>
      </c>
      <c r="D1752" s="2" t="str">
        <f t="shared" si="26"/>
        <v>Error?</v>
      </c>
    </row>
    <row r="1753" spans="1:5" x14ac:dyDescent="0.2">
      <c r="A1753" s="5">
        <v>1692</v>
      </c>
      <c r="B1753" s="138">
        <f>'Tax Sched 23'!B12</f>
        <v>347578</v>
      </c>
      <c r="C1753" s="2" t="s">
        <v>594</v>
      </c>
      <c r="D1753" s="2" t="str">
        <f t="shared" si="26"/>
        <v>Error?</v>
      </c>
    </row>
    <row r="1754" spans="1:5" x14ac:dyDescent="0.2">
      <c r="A1754" s="5">
        <v>1693</v>
      </c>
      <c r="B1754" s="138">
        <f>'Tax Sched 23'!B14</f>
        <v>278062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27652571</v>
      </c>
      <c r="C1759" s="2" t="s">
        <v>594</v>
      </c>
      <c r="D1759" s="2" t="str">
        <f t="shared" si="26"/>
        <v>Error?</v>
      </c>
    </row>
    <row r="1760" spans="1:5" x14ac:dyDescent="0.2">
      <c r="A1760" s="5">
        <v>1699</v>
      </c>
      <c r="B1760" s="138">
        <f>'Tax Sched 23'!D4</f>
        <v>7798021.1100000003</v>
      </c>
      <c r="C1760" s="2" t="s">
        <v>594</v>
      </c>
      <c r="D1760" s="2" t="str">
        <f t="shared" si="26"/>
        <v>Error?</v>
      </c>
    </row>
    <row r="1761" spans="1:5" x14ac:dyDescent="0.2">
      <c r="A1761" s="5">
        <v>1700</v>
      </c>
      <c r="B1761" s="138">
        <f>'Tax Sched 23'!D5</f>
        <v>1474836</v>
      </c>
      <c r="C1761" s="2" t="s">
        <v>594</v>
      </c>
      <c r="D1761" s="2" t="str">
        <f t="shared" si="26"/>
        <v>Error?</v>
      </c>
    </row>
    <row r="1762" spans="1:5" s="8" customFormat="1" x14ac:dyDescent="0.2">
      <c r="A1762" s="5">
        <v>1701</v>
      </c>
      <c r="B1762" s="138">
        <f>'Tax Sched 23'!D6</f>
        <v>1765506</v>
      </c>
      <c r="C1762" s="2" t="s">
        <v>594</v>
      </c>
      <c r="D1762" s="2" t="str">
        <f t="shared" si="26"/>
        <v>Error?</v>
      </c>
      <c r="E1762" s="9"/>
    </row>
    <row r="1763" spans="1:5" x14ac:dyDescent="0.2">
      <c r="A1763" s="5">
        <v>1702</v>
      </c>
      <c r="B1763" s="138">
        <f>'Tax Sched 23'!D7</f>
        <v>678090</v>
      </c>
      <c r="C1763" s="2" t="s">
        <v>594</v>
      </c>
      <c r="D1763" s="2" t="str">
        <f t="shared" si="26"/>
        <v>Error?</v>
      </c>
    </row>
    <row r="1764" spans="1:5" x14ac:dyDescent="0.2">
      <c r="A1764" s="5">
        <v>1703</v>
      </c>
      <c r="B1764" s="138">
        <f>'Tax Sched 23'!D8</f>
        <v>215730</v>
      </c>
      <c r="C1764" s="2" t="s">
        <v>594</v>
      </c>
      <c r="D1764" s="2" t="str">
        <f t="shared" si="26"/>
        <v>Error?</v>
      </c>
    </row>
    <row r="1765" spans="1:5" x14ac:dyDescent="0.2">
      <c r="A1765" s="5">
        <v>1704</v>
      </c>
      <c r="B1765" s="138">
        <f>'Tax Sched 23'!D10</f>
        <v>169523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659443</v>
      </c>
      <c r="C1768" s="2" t="s">
        <v>594</v>
      </c>
      <c r="D1768" s="2" t="str">
        <f t="shared" si="26"/>
        <v>Error?</v>
      </c>
    </row>
    <row r="1769" spans="1:5" x14ac:dyDescent="0.2">
      <c r="A1769" s="5">
        <v>1708</v>
      </c>
      <c r="B1769" s="138">
        <f>'Tax Sched 23'!D12</f>
        <v>169523</v>
      </c>
      <c r="C1769" s="2" t="s">
        <v>594</v>
      </c>
      <c r="D1769" s="2" t="str">
        <f t="shared" si="26"/>
        <v>Error?</v>
      </c>
    </row>
    <row r="1770" spans="1:5" x14ac:dyDescent="0.2">
      <c r="A1770" s="5">
        <v>1709</v>
      </c>
      <c r="B1770" s="138">
        <f>'Tax Sched 23'!D14</f>
        <v>135621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13463784.699999999</v>
      </c>
      <c r="C1775" s="2" t="s">
        <v>594</v>
      </c>
      <c r="D1775" s="2" t="str">
        <f t="shared" si="26"/>
        <v>Error?</v>
      </c>
    </row>
    <row r="1776" spans="1:5" x14ac:dyDescent="0.2">
      <c r="A1776" s="5">
        <v>1715</v>
      </c>
      <c r="B1776" s="138">
        <f>'Tax Sched 23'!C4</f>
        <v>8190434.8899999997</v>
      </c>
      <c r="D1776" s="2" t="str">
        <f t="shared" si="26"/>
        <v>Error?</v>
      </c>
    </row>
    <row r="1777" spans="1:4" x14ac:dyDescent="0.2">
      <c r="A1777" s="5">
        <v>1716</v>
      </c>
      <c r="B1777" s="138">
        <f>'Tax Sched 23'!C5</f>
        <v>1549061</v>
      </c>
      <c r="D1777" s="2" t="str">
        <f t="shared" si="26"/>
        <v>Error?</v>
      </c>
    </row>
    <row r="1778" spans="1:4" x14ac:dyDescent="0.2">
      <c r="A1778" s="5">
        <v>1717</v>
      </c>
      <c r="B1778" s="138">
        <f>'Tax Sched 23'!C6</f>
        <v>1788326</v>
      </c>
      <c r="D1778" s="2" t="str">
        <f t="shared" si="26"/>
        <v>Error?</v>
      </c>
    </row>
    <row r="1779" spans="1:4" x14ac:dyDescent="0.2">
      <c r="A1779" s="5">
        <v>1718</v>
      </c>
      <c r="B1779" s="138">
        <f>'Tax Sched 23'!C7</f>
        <v>712206</v>
      </c>
      <c r="D1779" s="2" t="str">
        <f t="shared" si="26"/>
        <v>Error?</v>
      </c>
    </row>
    <row r="1780" spans="1:4" x14ac:dyDescent="0.2">
      <c r="A1780" s="5">
        <v>1719</v>
      </c>
      <c r="B1780" s="138">
        <f>'Tax Sched 23'!C8</f>
        <v>204404</v>
      </c>
      <c r="D1780" s="2" t="str">
        <f t="shared" si="26"/>
        <v>Error?</v>
      </c>
    </row>
    <row r="1781" spans="1:4" x14ac:dyDescent="0.2">
      <c r="A1781" s="5">
        <v>1720</v>
      </c>
      <c r="B1781" s="138">
        <f>'Tax Sched 23'!C10</f>
        <v>178055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829618</v>
      </c>
      <c r="D1784" s="2" t="str">
        <f t="shared" si="26"/>
        <v>Error?</v>
      </c>
    </row>
    <row r="1785" spans="1:4" x14ac:dyDescent="0.2">
      <c r="A1785" s="5">
        <v>1724</v>
      </c>
      <c r="B1785" s="138">
        <f>'Tax Sched 23'!C12</f>
        <v>178055</v>
      </c>
      <c r="D1785" s="2" t="str">
        <f t="shared" si="26"/>
        <v>Error?</v>
      </c>
    </row>
    <row r="1786" spans="1:4" x14ac:dyDescent="0.2">
      <c r="A1786" s="5">
        <v>1725</v>
      </c>
      <c r="B1786" s="138">
        <f>'Tax Sched 23'!C14</f>
        <v>142441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14188786.300000001</v>
      </c>
      <c r="C1791" s="2" t="s">
        <v>594</v>
      </c>
      <c r="D1791" s="2" t="str">
        <f t="shared" ref="D1791:D1854" si="27">IF(ISBLANK(B1791),"OK",IF(A1791-B1791=0,"OK","Error?"))</f>
        <v>Error?</v>
      </c>
    </row>
    <row r="1792" spans="1:4" x14ac:dyDescent="0.2">
      <c r="A1792" s="5">
        <v>1731</v>
      </c>
      <c r="B1792" s="138">
        <f>'Tax Sched 23'!F4</f>
        <v>7837294.1100000003</v>
      </c>
      <c r="C1792" s="2" t="s">
        <v>594</v>
      </c>
      <c r="D1792" s="2" t="str">
        <f t="shared" si="27"/>
        <v>Error?</v>
      </c>
    </row>
    <row r="1793" spans="1:4" x14ac:dyDescent="0.2">
      <c r="A1793" s="5">
        <v>1732</v>
      </c>
      <c r="B1793" s="138">
        <f>'Tax Sched 23'!F5</f>
        <v>1482270</v>
      </c>
      <c r="C1793" s="2" t="s">
        <v>594</v>
      </c>
      <c r="D1793" s="2" t="str">
        <f t="shared" si="27"/>
        <v>Error?</v>
      </c>
    </row>
    <row r="1794" spans="1:4" x14ac:dyDescent="0.2">
      <c r="A1794" s="5">
        <v>1733</v>
      </c>
      <c r="B1794" s="138">
        <f>'Tax Sched 23'!F6</f>
        <v>1711224</v>
      </c>
      <c r="C1794" s="2" t="s">
        <v>594</v>
      </c>
      <c r="D1794" s="2" t="str">
        <f t="shared" si="27"/>
        <v>Error?</v>
      </c>
    </row>
    <row r="1795" spans="1:4" x14ac:dyDescent="0.2">
      <c r="A1795" s="5">
        <v>1734</v>
      </c>
      <c r="B1795" s="138">
        <f>'Tax Sched 23'!F7</f>
        <v>681510</v>
      </c>
      <c r="C1795" s="2" t="s">
        <v>594</v>
      </c>
      <c r="D1795" s="2" t="str">
        <f t="shared" si="27"/>
        <v>Error?</v>
      </c>
    </row>
    <row r="1796" spans="1:4" x14ac:dyDescent="0.2">
      <c r="A1796" s="5">
        <v>1735</v>
      </c>
      <c r="B1796" s="138">
        <f>'Tax Sched 23'!F8</f>
        <v>195592</v>
      </c>
      <c r="C1796" s="2" t="s">
        <v>594</v>
      </c>
      <c r="D1796" s="2" t="str">
        <f t="shared" si="27"/>
        <v>Error?</v>
      </c>
    </row>
    <row r="1797" spans="1:4" x14ac:dyDescent="0.2">
      <c r="A1797" s="5">
        <v>1736</v>
      </c>
      <c r="B1797" s="138">
        <f>'Tax Sched 23'!F10</f>
        <v>170374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793852</v>
      </c>
      <c r="C1800" s="2" t="s">
        <v>594</v>
      </c>
      <c r="D1800" s="2" t="str">
        <f t="shared" si="27"/>
        <v>Error?</v>
      </c>
    </row>
    <row r="1801" spans="1:4" x14ac:dyDescent="0.2">
      <c r="A1801" s="5">
        <v>1740</v>
      </c>
      <c r="B1801" s="138">
        <f>'Tax Sched 23'!F12</f>
        <v>170374</v>
      </c>
      <c r="C1801" s="2" t="s">
        <v>594</v>
      </c>
      <c r="D1801" s="2" t="str">
        <f t="shared" si="27"/>
        <v>Error?</v>
      </c>
    </row>
    <row r="1802" spans="1:4" x14ac:dyDescent="0.2">
      <c r="A1802" s="5">
        <v>1741</v>
      </c>
      <c r="B1802" s="138">
        <f>'Tax Sched 23'!F14</f>
        <v>136302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13577024.699999999</v>
      </c>
      <c r="C1807" s="2" t="s">
        <v>594</v>
      </c>
      <c r="D1807" s="2" t="str">
        <f t="shared" si="27"/>
        <v>Error?</v>
      </c>
    </row>
    <row r="1808" spans="1:4" x14ac:dyDescent="0.2">
      <c r="A1808" s="5">
        <v>1747</v>
      </c>
      <c r="B1808" s="138">
        <f>'Tax Sched 23'!E4</f>
        <v>16027729</v>
      </c>
      <c r="D1808" s="2" t="str">
        <f t="shared" si="27"/>
        <v>Error?</v>
      </c>
    </row>
    <row r="1809" spans="1:4" x14ac:dyDescent="0.2">
      <c r="A1809" s="5">
        <v>1748</v>
      </c>
      <c r="B1809" s="138">
        <f>'Tax Sched 23'!E5</f>
        <v>3031331</v>
      </c>
      <c r="D1809" s="2" t="str">
        <f t="shared" si="27"/>
        <v>Error?</v>
      </c>
    </row>
    <row r="1810" spans="1:4" x14ac:dyDescent="0.2">
      <c r="A1810" s="5">
        <v>1749</v>
      </c>
      <c r="B1810" s="138">
        <f>'Tax Sched 23'!E6</f>
        <v>3499550</v>
      </c>
      <c r="D1810" s="2" t="str">
        <f t="shared" si="27"/>
        <v>Error?</v>
      </c>
    </row>
    <row r="1811" spans="1:4" x14ac:dyDescent="0.2">
      <c r="A1811" s="5">
        <v>1750</v>
      </c>
      <c r="B1811" s="138">
        <f>'Tax Sched 23'!E7</f>
        <v>1393716</v>
      </c>
      <c r="D1811" s="2" t="str">
        <f t="shared" si="27"/>
        <v>Error?</v>
      </c>
    </row>
    <row r="1812" spans="1:4" x14ac:dyDescent="0.2">
      <c r="A1812" s="5">
        <v>1751</v>
      </c>
      <c r="B1812" s="138">
        <f>'Tax Sched 23'!E8</f>
        <v>399996</v>
      </c>
      <c r="D1812" s="2" t="str">
        <f t="shared" si="27"/>
        <v>Error?</v>
      </c>
    </row>
    <row r="1813" spans="1:4" x14ac:dyDescent="0.2">
      <c r="A1813" s="5">
        <v>1752</v>
      </c>
      <c r="B1813" s="138">
        <f>'Tax Sched 23'!E10</f>
        <v>348429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1623470</v>
      </c>
      <c r="D1816" s="2" t="str">
        <f t="shared" si="27"/>
        <v>Error?</v>
      </c>
    </row>
    <row r="1817" spans="1:4" x14ac:dyDescent="0.2">
      <c r="A1817" s="5">
        <v>1756</v>
      </c>
      <c r="B1817" s="138">
        <f>'Tax Sched 23'!E12</f>
        <v>348429</v>
      </c>
      <c r="D1817" s="2" t="str">
        <f t="shared" si="27"/>
        <v>Error?</v>
      </c>
    </row>
    <row r="1818" spans="1:4" x14ac:dyDescent="0.2">
      <c r="A1818" s="5">
        <v>1757</v>
      </c>
      <c r="B1818" s="138">
        <f>'Tax Sched 23'!E14</f>
        <v>278743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27765811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25137221</v>
      </c>
      <c r="C1939" s="2" t="s">
        <v>594</v>
      </c>
      <c r="D1939" s="2" t="str">
        <f t="shared" si="29"/>
        <v>Error?</v>
      </c>
    </row>
    <row r="1940" spans="1:5" x14ac:dyDescent="0.2">
      <c r="A1940" s="5">
        <v>1879</v>
      </c>
      <c r="B1940" s="138">
        <f>'Short-Term Long-Term Debt 24'!F49</f>
        <v>311663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278062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278062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278062</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280173</v>
      </c>
      <c r="D2008" s="2" t="str">
        <f t="shared" si="30"/>
        <v>Error?</v>
      </c>
    </row>
    <row r="2009" spans="1:4" x14ac:dyDescent="0.2">
      <c r="A2009" s="5">
        <v>1948</v>
      </c>
      <c r="B2009" s="138">
        <f>'Cap Outlay Deprec 26'!C8</f>
        <v>88980619</v>
      </c>
      <c r="D2009" s="2" t="str">
        <f t="shared" si="30"/>
        <v>Error?</v>
      </c>
    </row>
    <row r="2010" spans="1:4" x14ac:dyDescent="0.2">
      <c r="A2010" s="5">
        <v>1949</v>
      </c>
      <c r="B2010" s="138">
        <f>'Cap Outlay Deprec 26'!C10</f>
        <v>10680334</v>
      </c>
      <c r="D2010" s="2" t="str">
        <f t="shared" si="30"/>
        <v>Error?</v>
      </c>
    </row>
    <row r="2011" spans="1:4" x14ac:dyDescent="0.2">
      <c r="A2011" s="5">
        <v>1950</v>
      </c>
      <c r="B2011" s="138">
        <f>'Cap Outlay Deprec 26'!C12</f>
        <v>7480212</v>
      </c>
      <c r="D2011" s="2" t="str">
        <f t="shared" si="30"/>
        <v>Error?</v>
      </c>
    </row>
    <row r="2012" spans="1:4" x14ac:dyDescent="0.2">
      <c r="A2012" s="5">
        <v>1951</v>
      </c>
      <c r="B2012" s="138">
        <f>'Cap Outlay Deprec 26'!C13</f>
        <v>3278511</v>
      </c>
      <c r="D2012" s="2" t="str">
        <f t="shared" si="30"/>
        <v>Error?</v>
      </c>
    </row>
    <row r="2013" spans="1:4" x14ac:dyDescent="0.2">
      <c r="A2013" s="5">
        <v>1952</v>
      </c>
      <c r="B2013" s="138">
        <f>'Cap Outlay Deprec 26'!C16</f>
        <v>111155940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895337</v>
      </c>
      <c r="D2016" s="2" t="str">
        <f t="shared" si="30"/>
        <v>Error?</v>
      </c>
    </row>
    <row r="2017" spans="1:4" x14ac:dyDescent="0.2">
      <c r="A2017" s="5">
        <v>1956</v>
      </c>
      <c r="B2017" s="138">
        <f>'Cap Outlay Deprec 26'!D12</f>
        <v>11292</v>
      </c>
      <c r="D2017" s="2" t="str">
        <f t="shared" si="30"/>
        <v>Error?</v>
      </c>
    </row>
    <row r="2018" spans="1:4" x14ac:dyDescent="0.2">
      <c r="A2018" s="5">
        <v>1957</v>
      </c>
      <c r="B2018" s="138">
        <f>'Cap Outlay Deprec 26'!D13</f>
        <v>2347523</v>
      </c>
      <c r="D2018" s="2" t="str">
        <f t="shared" si="30"/>
        <v>Error?</v>
      </c>
    </row>
    <row r="2019" spans="1:4" x14ac:dyDescent="0.2">
      <c r="A2019" s="5">
        <v>1958</v>
      </c>
      <c r="B2019" s="138">
        <f>'Cap Outlay Deprec 26'!D16</f>
        <v>5591427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2372340</v>
      </c>
      <c r="D2024" s="2" t="str">
        <f t="shared" si="30"/>
        <v>Error?</v>
      </c>
    </row>
    <row r="2025" spans="1:4" x14ac:dyDescent="0.2">
      <c r="A2025" s="5">
        <v>1964</v>
      </c>
      <c r="B2025" s="138">
        <f>'Cap Outlay Deprec 26'!E16</f>
        <v>3267677</v>
      </c>
      <c r="C2025" s="2" t="s">
        <v>594</v>
      </c>
      <c r="D2025" s="2" t="str">
        <f t="shared" si="30"/>
        <v>Error?</v>
      </c>
    </row>
    <row r="2026" spans="1:4" x14ac:dyDescent="0.2">
      <c r="A2026" s="5">
        <v>1965</v>
      </c>
      <c r="B2026" s="138">
        <f>'Cap Outlay Deprec 26'!F5</f>
        <v>280173</v>
      </c>
      <c r="C2026" s="2" t="s">
        <v>594</v>
      </c>
      <c r="D2026" s="2" t="str">
        <f t="shared" si="30"/>
        <v>Error?</v>
      </c>
    </row>
    <row r="2027" spans="1:4" x14ac:dyDescent="0.2">
      <c r="A2027" s="5">
        <v>1966</v>
      </c>
      <c r="B2027" s="138">
        <f>'Cap Outlay Deprec 26'!F8</f>
        <v>88980619</v>
      </c>
      <c r="C2027" s="2" t="s">
        <v>594</v>
      </c>
      <c r="D2027" s="2" t="str">
        <f t="shared" si="30"/>
        <v>Error?</v>
      </c>
    </row>
    <row r="2028" spans="1:4" x14ac:dyDescent="0.2">
      <c r="A2028" s="5">
        <v>1967</v>
      </c>
      <c r="B2028" s="138">
        <f>'Cap Outlay Deprec 26'!F10</f>
        <v>11575671</v>
      </c>
      <c r="C2028" s="2" t="s">
        <v>594</v>
      </c>
      <c r="D2028" s="2" t="str">
        <f t="shared" si="30"/>
        <v>Error?</v>
      </c>
    </row>
    <row r="2029" spans="1:4" x14ac:dyDescent="0.2">
      <c r="A2029" s="5">
        <v>1968</v>
      </c>
      <c r="B2029" s="138">
        <f>'Cap Outlay Deprec 26'!F12</f>
        <v>7491504</v>
      </c>
      <c r="C2029" s="2" t="s">
        <v>594</v>
      </c>
      <c r="D2029" s="2" t="str">
        <f t="shared" si="30"/>
        <v>Error?</v>
      </c>
    </row>
    <row r="2030" spans="1:4" x14ac:dyDescent="0.2">
      <c r="A2030" s="5">
        <v>1969</v>
      </c>
      <c r="B2030" s="138">
        <f>'Cap Outlay Deprec 26'!F13</f>
        <v>3253694</v>
      </c>
      <c r="C2030" s="2" t="s">
        <v>594</v>
      </c>
      <c r="D2030" s="2" t="str">
        <f t="shared" si="30"/>
        <v>Error?</v>
      </c>
    </row>
    <row r="2031" spans="1:4" x14ac:dyDescent="0.2">
      <c r="A2031" s="5">
        <v>1970</v>
      </c>
      <c r="B2031" s="138">
        <f>'Cap Outlay Deprec 26'!F16</f>
        <v>113479690</v>
      </c>
      <c r="C2031" s="2" t="s">
        <v>594</v>
      </c>
      <c r="D2031" s="2" t="str">
        <f t="shared" si="30"/>
        <v>Error?</v>
      </c>
    </row>
    <row r="2032" spans="1:4" x14ac:dyDescent="0.2">
      <c r="A2032" s="10">
        <v>1971</v>
      </c>
      <c r="D2032" s="2" t="str">
        <f t="shared" si="30"/>
        <v>OK</v>
      </c>
    </row>
    <row r="2033" spans="1:4" x14ac:dyDescent="0.2">
      <c r="A2033" s="5">
        <v>1972</v>
      </c>
      <c r="B2033" s="138">
        <f>'Cap Outlay Deprec 26'!H8</f>
        <v>29658190</v>
      </c>
      <c r="D2033" s="2" t="str">
        <f t="shared" si="30"/>
        <v>Error?</v>
      </c>
    </row>
    <row r="2034" spans="1:4" x14ac:dyDescent="0.2">
      <c r="A2034" s="5">
        <v>1973</v>
      </c>
      <c r="B2034" s="138">
        <f>'Cap Outlay Deprec 26'!H10</f>
        <v>3871430</v>
      </c>
      <c r="D2034" s="2" t="str">
        <f t="shared" si="30"/>
        <v>Error?</v>
      </c>
    </row>
    <row r="2035" spans="1:4" x14ac:dyDescent="0.2">
      <c r="A2035" s="5">
        <v>1974</v>
      </c>
      <c r="B2035" s="138">
        <f>'Cap Outlay Deprec 26'!H12</f>
        <v>7029284</v>
      </c>
      <c r="D2035" s="2" t="str">
        <f t="shared" si="30"/>
        <v>Error?</v>
      </c>
    </row>
    <row r="2036" spans="1:4" x14ac:dyDescent="0.2">
      <c r="A2036" s="5">
        <v>1975</v>
      </c>
      <c r="B2036" s="138">
        <f>'Cap Outlay Deprec 26'!H13</f>
        <v>900249</v>
      </c>
      <c r="D2036" s="2" t="str">
        <f t="shared" si="30"/>
        <v>Error?</v>
      </c>
    </row>
    <row r="2037" spans="1:4" x14ac:dyDescent="0.2">
      <c r="A2037" s="5">
        <v>1976</v>
      </c>
      <c r="B2037" s="138">
        <f>'Cap Outlay Deprec 26'!H16</f>
        <v>41589168</v>
      </c>
      <c r="C2037" s="2" t="s">
        <v>594</v>
      </c>
      <c r="D2037" s="2" t="str">
        <f t="shared" si="30"/>
        <v>Error?</v>
      </c>
    </row>
    <row r="2038" spans="1:4" x14ac:dyDescent="0.2">
      <c r="A2038" s="10">
        <v>1977</v>
      </c>
      <c r="D2038" s="2" t="str">
        <f t="shared" si="30"/>
        <v>OK</v>
      </c>
    </row>
    <row r="2039" spans="1:4" x14ac:dyDescent="0.2">
      <c r="A2039" s="5">
        <v>1978</v>
      </c>
      <c r="B2039" s="138">
        <f>'Cap Outlay Deprec 26'!I8</f>
        <v>1750958</v>
      </c>
      <c r="D2039" s="2" t="str">
        <f t="shared" si="30"/>
        <v>Error?</v>
      </c>
    </row>
    <row r="2040" spans="1:4" x14ac:dyDescent="0.2">
      <c r="A2040" s="5">
        <v>1979</v>
      </c>
      <c r="B2040" s="138">
        <f>'Cap Outlay Deprec 26'!I10</f>
        <v>604172</v>
      </c>
      <c r="D2040" s="2" t="str">
        <f t="shared" si="30"/>
        <v>Error?</v>
      </c>
    </row>
    <row r="2041" spans="1:4" x14ac:dyDescent="0.2">
      <c r="A2041" s="5">
        <v>1980</v>
      </c>
      <c r="B2041" s="138">
        <f>'Cap Outlay Deprec 26'!I12</f>
        <v>80250</v>
      </c>
      <c r="D2041" s="2" t="str">
        <f t="shared" si="30"/>
        <v>Error?</v>
      </c>
    </row>
    <row r="2042" spans="1:4" x14ac:dyDescent="0.2">
      <c r="A2042" s="5">
        <v>1981</v>
      </c>
      <c r="B2042" s="138">
        <f>'Cap Outlay Deprec 26'!I13</f>
        <v>529348</v>
      </c>
      <c r="D2042" s="2" t="str">
        <f t="shared" si="30"/>
        <v>Error?</v>
      </c>
    </row>
    <row r="2043" spans="1:4" x14ac:dyDescent="0.2">
      <c r="A2043" s="5">
        <v>1982</v>
      </c>
      <c r="B2043" s="138">
        <f>'Cap Outlay Deprec 26'!I16</f>
        <v>2964728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474468</v>
      </c>
      <c r="D2048" s="2" t="str">
        <f t="shared" si="31"/>
        <v>Error?</v>
      </c>
    </row>
    <row r="2049" spans="1:4" x14ac:dyDescent="0.2">
      <c r="A2049" s="5">
        <v>1988</v>
      </c>
      <c r="B2049" s="138">
        <f>'Cap Outlay Deprec 26'!J16</f>
        <v>474468</v>
      </c>
      <c r="C2049" s="2" t="s">
        <v>594</v>
      </c>
      <c r="D2049" s="2" t="str">
        <f t="shared" si="31"/>
        <v>Error?</v>
      </c>
    </row>
    <row r="2050" spans="1:4" x14ac:dyDescent="0.2">
      <c r="A2050" s="10">
        <v>1989</v>
      </c>
      <c r="D2050" s="2" t="str">
        <f t="shared" si="31"/>
        <v>OK</v>
      </c>
    </row>
    <row r="2051" spans="1:4" x14ac:dyDescent="0.2">
      <c r="A2051" s="5">
        <v>1990</v>
      </c>
      <c r="B2051" s="138">
        <f>'Cap Outlay Deprec 26'!K8</f>
        <v>31409148</v>
      </c>
      <c r="C2051" s="2" t="s">
        <v>594</v>
      </c>
      <c r="D2051" s="2" t="str">
        <f t="shared" si="31"/>
        <v>Error?</v>
      </c>
    </row>
    <row r="2052" spans="1:4" x14ac:dyDescent="0.2">
      <c r="A2052" s="5">
        <v>1991</v>
      </c>
      <c r="B2052" s="138">
        <f>'Cap Outlay Deprec 26'!K10</f>
        <v>4475602</v>
      </c>
      <c r="C2052" s="2" t="s">
        <v>594</v>
      </c>
      <c r="D2052" s="2" t="str">
        <f t="shared" si="31"/>
        <v>Error?</v>
      </c>
    </row>
    <row r="2053" spans="1:4" x14ac:dyDescent="0.2">
      <c r="A2053" s="5">
        <v>1992</v>
      </c>
      <c r="B2053" s="138">
        <f>'Cap Outlay Deprec 26'!K12</f>
        <v>7109534</v>
      </c>
      <c r="C2053" s="2" t="s">
        <v>594</v>
      </c>
      <c r="D2053" s="2" t="str">
        <f t="shared" si="31"/>
        <v>Error?</v>
      </c>
    </row>
    <row r="2054" spans="1:4" x14ac:dyDescent="0.2">
      <c r="A2054" s="5">
        <v>1993</v>
      </c>
      <c r="B2054" s="138">
        <f>'Cap Outlay Deprec 26'!K13</f>
        <v>955129</v>
      </c>
      <c r="C2054" s="2" t="s">
        <v>594</v>
      </c>
      <c r="D2054" s="2" t="str">
        <f t="shared" si="31"/>
        <v>Error?</v>
      </c>
    </row>
    <row r="2055" spans="1:4" x14ac:dyDescent="0.2">
      <c r="A2055" s="5">
        <v>1994</v>
      </c>
      <c r="B2055" s="138">
        <f>'Cap Outlay Deprec 26'!K16</f>
        <v>44079428</v>
      </c>
      <c r="C2055" s="2" t="s">
        <v>594</v>
      </c>
      <c r="D2055" s="2" t="str">
        <f t="shared" si="31"/>
        <v>Error?</v>
      </c>
    </row>
    <row r="2056" spans="1:4" x14ac:dyDescent="0.2">
      <c r="A2056" s="5">
        <v>1995</v>
      </c>
      <c r="B2056" s="138">
        <f>'Cap Outlay Deprec 26'!L5</f>
        <v>280173</v>
      </c>
      <c r="C2056" s="2" t="s">
        <v>594</v>
      </c>
      <c r="D2056" s="2" t="str">
        <f t="shared" si="31"/>
        <v>Error?</v>
      </c>
    </row>
    <row r="2057" spans="1:4" x14ac:dyDescent="0.2">
      <c r="A2057" s="5">
        <v>1996</v>
      </c>
      <c r="B2057" s="138">
        <f>'Cap Outlay Deprec 26'!L8</f>
        <v>57571471</v>
      </c>
      <c r="C2057" s="2" t="s">
        <v>594</v>
      </c>
      <c r="D2057" s="2" t="str">
        <f t="shared" si="31"/>
        <v>Error?</v>
      </c>
    </row>
    <row r="2058" spans="1:4" x14ac:dyDescent="0.2">
      <c r="A2058" s="5">
        <v>1997</v>
      </c>
      <c r="B2058" s="138">
        <f>'Cap Outlay Deprec 26'!L10</f>
        <v>7100069</v>
      </c>
      <c r="C2058" s="2" t="s">
        <v>594</v>
      </c>
      <c r="D2058" s="2" t="str">
        <f t="shared" si="31"/>
        <v>Error?</v>
      </c>
    </row>
    <row r="2059" spans="1:4" x14ac:dyDescent="0.2">
      <c r="A2059" s="5">
        <v>1998</v>
      </c>
      <c r="B2059" s="138">
        <f>'Cap Outlay Deprec 26'!L12</f>
        <v>381970</v>
      </c>
      <c r="C2059" s="2" t="s">
        <v>594</v>
      </c>
      <c r="D2059" s="2" t="str">
        <f t="shared" si="31"/>
        <v>Error?</v>
      </c>
    </row>
    <row r="2060" spans="1:4" x14ac:dyDescent="0.2">
      <c r="A2060" s="5">
        <v>1999</v>
      </c>
      <c r="B2060" s="138">
        <f>'Cap Outlay Deprec 26'!L13</f>
        <v>2298565</v>
      </c>
      <c r="C2060" s="2" t="s">
        <v>594</v>
      </c>
      <c r="D2060" s="2" t="str">
        <f t="shared" si="31"/>
        <v>Error?</v>
      </c>
    </row>
    <row r="2061" spans="1:4" x14ac:dyDescent="0.2">
      <c r="A2061" s="5">
        <v>2000</v>
      </c>
      <c r="B2061" s="138">
        <f>'Cap Outlay Deprec 26'!L16</f>
        <v>69400262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11259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81295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1736685</v>
      </c>
      <c r="D2435" s="2" t="str">
        <f t="shared" si="37"/>
        <v>Error?</v>
      </c>
    </row>
    <row r="2436" spans="1:4" x14ac:dyDescent="0.2">
      <c r="A2436" s="10">
        <v>2375</v>
      </c>
      <c r="D2436" s="2" t="str">
        <f t="shared" si="37"/>
        <v>OK</v>
      </c>
    </row>
    <row r="2437" spans="1:4" x14ac:dyDescent="0.2">
      <c r="A2437" s="5">
        <v>2376</v>
      </c>
      <c r="B2437" s="138">
        <f>'Assets-Liab 5-6'!D38</f>
        <v>4261710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3229312</v>
      </c>
      <c r="D2475" s="2" t="str">
        <f t="shared" si="37"/>
        <v>Error?</v>
      </c>
    </row>
    <row r="2476" spans="1:4" x14ac:dyDescent="0.2">
      <c r="A2476" s="10">
        <v>2415</v>
      </c>
      <c r="D2476" s="2" t="str">
        <f t="shared" si="37"/>
        <v>OK</v>
      </c>
    </row>
    <row r="2477" spans="1:4" x14ac:dyDescent="0.2">
      <c r="A2477" s="5">
        <v>2416</v>
      </c>
      <c r="B2477" s="138">
        <f>'Assets-Liab 5-6'!G38</f>
        <v>1418854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1762991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17593931</v>
      </c>
      <c r="C2551" s="2" t="s">
        <v>594</v>
      </c>
      <c r="D2551" s="2" t="str">
        <f t="shared" si="38"/>
        <v>Error?</v>
      </c>
    </row>
    <row r="2552" spans="1:4" x14ac:dyDescent="0.2">
      <c r="A2552" s="10">
        <v>2491</v>
      </c>
      <c r="D2552" s="2" t="str">
        <f t="shared" si="38"/>
        <v>OK</v>
      </c>
    </row>
    <row r="2553" spans="1:4" x14ac:dyDescent="0.2">
      <c r="A2553" s="5">
        <v>2492</v>
      </c>
      <c r="B2553" s="138">
        <f>'Acct Summary 7-8'!C6</f>
        <v>1450108</v>
      </c>
      <c r="C2553" s="2" t="s">
        <v>594</v>
      </c>
      <c r="D2553" s="2" t="str">
        <f t="shared" si="38"/>
        <v>Error?</v>
      </c>
    </row>
    <row r="2554" spans="1:4" x14ac:dyDescent="0.2">
      <c r="A2554" s="5">
        <v>2493</v>
      </c>
      <c r="B2554" s="138">
        <f>'Acct Summary 7-8'!C7</f>
        <v>730407</v>
      </c>
      <c r="C2554" s="2" t="s">
        <v>594</v>
      </c>
      <c r="D2554" s="2" t="str">
        <f t="shared" si="38"/>
        <v>Error?</v>
      </c>
    </row>
    <row r="2555" spans="1:4" x14ac:dyDescent="0.2">
      <c r="A2555" s="5">
        <v>2494</v>
      </c>
      <c r="B2555" s="138">
        <f>'Acct Summary 7-8'!C8</f>
        <v>19774446</v>
      </c>
      <c r="C2555" s="2" t="s">
        <v>594</v>
      </c>
      <c r="D2555" s="2" t="str">
        <f t="shared" si="38"/>
        <v>Error?</v>
      </c>
    </row>
    <row r="2556" spans="1:4" x14ac:dyDescent="0.2">
      <c r="A2556" s="5">
        <v>2495</v>
      </c>
      <c r="B2556" s="138">
        <f>'Acct Summary 7-8'!C12</f>
        <v>12945759</v>
      </c>
      <c r="C2556" s="2" t="s">
        <v>594</v>
      </c>
      <c r="D2556" s="2" t="str">
        <f t="shared" si="38"/>
        <v>Error?</v>
      </c>
    </row>
    <row r="2557" spans="1:4" x14ac:dyDescent="0.2">
      <c r="A2557" s="5">
        <v>2496</v>
      </c>
      <c r="B2557" s="138">
        <f>'Acct Summary 7-8'!C13</f>
        <v>4370473</v>
      </c>
      <c r="C2557" s="2" t="s">
        <v>594</v>
      </c>
      <c r="D2557" s="2" t="str">
        <f t="shared" si="38"/>
        <v>Error?</v>
      </c>
    </row>
    <row r="2558" spans="1:4" x14ac:dyDescent="0.2">
      <c r="A2558" s="5">
        <v>2497</v>
      </c>
      <c r="B2558" s="138">
        <f>'Acct Summary 7-8'!C14</f>
        <v>89</v>
      </c>
      <c r="C2558" s="2" t="s">
        <v>594</v>
      </c>
      <c r="D2558" s="2" t="str">
        <f t="shared" si="38"/>
        <v>Error?</v>
      </c>
    </row>
    <row r="2559" spans="1:4" x14ac:dyDescent="0.2">
      <c r="A2559" s="5">
        <v>2498</v>
      </c>
      <c r="B2559" s="138">
        <f>'Acct Summary 7-8'!C15</f>
        <v>81295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17397616</v>
      </c>
      <c r="C2561" s="2" t="s">
        <v>594</v>
      </c>
      <c r="D2561" s="2" t="str">
        <f t="shared" si="39"/>
        <v>Error?</v>
      </c>
    </row>
    <row r="2562" spans="1:4" x14ac:dyDescent="0.2">
      <c r="A2562" s="5">
        <v>2501</v>
      </c>
      <c r="B2562" s="138">
        <f>'Acct Summary 7-8'!C20</f>
        <v>2376830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3067139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3067139</v>
      </c>
      <c r="C2568" s="2" t="s">
        <v>594</v>
      </c>
      <c r="D2568" s="2" t="str">
        <f t="shared" si="39"/>
        <v>Error?</v>
      </c>
    </row>
    <row r="2569" spans="1:4" x14ac:dyDescent="0.2">
      <c r="A2569" s="5">
        <v>2508</v>
      </c>
      <c r="B2569" s="138">
        <f>'Acct Summary 7-8'!D13</f>
        <v>3122361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3122361</v>
      </c>
      <c r="C2573" s="2" t="s">
        <v>594</v>
      </c>
      <c r="D2573" s="2" t="str">
        <f t="shared" si="39"/>
        <v>Error?</v>
      </c>
    </row>
    <row r="2574" spans="1:4" x14ac:dyDescent="0.2">
      <c r="A2574" s="5">
        <v>2513</v>
      </c>
      <c r="B2574" s="138">
        <f>'Acct Summary 7-8'!D20</f>
        <v>-55222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3410477</v>
      </c>
      <c r="C2591" s="2" t="s">
        <v>594</v>
      </c>
      <c r="D2591" s="2" t="str">
        <f t="shared" si="39"/>
        <v>Error?</v>
      </c>
    </row>
    <row r="2592" spans="1:4" x14ac:dyDescent="0.2">
      <c r="A2592" s="10">
        <v>2531</v>
      </c>
      <c r="D2592" s="2" t="str">
        <f t="shared" si="39"/>
        <v>OK</v>
      </c>
    </row>
    <row r="2593" spans="1:4" x14ac:dyDescent="0.2">
      <c r="A2593" s="5">
        <v>2532</v>
      </c>
      <c r="B2593" s="138">
        <f>'Acct Summary 7-8'!F6</f>
        <v>417824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3828301</v>
      </c>
      <c r="C2595" s="2" t="s">
        <v>594</v>
      </c>
      <c r="D2595" s="2" t="str">
        <f t="shared" si="39"/>
        <v>Error?</v>
      </c>
    </row>
    <row r="2596" spans="1:4" x14ac:dyDescent="0.2">
      <c r="A2596" s="5">
        <v>2535</v>
      </c>
      <c r="B2596" s="138">
        <f>'Acct Summary 7-8'!F13</f>
        <v>3043265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3043265</v>
      </c>
      <c r="C2600" s="2" t="s">
        <v>594</v>
      </c>
      <c r="D2600" s="2" t="str">
        <f t="shared" si="39"/>
        <v>Error?</v>
      </c>
    </row>
    <row r="2601" spans="1:4" x14ac:dyDescent="0.2">
      <c r="A2601" s="5">
        <v>2540</v>
      </c>
      <c r="B2601" s="138">
        <f>'Acct Summary 7-8'!F20</f>
        <v>785036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916300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916300</v>
      </c>
      <c r="C2606" s="2" t="s">
        <v>594</v>
      </c>
      <c r="D2606" s="2" t="str">
        <f t="shared" si="39"/>
        <v>Error?</v>
      </c>
    </row>
    <row r="2607" spans="1:4" x14ac:dyDescent="0.2">
      <c r="A2607" s="5">
        <v>2546</v>
      </c>
      <c r="B2607" s="138">
        <f>'Acct Summary 7-8'!G12</f>
        <v>318987</v>
      </c>
      <c r="C2607" s="2" t="s">
        <v>594</v>
      </c>
      <c r="D2607" s="2" t="str">
        <f t="shared" si="39"/>
        <v>Error?</v>
      </c>
    </row>
    <row r="2608" spans="1:4" x14ac:dyDescent="0.2">
      <c r="A2608" s="5">
        <v>2547</v>
      </c>
      <c r="B2608" s="138">
        <f>'Acct Summary 7-8'!G13</f>
        <v>461911</v>
      </c>
      <c r="C2608" s="2" t="s">
        <v>594</v>
      </c>
      <c r="D2608" s="2" t="str">
        <f t="shared" si="39"/>
        <v>Error?</v>
      </c>
    </row>
    <row r="2609" spans="1:4" x14ac:dyDescent="0.2">
      <c r="A2609" s="5">
        <v>2548</v>
      </c>
      <c r="B2609" s="138">
        <f>'Acct Summary 7-8'!G14</f>
        <v>11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780909</v>
      </c>
      <c r="C2612" s="2" t="s">
        <v>594</v>
      </c>
      <c r="D2612" s="2" t="str">
        <f t="shared" si="39"/>
        <v>Error?</v>
      </c>
    </row>
    <row r="2613" spans="1:4" x14ac:dyDescent="0.2">
      <c r="A2613" s="5">
        <v>2552</v>
      </c>
      <c r="B2613" s="138">
        <f>'Acct Summary 7-8'!G20</f>
        <v>135391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3561654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3709019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3779481</v>
      </c>
      <c r="C2634" s="2" t="s">
        <v>594</v>
      </c>
      <c r="D2634" s="2" t="str">
        <f t="shared" si="40"/>
        <v>Error?</v>
      </c>
    </row>
    <row r="2635" spans="1:4" x14ac:dyDescent="0.2">
      <c r="A2635" s="5">
        <v>2574</v>
      </c>
      <c r="B2635" s="138">
        <f>'Acct Summary 7-8'!E17</f>
        <v>3779481</v>
      </c>
      <c r="C2635" s="2" t="s">
        <v>594</v>
      </c>
      <c r="D2635" s="2" t="str">
        <f t="shared" si="40"/>
        <v>Error?</v>
      </c>
    </row>
    <row r="2636" spans="1:4" x14ac:dyDescent="0.2">
      <c r="A2636" s="5">
        <v>2575</v>
      </c>
      <c r="B2636" s="138">
        <f>'Acct Summary 7-8'!E20</f>
        <v>-70462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202</v>
      </c>
      <c r="C2658" s="2" t="s">
        <v>594</v>
      </c>
      <c r="D2658" s="2" t="str">
        <f t="shared" si="40"/>
        <v>Error?</v>
      </c>
    </row>
    <row r="2659" spans="1:4" x14ac:dyDescent="0.2">
      <c r="A2659" s="5">
        <v>2598</v>
      </c>
      <c r="B2659" s="138">
        <f>'Acct Summary 7-8'!H13</f>
        <v>242072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242072</v>
      </c>
      <c r="C2661" s="2" t="s">
        <v>594</v>
      </c>
      <c r="D2661" s="2" t="str">
        <f t="shared" si="40"/>
        <v>Error?</v>
      </c>
    </row>
    <row r="2662" spans="1:4" x14ac:dyDescent="0.2">
      <c r="A2662" s="5">
        <v>2601</v>
      </c>
      <c r="B2662" s="138">
        <f>'Acct Summary 7-8'!H20</f>
        <v>-241870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131188</v>
      </c>
      <c r="D2718" s="2" t="str">
        <f t="shared" si="41"/>
        <v>Error?</v>
      </c>
    </row>
    <row r="2719" spans="1:4" x14ac:dyDescent="0.2">
      <c r="A2719" s="5">
        <v>2658</v>
      </c>
      <c r="B2719" s="138">
        <f>'Expenditures 15-22'!D51</f>
        <v>39340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170528</v>
      </c>
      <c r="C2724" s="2" t="s">
        <v>594</v>
      </c>
      <c r="D2724" s="2" t="str">
        <f t="shared" si="41"/>
        <v>Error?</v>
      </c>
    </row>
    <row r="2725" spans="1:4" x14ac:dyDescent="0.2">
      <c r="A2725" s="5">
        <v>2664</v>
      </c>
      <c r="B2725" s="138">
        <f>'Expenditures 15-22'!D247</f>
        <v>6271</v>
      </c>
      <c r="D2725" s="2" t="str">
        <f t="shared" si="41"/>
        <v>Error?</v>
      </c>
    </row>
    <row r="2726" spans="1:4" x14ac:dyDescent="0.2">
      <c r="A2726" s="5">
        <v>2665</v>
      </c>
      <c r="B2726" s="138">
        <f>'Expenditures 15-22'!K247</f>
        <v>6271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70036</v>
      </c>
      <c r="C2789" s="2" t="s">
        <v>594</v>
      </c>
      <c r="D2789" s="2" t="str">
        <f t="shared" si="42"/>
        <v>Error?</v>
      </c>
    </row>
    <row r="2790" spans="1:4" x14ac:dyDescent="0.2">
      <c r="A2790" s="5">
        <v>2729</v>
      </c>
      <c r="B2790" s="138">
        <f>'Expenditures 15-22'!E102</f>
        <v>70036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1768014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466015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466015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129017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319673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466015</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466015</v>
      </c>
      <c r="C2913" s="2" t="s">
        <v>594</v>
      </c>
      <c r="D2913" s="2" t="str">
        <f t="shared" si="44"/>
        <v>Error?</v>
      </c>
    </row>
    <row r="2914" spans="1:4" x14ac:dyDescent="0.2">
      <c r="A2914" s="5">
        <v>2853</v>
      </c>
      <c r="B2914" s="138">
        <f>'Assets-Liab 5-6'!L33</f>
        <v>319673</v>
      </c>
      <c r="D2914" s="2" t="str">
        <f t="shared" si="44"/>
        <v>Error?</v>
      </c>
    </row>
    <row r="2915" spans="1:4" x14ac:dyDescent="0.2">
      <c r="A2915" s="10">
        <v>2854</v>
      </c>
      <c r="D2915" s="2" t="str">
        <f t="shared" si="44"/>
        <v>OK</v>
      </c>
    </row>
    <row r="2916" spans="1:4" x14ac:dyDescent="0.2">
      <c r="A2916" s="5">
        <v>2855</v>
      </c>
      <c r="B2916" s="138">
        <f>'Assets-Liab 5-6'!L34</f>
        <v>319673</v>
      </c>
      <c r="C2916" s="2" t="s">
        <v>594</v>
      </c>
      <c r="D2916" s="2" t="str">
        <f t="shared" si="44"/>
        <v>Error?</v>
      </c>
    </row>
    <row r="2917" spans="1:4" x14ac:dyDescent="0.2">
      <c r="A2917" s="5">
        <v>2856</v>
      </c>
      <c r="B2917" s="138">
        <f>'Assets-Liab 5-6'!L41</f>
        <v>319673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40701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29335</v>
      </c>
      <c r="D2954" s="2" t="str">
        <f t="shared" si="45"/>
        <v>Error?</v>
      </c>
    </row>
    <row r="2955" spans="1:4" x14ac:dyDescent="0.2">
      <c r="A2955" s="5">
        <v>2894</v>
      </c>
      <c r="B2955" s="138">
        <f>'Expenditures 15-22'!H78</f>
        <v>11259</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11259</v>
      </c>
      <c r="C2973" s="2" t="s">
        <v>594</v>
      </c>
      <c r="D2973" s="2" t="str">
        <f t="shared" si="45"/>
        <v>Error?</v>
      </c>
    </row>
    <row r="2974" spans="1:4" x14ac:dyDescent="0.2">
      <c r="A2974" s="5">
        <v>2913</v>
      </c>
      <c r="B2974" s="138">
        <f>'Expenditures 15-22'!K79</f>
        <v>40701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29335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195401</v>
      </c>
      <c r="D3055" s="2" t="str">
        <f t="shared" si="46"/>
        <v>Error?</v>
      </c>
    </row>
    <row r="3056" spans="1:4" x14ac:dyDescent="0.2">
      <c r="A3056" s="5">
        <v>2995</v>
      </c>
      <c r="B3056" s="138">
        <f>'Expenditures 15-22'!D10</f>
        <v>49090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244491</v>
      </c>
      <c r="C3062" s="2" t="s">
        <v>594</v>
      </c>
      <c r="D3062" s="2" t="str">
        <f t="shared" si="46"/>
        <v>Error?</v>
      </c>
    </row>
    <row r="3063" spans="1:4" x14ac:dyDescent="0.2">
      <c r="A3063" s="10">
        <v>3002</v>
      </c>
      <c r="D3063" s="2" t="str">
        <f t="shared" si="46"/>
        <v>OK</v>
      </c>
    </row>
    <row r="3064" spans="1:4" x14ac:dyDescent="0.2">
      <c r="A3064" s="5">
        <v>3003</v>
      </c>
      <c r="B3064" s="138">
        <f>'Expenditures 15-22'!D219</f>
        <v>3753</v>
      </c>
      <c r="D3064" s="2" t="str">
        <f t="shared" si="46"/>
        <v>Error?</v>
      </c>
    </row>
    <row r="3065" spans="1:4" x14ac:dyDescent="0.2">
      <c r="A3065" s="5">
        <v>3004</v>
      </c>
      <c r="B3065" s="138">
        <f>'Expenditures 15-22'!K219</f>
        <v>3753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351303</v>
      </c>
      <c r="C3225" s="2" t="s">
        <v>594</v>
      </c>
      <c r="D3225" s="2" t="str">
        <f t="shared" si="49"/>
        <v>Error?</v>
      </c>
    </row>
    <row r="3226" spans="1:4" x14ac:dyDescent="0.2">
      <c r="A3226" s="5">
        <v>3165</v>
      </c>
      <c r="B3226" s="138">
        <f>'Acct Summary 7-8'!I8</f>
        <v>351303</v>
      </c>
      <c r="C3226" s="2" t="s">
        <v>594</v>
      </c>
      <c r="D3226" s="2" t="str">
        <f t="shared" si="49"/>
        <v>Error?</v>
      </c>
    </row>
    <row r="3227" spans="1:4" x14ac:dyDescent="0.2">
      <c r="A3227" s="5">
        <v>3166</v>
      </c>
      <c r="B3227" s="138">
        <f>'Acct Summary 7-8'!I20</f>
        <v>351303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2376830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-55222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785036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135391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-70462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-241870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351303</v>
      </c>
      <c r="C3320" s="2" t="s">
        <v>594</v>
      </c>
      <c r="D3320" s="2" t="str">
        <f t="shared" si="50"/>
        <v>Error?</v>
      </c>
    </row>
    <row r="3321" spans="1:4" x14ac:dyDescent="0.2">
      <c r="A3321" s="5">
        <v>3260</v>
      </c>
      <c r="B3321" s="138">
        <f>'Acct Summary 7-8'!I79</f>
        <v>114712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466015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1910736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364198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18340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664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2299056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136023</v>
      </c>
      <c r="D3387" s="2" t="str">
        <f t="shared" si="51"/>
        <v>Error?</v>
      </c>
    </row>
    <row r="3388" spans="1:4" x14ac:dyDescent="0.2">
      <c r="A3388" s="5">
        <v>3327</v>
      </c>
      <c r="B3388" s="138">
        <f>'Expenditures 15-22'!D217</f>
        <v>121515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136023</v>
      </c>
      <c r="C3390" s="2" t="s">
        <v>594</v>
      </c>
      <c r="D3390" s="2" t="str">
        <f t="shared" si="51"/>
        <v>Error?</v>
      </c>
    </row>
    <row r="3391" spans="1:4" x14ac:dyDescent="0.2">
      <c r="A3391" s="5">
        <v>3330</v>
      </c>
      <c r="B3391" s="138">
        <f>'Expenditures 15-22'!K217</f>
        <v>121515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13437592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190656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466099</v>
      </c>
      <c r="C3446" s="2" t="s">
        <v>594</v>
      </c>
      <c r="D3446" s="2" t="str">
        <f t="shared" si="52"/>
        <v>Error?</v>
      </c>
    </row>
    <row r="3447" spans="1:4" x14ac:dyDescent="0.2">
      <c r="A3447" s="5">
        <v>3386</v>
      </c>
      <c r="B3447" s="138">
        <f>'Tax Sched 23'!D16</f>
        <v>227968.59</v>
      </c>
      <c r="C3447" s="2" t="s">
        <v>594</v>
      </c>
      <c r="D3447" s="2" t="str">
        <f t="shared" si="52"/>
        <v>Error?</v>
      </c>
    </row>
    <row r="3448" spans="1:4" x14ac:dyDescent="0.2">
      <c r="A3448" s="5">
        <v>3387</v>
      </c>
      <c r="B3448" s="138">
        <f>'Tax Sched 23'!C16</f>
        <v>238130.41</v>
      </c>
      <c r="D3448" s="2" t="str">
        <f t="shared" si="52"/>
        <v>Error?</v>
      </c>
    </row>
    <row r="3449" spans="1:4" x14ac:dyDescent="0.2">
      <c r="A3449" s="5">
        <v>3388</v>
      </c>
      <c r="B3449" s="138">
        <f>'Tax Sched 23'!F16</f>
        <v>227858.59</v>
      </c>
      <c r="C3449" s="2" t="s">
        <v>594</v>
      </c>
      <c r="D3449" s="2" t="str">
        <f t="shared" si="52"/>
        <v>Error?</v>
      </c>
    </row>
    <row r="3450" spans="1:4" x14ac:dyDescent="0.2">
      <c r="A3450" s="5">
        <v>3389</v>
      </c>
      <c r="B3450" s="138">
        <f>'Tax Sched 23'!E16</f>
        <v>465989</v>
      </c>
      <c r="D3450" s="2" t="str">
        <f t="shared" si="52"/>
        <v>Error?</v>
      </c>
    </row>
    <row r="3451" spans="1:4" x14ac:dyDescent="0.2">
      <c r="A3451" s="5">
        <v>3390</v>
      </c>
      <c r="B3451" s="138">
        <f>'Cap Outlay Deprec 26'!C15</f>
        <v>326076</v>
      </c>
      <c r="D3451" s="2" t="str">
        <f t="shared" si="52"/>
        <v>Error?</v>
      </c>
    </row>
    <row r="3452" spans="1:4" x14ac:dyDescent="0.2">
      <c r="A3452" s="5">
        <v>3391</v>
      </c>
      <c r="B3452" s="138">
        <f>'Cap Outlay Deprec 26'!D15</f>
        <v>2337275</v>
      </c>
      <c r="D3452" s="2" t="str">
        <f t="shared" si="52"/>
        <v>Error?</v>
      </c>
    </row>
    <row r="3453" spans="1:4" x14ac:dyDescent="0.2">
      <c r="A3453" s="5">
        <v>3392</v>
      </c>
      <c r="B3453" s="138">
        <f>'Cap Outlay Deprec 26'!E15</f>
        <v>895337</v>
      </c>
      <c r="D3453" s="2" t="str">
        <f t="shared" si="52"/>
        <v>Error?</v>
      </c>
    </row>
    <row r="3454" spans="1:4" x14ac:dyDescent="0.2">
      <c r="A3454" s="5">
        <v>3393</v>
      </c>
      <c r="B3454" s="138">
        <f>'Cap Outlay Deprec 26'!F15</f>
        <v>1768014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1768014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954614</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-954614</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348754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348754</v>
      </c>
      <c r="C3571" s="2" t="s">
        <v>594</v>
      </c>
      <c r="D3571" s="2" t="str">
        <f t="shared" si="54"/>
        <v>Error?</v>
      </c>
    </row>
    <row r="3572" spans="1:4" x14ac:dyDescent="0.2">
      <c r="A3572" s="5">
        <v>3511</v>
      </c>
      <c r="B3572" s="138">
        <f>'Acct Summary 7-8'!K13</f>
        <v>1267358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1267358</v>
      </c>
      <c r="C3575" s="2" t="s">
        <v>594</v>
      </c>
      <c r="D3575" s="2" t="str">
        <f t="shared" si="54"/>
        <v>Error?</v>
      </c>
    </row>
    <row r="3576" spans="1:4" x14ac:dyDescent="0.2">
      <c r="A3576" s="5">
        <v>3515</v>
      </c>
      <c r="B3576" s="138">
        <f>'Acct Summary 7-8'!K20</f>
        <v>-918604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-918604</v>
      </c>
      <c r="C3588" s="2" t="s">
        <v>594</v>
      </c>
      <c r="D3588" s="2" t="str">
        <f t="shared" si="55"/>
        <v>Error?</v>
      </c>
    </row>
    <row r="3589" spans="1:4" x14ac:dyDescent="0.2">
      <c r="A3589" s="5">
        <v>3528</v>
      </c>
      <c r="B3589" s="138">
        <f>'Acct Summary 7-8'!K79</f>
        <v>-36010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-954614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1267358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1267358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1267358</v>
      </c>
      <c r="C3649" s="2" t="s">
        <v>594</v>
      </c>
      <c r="D3649" s="2" t="str">
        <f t="shared" si="56"/>
        <v>Error?</v>
      </c>
    </row>
    <row r="3650" spans="1:4" x14ac:dyDescent="0.2">
      <c r="A3650" s="5">
        <v>3589</v>
      </c>
      <c r="B3650" s="138">
        <f>'Expenditures 15-22'!G367</f>
        <v>1267358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1267358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1267358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1267358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1267358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-918604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347578</v>
      </c>
      <c r="C3725" s="2" t="s">
        <v>594</v>
      </c>
      <c r="D3725" s="2" t="str">
        <f t="shared" si="57"/>
        <v>Error?</v>
      </c>
    </row>
    <row r="3726" spans="1:4" x14ac:dyDescent="0.2">
      <c r="A3726" s="5">
        <v>3665</v>
      </c>
      <c r="B3726" s="138">
        <f>'Tax Sched 23'!D13</f>
        <v>169523</v>
      </c>
      <c r="C3726" s="2" t="s">
        <v>594</v>
      </c>
      <c r="D3726" s="2" t="str">
        <f t="shared" si="57"/>
        <v>Error?</v>
      </c>
    </row>
    <row r="3727" spans="1:4" x14ac:dyDescent="0.2">
      <c r="A3727" s="5">
        <v>3666</v>
      </c>
      <c r="B3727" s="138">
        <f>'Tax Sched 23'!C13</f>
        <v>178055</v>
      </c>
      <c r="D3727" s="2" t="str">
        <f t="shared" si="57"/>
        <v>Error?</v>
      </c>
    </row>
    <row r="3728" spans="1:4" x14ac:dyDescent="0.2">
      <c r="A3728" s="5">
        <v>3667</v>
      </c>
      <c r="B3728" s="138">
        <f>'Tax Sched 23'!F13</f>
        <v>170374</v>
      </c>
      <c r="C3728" s="2" t="s">
        <v>594</v>
      </c>
      <c r="D3728" s="2" t="str">
        <f t="shared" si="57"/>
        <v>Error?</v>
      </c>
    </row>
    <row r="3729" spans="1:4" x14ac:dyDescent="0.2">
      <c r="A3729" s="5">
        <v>3668</v>
      </c>
      <c r="B3729" s="138">
        <f>'Tax Sched 23'!E13</f>
        <v>348429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7901737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27676183</v>
      </c>
      <c r="C4122" s="2" t="s">
        <v>594</v>
      </c>
      <c r="D4122" s="2" t="str">
        <f t="shared" si="63"/>
        <v>Error?</v>
      </c>
    </row>
    <row r="4123" spans="1:4" x14ac:dyDescent="0.2">
      <c r="A4123" s="5">
        <v>4062</v>
      </c>
      <c r="B4123" s="138">
        <f>'Acct Summary 7-8'!D10</f>
        <v>3067139</v>
      </c>
      <c r="C4123" s="2" t="s">
        <v>594</v>
      </c>
      <c r="D4123" s="2" t="str">
        <f t="shared" si="63"/>
        <v>Error?</v>
      </c>
    </row>
    <row r="4124" spans="1:4" x14ac:dyDescent="0.2">
      <c r="A4124" s="5">
        <v>4063</v>
      </c>
      <c r="B4124" s="138">
        <f>'Acct Summary 7-8'!E10</f>
        <v>3709019</v>
      </c>
      <c r="C4124" s="2" t="s">
        <v>594</v>
      </c>
      <c r="D4124" s="2" t="str">
        <f t="shared" si="63"/>
        <v>Error?</v>
      </c>
    </row>
    <row r="4125" spans="1:4" x14ac:dyDescent="0.2">
      <c r="A4125" s="5">
        <v>4064</v>
      </c>
      <c r="B4125" s="138">
        <f>'Acct Summary 7-8'!F10</f>
        <v>3828301</v>
      </c>
      <c r="C4125" s="2" t="s">
        <v>594</v>
      </c>
      <c r="D4125" s="2" t="str">
        <f t="shared" si="63"/>
        <v>Error?</v>
      </c>
    </row>
    <row r="4126" spans="1:4" x14ac:dyDescent="0.2">
      <c r="A4126" s="5">
        <v>4065</v>
      </c>
      <c r="B4126" s="138">
        <f>'Acct Summary 7-8'!G10</f>
        <v>916300</v>
      </c>
      <c r="C4126" s="2" t="s">
        <v>594</v>
      </c>
      <c r="D4126" s="2" t="str">
        <f t="shared" si="63"/>
        <v>Error?</v>
      </c>
    </row>
    <row r="4127" spans="1:4" x14ac:dyDescent="0.2">
      <c r="A4127" s="5">
        <v>4066</v>
      </c>
      <c r="B4127" s="138">
        <f>'Acct Summary 7-8'!H10</f>
        <v>202</v>
      </c>
      <c r="C4127" s="2" t="s">
        <v>594</v>
      </c>
      <c r="D4127" s="2" t="str">
        <f t="shared" si="63"/>
        <v>Error?</v>
      </c>
    </row>
    <row r="4128" spans="1:4" x14ac:dyDescent="0.2">
      <c r="A4128" s="5">
        <v>4067</v>
      </c>
      <c r="B4128" s="138">
        <f>'Acct Summary 7-8'!I10</f>
        <v>351303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348754</v>
      </c>
      <c r="C4130" s="2" t="s">
        <v>594</v>
      </c>
      <c r="D4130" s="2" t="str">
        <f t="shared" si="63"/>
        <v>Error?</v>
      </c>
    </row>
    <row r="4131" spans="1:4" x14ac:dyDescent="0.2">
      <c r="A4131" s="5">
        <v>4070</v>
      </c>
      <c r="B4131" s="138">
        <f>'Acct Summary 7-8'!C18</f>
        <v>7901737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25299353</v>
      </c>
      <c r="C4136" s="2" t="s">
        <v>594</v>
      </c>
      <c r="D4136" s="2" t="str">
        <f t="shared" si="63"/>
        <v>Error?</v>
      </c>
    </row>
    <row r="4137" spans="1:4" x14ac:dyDescent="0.2">
      <c r="A4137" s="5">
        <v>4076</v>
      </c>
      <c r="B4137" s="138">
        <f>'Acct Summary 7-8'!D19</f>
        <v>3122361</v>
      </c>
      <c r="C4137" s="2" t="s">
        <v>594</v>
      </c>
      <c r="D4137" s="2" t="str">
        <f t="shared" si="63"/>
        <v>Error?</v>
      </c>
    </row>
    <row r="4138" spans="1:4" x14ac:dyDescent="0.2">
      <c r="A4138" s="5">
        <v>4077</v>
      </c>
      <c r="B4138" s="138">
        <f>'Acct Summary 7-8'!E19</f>
        <v>3779481</v>
      </c>
      <c r="C4138" s="2" t="s">
        <v>594</v>
      </c>
      <c r="D4138" s="2" t="str">
        <f t="shared" si="63"/>
        <v>Error?</v>
      </c>
    </row>
    <row r="4139" spans="1:4" x14ac:dyDescent="0.2">
      <c r="A4139" s="5">
        <v>4078</v>
      </c>
      <c r="B4139" s="138">
        <f>'Acct Summary 7-8'!F19</f>
        <v>3043265</v>
      </c>
      <c r="C4139" s="2" t="s">
        <v>594</v>
      </c>
      <c r="D4139" s="2" t="str">
        <f t="shared" si="63"/>
        <v>Error?</v>
      </c>
    </row>
    <row r="4140" spans="1:4" x14ac:dyDescent="0.2">
      <c r="A4140" s="5">
        <v>4079</v>
      </c>
      <c r="B4140" s="138">
        <f>'Acct Summary 7-8'!G19</f>
        <v>780909</v>
      </c>
      <c r="C4140" s="2" t="s">
        <v>594</v>
      </c>
      <c r="D4140" s="2" t="str">
        <f t="shared" si="63"/>
        <v>Error?</v>
      </c>
    </row>
    <row r="4141" spans="1:4" x14ac:dyDescent="0.2">
      <c r="A4141" s="5">
        <v>4080</v>
      </c>
      <c r="B4141" s="138">
        <f>'Acct Summary 7-8'!H19</f>
        <v>242072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1267358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22473028</v>
      </c>
      <c r="C4171" s="2" t="s">
        <v>594</v>
      </c>
      <c r="D4171" s="2" t="str">
        <f t="shared" si="64"/>
        <v>Error?</v>
      </c>
    </row>
    <row r="4172" spans="1:4" x14ac:dyDescent="0.2">
      <c r="A4172" s="5">
        <v>4111</v>
      </c>
      <c r="B4172" s="138">
        <f>'Short-Term Long-Term Debt 24'!J49</f>
        <v>20710037</v>
      </c>
      <c r="C4172" s="2" t="s">
        <v>594</v>
      </c>
      <c r="D4172" s="2" t="str">
        <f t="shared" si="64"/>
        <v>Error?</v>
      </c>
    </row>
    <row r="4173" spans="1:4" x14ac:dyDescent="0.2">
      <c r="A4173" s="5">
        <v>4112</v>
      </c>
      <c r="B4173" s="138">
        <f>'Short-Term Long-Term Debt 24'!H49</f>
        <v>2975856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594</v>
      </c>
      <c r="D4265" s="2" t="str">
        <f t="shared" si="65"/>
        <v>Error?</v>
      </c>
      <c r="E4265" s="128"/>
    </row>
    <row r="4266" spans="1:5" x14ac:dyDescent="0.2">
      <c r="A4266" s="12">
        <v>4205</v>
      </c>
      <c r="B4266" s="138">
        <f>('FP Info 3'!F10)*100000</f>
        <v>434.99999999999994</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2935</v>
      </c>
      <c r="C4268" s="2" t="s">
        <v>594</v>
      </c>
      <c r="D4268" s="2" t="str">
        <f t="shared" si="65"/>
        <v>Error?</v>
      </c>
    </row>
    <row r="4269" spans="1:5" x14ac:dyDescent="0.2">
      <c r="A4269" s="12">
        <v>4208</v>
      </c>
      <c r="B4269" s="138">
        <f>'FP Info 3'!J16</f>
        <v>23962067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16507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42874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798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27427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147365</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147365</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5502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22800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696857780</v>
      </c>
      <c r="D4995" s="2" t="str">
        <f t="shared" si="77"/>
        <v>Error?</v>
      </c>
    </row>
    <row r="4996" spans="1:4" x14ac:dyDescent="0.2">
      <c r="A4996" s="12">
        <v>4935</v>
      </c>
      <c r="B4996" s="138">
        <f>'FP Info 3'!H31</f>
        <v>96166373.640000015</v>
      </c>
      <c r="D4996" s="2" t="str">
        <f t="shared" si="77"/>
        <v>Error?</v>
      </c>
    </row>
    <row r="4997" spans="1:4" x14ac:dyDescent="0.2">
      <c r="A4997" s="12">
        <v>4936</v>
      </c>
      <c r="B4997" s="138">
        <f>'FP Info 3'!H37</f>
        <v>22473028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347578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15988456</v>
      </c>
      <c r="D5061" s="2" t="str">
        <f t="shared" si="78"/>
        <v>Error?</v>
      </c>
    </row>
    <row r="5062" spans="1:4" x14ac:dyDescent="0.2">
      <c r="A5062" s="10">
        <v>5001</v>
      </c>
      <c r="D5062" s="2" t="str">
        <f t="shared" si="78"/>
        <v>OK</v>
      </c>
    </row>
    <row r="5063" spans="1:4" x14ac:dyDescent="0.2">
      <c r="A5063" s="5">
        <v>5002</v>
      </c>
      <c r="B5063" s="138">
        <f>'Revenues 9-14'!C7</f>
        <v>278062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16614096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215577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215577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135309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135309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345049</v>
      </c>
      <c r="C5096" s="2" t="s">
        <v>594</v>
      </c>
      <c r="D5096" s="2" t="str">
        <f t="shared" si="78"/>
        <v>Error?</v>
      </c>
    </row>
    <row r="5097" spans="1:4" x14ac:dyDescent="0.2">
      <c r="A5097" s="5">
        <v>5036</v>
      </c>
      <c r="B5097" s="138">
        <f>'Revenues 9-14'!C77</f>
        <v>25165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25165</v>
      </c>
      <c r="C5102" s="2" t="s">
        <v>594</v>
      </c>
      <c r="D5102" s="2" t="str">
        <f t="shared" si="78"/>
        <v>Error?</v>
      </c>
    </row>
    <row r="5103" spans="1:4" x14ac:dyDescent="0.2">
      <c r="A5103" s="5">
        <v>5042</v>
      </c>
      <c r="B5103" s="138">
        <f>'Revenues 9-14'!C84</f>
        <v>129583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129583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93441</v>
      </c>
      <c r="D5119" s="2" t="str">
        <f t="shared" ref="D5119:D5182" si="79">IF(ISBLANK(B5119),"OK",IF(A5119-B5119=0,"OK","Error?"))</f>
        <v>Error?</v>
      </c>
    </row>
    <row r="5120" spans="1:4" x14ac:dyDescent="0.2">
      <c r="A5120" s="5">
        <v>5059</v>
      </c>
      <c r="B5120" s="138">
        <f>'Revenues 9-14'!C108</f>
        <v>129152</v>
      </c>
      <c r="C5120" s="2" t="s">
        <v>594</v>
      </c>
      <c r="D5120" s="2" t="str">
        <f t="shared" si="79"/>
        <v>Error?</v>
      </c>
    </row>
    <row r="5121" spans="1:4" x14ac:dyDescent="0.2">
      <c r="A5121" s="5">
        <v>5060</v>
      </c>
      <c r="B5121" s="138">
        <f>'Revenues 9-14'!C109</f>
        <v>17593931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977089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977089</v>
      </c>
      <c r="C5132" s="2" t="s">
        <v>594</v>
      </c>
      <c r="D5132" s="2" t="str">
        <f t="shared" si="79"/>
        <v>Error?</v>
      </c>
    </row>
    <row r="5133" spans="1:4" x14ac:dyDescent="0.2">
      <c r="A5133" s="5">
        <v>5072</v>
      </c>
      <c r="B5133" s="138">
        <f>'Revenues 9-14'!C124</f>
        <v>5519</v>
      </c>
      <c r="D5133" s="2" t="str">
        <f t="shared" si="79"/>
        <v>Error?</v>
      </c>
    </row>
    <row r="5134" spans="1:4" x14ac:dyDescent="0.2">
      <c r="A5134" s="5">
        <v>5073</v>
      </c>
      <c r="B5134" s="138">
        <f>'Revenues 9-14'!C125</f>
        <v>89883</v>
      </c>
      <c r="D5134" s="2" t="str">
        <f t="shared" si="79"/>
        <v>Error?</v>
      </c>
    </row>
    <row r="5135" spans="1:4" x14ac:dyDescent="0.2">
      <c r="A5135" s="5">
        <v>5074</v>
      </c>
      <c r="B5135" s="138">
        <f>'Revenues 9-14'!C126</f>
        <v>176652</v>
      </c>
      <c r="D5135" s="2" t="str">
        <f t="shared" si="79"/>
        <v>Error?</v>
      </c>
    </row>
    <row r="5136" spans="1:4" x14ac:dyDescent="0.2">
      <c r="A5136" s="10">
        <v>5075</v>
      </c>
      <c r="D5136" s="2" t="str">
        <f t="shared" si="79"/>
        <v>OK</v>
      </c>
    </row>
    <row r="5137" spans="1:4" x14ac:dyDescent="0.2">
      <c r="A5137" s="5">
        <v>5076</v>
      </c>
      <c r="B5137" s="138">
        <f>'Revenues 9-14'!C127</f>
        <v>37550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309604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5155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1581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151177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473019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1450108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147924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147924</v>
      </c>
      <c r="C5246" s="2" t="s">
        <v>594</v>
      </c>
      <c r="D5246" s="2" t="str">
        <f t="shared" si="80"/>
        <v>Error?</v>
      </c>
    </row>
    <row r="5247" spans="1:4" x14ac:dyDescent="0.2">
      <c r="A5247" s="5">
        <v>5186</v>
      </c>
      <c r="B5247" s="138">
        <f>'Revenues 9-14'!C203</f>
        <v>93287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798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93287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15122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310083</v>
      </c>
      <c r="D5278" s="2" t="str">
        <f t="shared" si="81"/>
        <v>Error?</v>
      </c>
    </row>
    <row r="5279" spans="1:4" x14ac:dyDescent="0.2">
      <c r="A5279" s="5">
        <v>5218</v>
      </c>
      <c r="B5279" s="138">
        <f>'Revenues 9-14'!C221</f>
        <v>53585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378790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730407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730407</v>
      </c>
      <c r="C5326" s="2" t="s">
        <v>594</v>
      </c>
      <c r="D5326" s="2" t="str">
        <f t="shared" si="82"/>
        <v>Error?</v>
      </c>
    </row>
    <row r="5327" spans="1:4" x14ac:dyDescent="0.2">
      <c r="A5327" s="5">
        <v>5266</v>
      </c>
      <c r="B5327" s="138">
        <f>'Revenues 9-14'!C275</f>
        <v>19774446</v>
      </c>
      <c r="C5327" s="2" t="s">
        <v>594</v>
      </c>
      <c r="D5327" s="2" t="str">
        <f t="shared" si="82"/>
        <v>Error?</v>
      </c>
    </row>
    <row r="5328" spans="1:4" x14ac:dyDescent="0.2">
      <c r="A5328" s="5">
        <v>5267</v>
      </c>
      <c r="B5328" s="138">
        <f>'Revenues 9-14'!D5</f>
        <v>3023897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3023897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37597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37597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5645</v>
      </c>
      <c r="D5354" s="2" t="str">
        <f t="shared" si="82"/>
        <v>Error?</v>
      </c>
    </row>
    <row r="5355" spans="1:4" x14ac:dyDescent="0.2">
      <c r="A5355" s="5">
        <v>5294</v>
      </c>
      <c r="B5355" s="138">
        <f>'Revenues 9-14'!D108</f>
        <v>5645</v>
      </c>
      <c r="C5355" s="2" t="s">
        <v>594</v>
      </c>
      <c r="D5355" s="2" t="str">
        <f t="shared" si="82"/>
        <v>Error?</v>
      </c>
    </row>
    <row r="5356" spans="1:4" x14ac:dyDescent="0.2">
      <c r="A5356" s="5">
        <v>5295</v>
      </c>
      <c r="B5356" s="138">
        <f>'Revenues 9-14'!D109</f>
        <v>3067139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3067139</v>
      </c>
      <c r="C5508" s="2" t="s">
        <v>594</v>
      </c>
      <c r="D5508" s="2" t="str">
        <f t="shared" si="85"/>
        <v>Error?</v>
      </c>
    </row>
    <row r="5509" spans="1:4" x14ac:dyDescent="0.2">
      <c r="A5509" s="5">
        <v>5448</v>
      </c>
      <c r="B5509" s="138">
        <f>'Revenues 9-14'!E5</f>
        <v>3553832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3553832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7822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3561654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3709019</v>
      </c>
      <c r="C5552" s="2" t="s">
        <v>594</v>
      </c>
      <c r="D5552" s="2" t="str">
        <f t="shared" si="85"/>
        <v>Error?</v>
      </c>
    </row>
    <row r="5553" spans="1:4" x14ac:dyDescent="0.2">
      <c r="A5553" s="5">
        <v>5492</v>
      </c>
      <c r="B5553" s="138">
        <f>'Revenues 9-14'!F5</f>
        <v>1390296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1390296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20181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20181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2000000</v>
      </c>
      <c r="D5586" s="2" t="str">
        <f t="shared" si="86"/>
        <v>Error?</v>
      </c>
    </row>
    <row r="5587" spans="1:4" x14ac:dyDescent="0.2">
      <c r="A5587" s="5">
        <v>5526</v>
      </c>
      <c r="B5587" s="138">
        <f>'Revenues 9-14'!F108</f>
        <v>2000000</v>
      </c>
      <c r="C5587" s="2" t="s">
        <v>594</v>
      </c>
      <c r="D5587" s="2" t="str">
        <f t="shared" si="86"/>
        <v>Error?</v>
      </c>
    </row>
    <row r="5588" spans="1:4" x14ac:dyDescent="0.2">
      <c r="A5588" s="5">
        <v>5527</v>
      </c>
      <c r="B5588" s="138">
        <f>'Revenues 9-14'!F109</f>
        <v>3410477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88062</v>
      </c>
      <c r="D5615" s="2" t="str">
        <f t="shared" si="86"/>
        <v>Error?</v>
      </c>
    </row>
    <row r="5616" spans="1:4" x14ac:dyDescent="0.2">
      <c r="A5616" s="10">
        <v>5555</v>
      </c>
      <c r="D5616" s="2" t="str">
        <f t="shared" si="86"/>
        <v>OK</v>
      </c>
    </row>
    <row r="5617" spans="1:4" x14ac:dyDescent="0.2">
      <c r="A5617" s="5">
        <v>5556</v>
      </c>
      <c r="B5617" s="138">
        <f>'Revenues 9-14'!F152</f>
        <v>329762</v>
      </c>
      <c r="D5617" s="2" t="str">
        <f t="shared" si="86"/>
        <v>Error?</v>
      </c>
    </row>
    <row r="5618" spans="1:4" x14ac:dyDescent="0.2">
      <c r="A5618" s="5">
        <v>5557</v>
      </c>
      <c r="B5618" s="138">
        <f>'Revenues 9-14'!F154</f>
        <v>417824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417824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417824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3828301</v>
      </c>
      <c r="C5720" s="2" t="s">
        <v>594</v>
      </c>
      <c r="D5720" s="2" t="str">
        <f t="shared" si="88"/>
        <v>Error?</v>
      </c>
    </row>
    <row r="5721" spans="1:4" x14ac:dyDescent="0.2">
      <c r="A5721" s="5">
        <v>5660</v>
      </c>
      <c r="B5721" s="138">
        <f>'Revenues 9-14'!G5</f>
        <v>420134</v>
      </c>
      <c r="D5721" s="2" t="str">
        <f t="shared" si="88"/>
        <v>Error?</v>
      </c>
    </row>
    <row r="5722" spans="1:4" x14ac:dyDescent="0.2">
      <c r="A5722" s="5">
        <v>5661</v>
      </c>
      <c r="B5722" s="138">
        <f>'Revenues 9-14'!G7</f>
        <v>0</v>
      </c>
      <c r="D5722" s="2" t="str">
        <f t="shared" si="88"/>
        <v>Error?</v>
      </c>
    </row>
    <row r="5723" spans="1:4" x14ac:dyDescent="0.2">
      <c r="A5723" s="5">
        <v>5662</v>
      </c>
      <c r="B5723" s="138">
        <f>'Revenues 9-14'!G8</f>
        <v>466099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886233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19461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19461</v>
      </c>
      <c r="C5730" s="2" t="s">
        <v>594</v>
      </c>
      <c r="D5730" s="2" t="str">
        <f t="shared" si="88"/>
        <v>Error?</v>
      </c>
    </row>
    <row r="5731" spans="1:4" x14ac:dyDescent="0.2">
      <c r="A5731" s="5">
        <v>5670</v>
      </c>
      <c r="B5731" s="138">
        <f>'Revenues 9-14'!G65</f>
        <v>10606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10606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916300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202</v>
      </c>
      <c r="C5915" s="2" t="s">
        <v>594</v>
      </c>
      <c r="D5915" s="2" t="str">
        <f t="shared" si="91"/>
        <v>Error?</v>
      </c>
    </row>
    <row r="5916" spans="1:4" x14ac:dyDescent="0.2">
      <c r="A5916" s="5">
        <v>5855</v>
      </c>
      <c r="B5916" s="138">
        <f>'Revenues 9-14'!I5</f>
        <v>347578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347578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3725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3725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351303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347578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347578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1176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1176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348754</v>
      </c>
      <c r="C6023" s="2" t="s">
        <v>594</v>
      </c>
      <c r="D6023" s="2" t="str">
        <f t="shared" si="93"/>
        <v>Error?</v>
      </c>
    </row>
    <row r="6024" spans="1:5" x14ac:dyDescent="0.2">
      <c r="A6024" s="5">
        <v>5963</v>
      </c>
      <c r="B6024" s="138">
        <f>'Revenues 9-14'!G109</f>
        <v>916300</v>
      </c>
      <c r="C6024" s="2" t="s">
        <v>594</v>
      </c>
      <c r="D6024" s="2" t="str">
        <f t="shared" si="93"/>
        <v>Error?</v>
      </c>
    </row>
    <row r="6025" spans="1:5" x14ac:dyDescent="0.2">
      <c r="A6025" s="5">
        <v>5964</v>
      </c>
      <c r="B6025" s="138">
        <f>'Revenues 9-14'!H109</f>
        <v>202</v>
      </c>
      <c r="C6025" s="2" t="s">
        <v>594</v>
      </c>
      <c r="D6025" s="2" t="str">
        <f t="shared" si="93"/>
        <v>Error?</v>
      </c>
    </row>
    <row r="6026" spans="1:5" x14ac:dyDescent="0.2">
      <c r="A6026" s="5">
        <v>5965</v>
      </c>
      <c r="B6026" s="138">
        <f>'Revenues 9-14'!I109</f>
        <v>351303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348754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345049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41270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1342.52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954614</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560064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954614</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560064</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560064</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560064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1490054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1490054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1490054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661134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661134</v>
      </c>
      <c r="D6229" s="2" t="str">
        <f t="shared" si="96"/>
        <v>Error?</v>
      </c>
      <c r="E6229" s="2" t="s">
        <v>199</v>
      </c>
    </row>
    <row r="6230" spans="1:5" x14ac:dyDescent="0.2">
      <c r="A6230">
        <v>6169</v>
      </c>
      <c r="B6230" s="138">
        <f>'Acct Summary 7-8'!J20</f>
        <v>828920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828920</v>
      </c>
      <c r="D6263" s="2" t="str">
        <f t="shared" si="96"/>
        <v>Error?</v>
      </c>
      <c r="E6263" s="2" t="s">
        <v>199</v>
      </c>
    </row>
    <row r="6264" spans="1:5" x14ac:dyDescent="0.2">
      <c r="A6264">
        <v>6203</v>
      </c>
      <c r="B6264" s="138">
        <f>'Acct Summary 7-8'!J79</f>
        <v>-268856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560064</v>
      </c>
      <c r="D6266" s="2" t="str">
        <f t="shared" si="96"/>
        <v>Error?</v>
      </c>
      <c r="E6266" s="2" t="s">
        <v>199</v>
      </c>
    </row>
    <row r="6267" spans="1:5" x14ac:dyDescent="0.2">
      <c r="A6267">
        <v>6206</v>
      </c>
      <c r="B6267" s="138">
        <f>'Acct Summary 7-8'!C82</f>
        <v>2376830</v>
      </c>
      <c r="D6267" s="2" t="str">
        <f t="shared" si="96"/>
        <v>Error?</v>
      </c>
      <c r="E6267" s="2" t="s">
        <v>199</v>
      </c>
    </row>
    <row r="6268" spans="1:5" x14ac:dyDescent="0.2">
      <c r="A6268">
        <v>6207</v>
      </c>
      <c r="B6268" s="138">
        <f>'Acct Summary 7-8'!D82</f>
        <v>-55222</v>
      </c>
      <c r="D6268" s="2" t="str">
        <f t="shared" si="96"/>
        <v>Error?</v>
      </c>
      <c r="E6268" s="2" t="s">
        <v>199</v>
      </c>
    </row>
    <row r="6269" spans="1:5" x14ac:dyDescent="0.2">
      <c r="A6269">
        <v>6208</v>
      </c>
      <c r="B6269" s="138">
        <f>'Acct Summary 7-8'!E82</f>
        <v>-70462</v>
      </c>
      <c r="D6269" s="2" t="str">
        <f t="shared" si="96"/>
        <v>Error?</v>
      </c>
      <c r="E6269" s="2" t="s">
        <v>199</v>
      </c>
    </row>
    <row r="6270" spans="1:5" x14ac:dyDescent="0.2">
      <c r="A6270">
        <v>6209</v>
      </c>
      <c r="B6270" s="138">
        <f>'Acct Summary 7-8'!F82</f>
        <v>785036</v>
      </c>
      <c r="D6270" s="2" t="str">
        <f t="shared" si="96"/>
        <v>Error?</v>
      </c>
      <c r="E6270" s="2" t="s">
        <v>199</v>
      </c>
    </row>
    <row r="6271" spans="1:5" x14ac:dyDescent="0.2">
      <c r="A6271">
        <v>6210</v>
      </c>
      <c r="B6271" s="138">
        <f>'Acct Summary 7-8'!G82</f>
        <v>135391</v>
      </c>
      <c r="D6271" s="2" t="str">
        <f t="shared" ref="D6271:D6334" si="97">IF(ISBLANK(B6271),"OK",IF(A6271-B6271=0,"OK","Error?"))</f>
        <v>Error?</v>
      </c>
      <c r="E6271" s="2" t="s">
        <v>199</v>
      </c>
    </row>
    <row r="6272" spans="1:5" x14ac:dyDescent="0.2">
      <c r="A6272">
        <v>6211</v>
      </c>
      <c r="B6272" s="138">
        <f>'Acct Summary 7-8'!H82</f>
        <v>-241870</v>
      </c>
      <c r="D6272" s="2" t="str">
        <f t="shared" si="97"/>
        <v>Error?</v>
      </c>
      <c r="E6272" s="2" t="s">
        <v>199</v>
      </c>
    </row>
    <row r="6273" spans="1:5" x14ac:dyDescent="0.2">
      <c r="A6273">
        <v>6212</v>
      </c>
      <c r="B6273" s="138">
        <f>'Acct Summary 7-8'!I82</f>
        <v>351303</v>
      </c>
      <c r="D6273" s="2" t="str">
        <f t="shared" si="97"/>
        <v>Error?</v>
      </c>
      <c r="E6273" s="2" t="s">
        <v>199</v>
      </c>
    </row>
    <row r="6274" spans="1:5" x14ac:dyDescent="0.2">
      <c r="A6274">
        <v>6213</v>
      </c>
      <c r="B6274" s="138">
        <f>'Acct Summary 7-8'!J82</f>
        <v>828920</v>
      </c>
      <c r="D6274" s="2" t="str">
        <f t="shared" si="97"/>
        <v>Error?</v>
      </c>
      <c r="E6274" s="2" t="s">
        <v>199</v>
      </c>
    </row>
    <row r="6275" spans="1:5" x14ac:dyDescent="0.2">
      <c r="A6275">
        <v>6214</v>
      </c>
      <c r="B6275" s="138">
        <f>'Acct Summary 7-8'!K82</f>
        <v>-918604</v>
      </c>
      <c r="D6275" s="2" t="str">
        <f t="shared" si="97"/>
        <v>Error?</v>
      </c>
      <c r="E6275" s="2" t="s">
        <v>199</v>
      </c>
    </row>
    <row r="6276" spans="1:5" x14ac:dyDescent="0.2">
      <c r="A6276">
        <v>6215</v>
      </c>
      <c r="B6276" s="138">
        <f>'Acct Summary 7-8'!C83</f>
        <v>0.14850518868130833</v>
      </c>
      <c r="D6276" s="2" t="str">
        <f t="shared" si="97"/>
        <v>Error?</v>
      </c>
      <c r="E6276" s="2" t="s">
        <v>199</v>
      </c>
    </row>
    <row r="6277" spans="1:5" x14ac:dyDescent="0.2">
      <c r="A6277">
        <v>6216</v>
      </c>
      <c r="B6277" s="138">
        <f>'Acct Summary 7-8'!D83</f>
        <v>-1.295770946404143E-2</v>
      </c>
      <c r="D6277" s="2" t="str">
        <f t="shared" si="97"/>
        <v>Error?</v>
      </c>
      <c r="E6277" s="2" t="s">
        <v>199</v>
      </c>
    </row>
    <row r="6278" spans="1:5" x14ac:dyDescent="0.2">
      <c r="A6278">
        <v>6217</v>
      </c>
      <c r="B6278" s="138">
        <f>'Acct Summary 7-8'!E83</f>
        <v>-3.9967305561968272E-2</v>
      </c>
      <c r="D6278" s="2" t="str">
        <f t="shared" si="97"/>
        <v>Error?</v>
      </c>
      <c r="E6278" s="2" t="s">
        <v>199</v>
      </c>
    </row>
    <row r="6279" spans="1:5" x14ac:dyDescent="0.2">
      <c r="A6279">
        <v>6218</v>
      </c>
      <c r="B6279" s="138">
        <f>'Acct Summary 7-8'!F83</f>
        <v>0.24309698164810337</v>
      </c>
      <c r="D6279" s="2" t="str">
        <f t="shared" si="97"/>
        <v>Error?</v>
      </c>
      <c r="E6279" s="2" t="s">
        <v>199</v>
      </c>
    </row>
    <row r="6280" spans="1:5" x14ac:dyDescent="0.2">
      <c r="A6280">
        <v>6219</v>
      </c>
      <c r="B6280" s="138">
        <f>'Acct Summary 7-8'!G83</f>
        <v>9.5422784867223831E-2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0.75384483332081587</v>
      </c>
      <c r="D6282" s="2" t="str">
        <f t="shared" si="97"/>
        <v>Error?</v>
      </c>
      <c r="E6282" s="2" t="s">
        <v>199</v>
      </c>
    </row>
    <row r="6283" spans="1:5" x14ac:dyDescent="0.2">
      <c r="A6283">
        <v>6222</v>
      </c>
      <c r="B6283" s="138">
        <f>'Acct Summary 7-8'!J83</f>
        <v>1.4800451376985488</v>
      </c>
      <c r="D6283" s="2" t="str">
        <f t="shared" si="97"/>
        <v>Error?</v>
      </c>
      <c r="E6283" s="2" t="s">
        <v>199</v>
      </c>
    </row>
    <row r="6284" spans="1:5" x14ac:dyDescent="0.2">
      <c r="A6284">
        <v>6223</v>
      </c>
      <c r="B6284" s="138">
        <f>'Acct Summary 7-8'!K83</f>
        <v>0.96227794689790846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1489061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1489061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526</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14965</v>
      </c>
      <c r="D6339" s="2" t="str">
        <f t="shared" si="98"/>
        <v>Error?</v>
      </c>
      <c r="E6339" s="2" t="s">
        <v>199</v>
      </c>
    </row>
    <row r="6340" spans="1:5" x14ac:dyDescent="0.2">
      <c r="A6340">
        <v>6279</v>
      </c>
      <c r="B6340" s="138">
        <f>'Revenues 9-14'!C102</f>
        <v>20220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1490054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5155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77072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147365</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147365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108620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140565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51660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182174</v>
      </c>
      <c r="D6880" s="2" t="str">
        <f t="shared" si="106"/>
        <v>Error?</v>
      </c>
    </row>
    <row r="6881" spans="1:4" x14ac:dyDescent="0.2">
      <c r="A6881">
        <v>6820</v>
      </c>
      <c r="B6881" s="138">
        <f>'Expenditures 15-22'!K22</f>
        <v>182174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60800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60800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60800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134</v>
      </c>
      <c r="D7020" s="2" t="str">
        <f t="shared" si="108"/>
        <v>Error?</v>
      </c>
    </row>
    <row r="7021" spans="1:4" x14ac:dyDescent="0.2">
      <c r="A7021">
        <v>6960</v>
      </c>
      <c r="B7021" s="138">
        <f>'Expenditures 15-22'!J114</f>
        <v>60800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661134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1490054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5239</v>
      </c>
      <c r="D7073" s="2" t="str">
        <f t="shared" si="109"/>
        <v>Error?</v>
      </c>
    </row>
    <row r="7074" spans="1:4" x14ac:dyDescent="0.2">
      <c r="A7074">
        <v>7013</v>
      </c>
      <c r="B7074" s="138">
        <f>'Expenditures 15-22'!K216</f>
        <v>5239</v>
      </c>
      <c r="D7074" s="2" t="str">
        <f t="shared" si="109"/>
        <v>Error?</v>
      </c>
    </row>
    <row r="7075" spans="1:4" x14ac:dyDescent="0.2">
      <c r="A7075">
        <v>7014</v>
      </c>
      <c r="B7075" s="138">
        <f>'Expenditures 15-22'!D218</f>
        <v>6952</v>
      </c>
      <c r="D7075" s="2" t="str">
        <f t="shared" si="109"/>
        <v>Error?</v>
      </c>
    </row>
    <row r="7076" spans="1:4" x14ac:dyDescent="0.2">
      <c r="A7076">
        <v>7015</v>
      </c>
      <c r="B7076" s="138">
        <f>'Expenditures 15-22'!K218</f>
        <v>6952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7534</v>
      </c>
      <c r="D7089" s="2" t="str">
        <f t="shared" si="109"/>
        <v>Error?</v>
      </c>
    </row>
    <row r="7090" spans="1:4" x14ac:dyDescent="0.2">
      <c r="A7090">
        <v>7029</v>
      </c>
      <c r="B7090" s="138">
        <f>'Expenditures 15-22'!K252</f>
        <v>7534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67812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251242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319054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342080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342080</v>
      </c>
      <c r="D7198" s="2" t="str">
        <f t="shared" si="111"/>
        <v>Error?</v>
      </c>
    </row>
    <row r="7199" spans="1:4" x14ac:dyDescent="0.2">
      <c r="A7199">
        <v>7138</v>
      </c>
      <c r="B7199" s="138">
        <f>'Expenditures 15-22'!C330</f>
        <v>67812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593322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661134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67812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593322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661134</v>
      </c>
      <c r="D7224" s="2" t="str">
        <f t="shared" si="111"/>
        <v>Error?</v>
      </c>
    </row>
    <row r="7225" spans="1:4" x14ac:dyDescent="0.2">
      <c r="A7225">
        <v>7164</v>
      </c>
      <c r="B7225" s="138">
        <f>'Expenditures 15-22'!K343</f>
        <v>828920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30876</v>
      </c>
      <c r="D7246" s="2" t="str">
        <f t="shared" si="112"/>
        <v>Error?</v>
      </c>
    </row>
    <row r="7247" spans="1:4" x14ac:dyDescent="0.2">
      <c r="A7247">
        <f t="shared" si="113"/>
        <v>7186</v>
      </c>
      <c r="B7247" s="138">
        <f>'Expenditures 15-22'!E7</f>
        <v>24</v>
      </c>
      <c r="D7247" s="2" t="str">
        <f t="shared" si="112"/>
        <v>Error?</v>
      </c>
    </row>
    <row r="7248" spans="1:4" x14ac:dyDescent="0.2">
      <c r="A7248">
        <f t="shared" si="113"/>
        <v>7187</v>
      </c>
      <c r="B7248" s="138">
        <f>'Expenditures 15-22'!F7</f>
        <v>648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109709</v>
      </c>
      <c r="D7251" s="2" t="str">
        <f t="shared" si="112"/>
        <v>Error?</v>
      </c>
    </row>
    <row r="7252" spans="1:4" x14ac:dyDescent="0.2">
      <c r="A7252">
        <f t="shared" si="113"/>
        <v>7191</v>
      </c>
      <c r="B7252" s="138">
        <f>'Expenditures 15-22'!D9</f>
        <v>29360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1496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51660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130015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130015</v>
      </c>
      <c r="D7618" s="2" t="str">
        <f t="shared" si="124"/>
        <v>Error?</v>
      </c>
      <c r="E7618" s="2" t="s">
        <v>19</v>
      </c>
    </row>
    <row r="7619" spans="1:5" x14ac:dyDescent="0.2">
      <c r="A7619">
        <f t="shared" si="123"/>
        <v>7558</v>
      </c>
      <c r="B7619" s="138">
        <f>'Cap Outlay Deprec 26'!H14</f>
        <v>130015</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130015</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134</v>
      </c>
      <c r="D7624" s="2" t="str">
        <f t="shared" si="124"/>
        <v>Error?</v>
      </c>
      <c r="E7624" s="2" t="s">
        <v>19</v>
      </c>
    </row>
    <row r="7625" spans="1:5" x14ac:dyDescent="0.2">
      <c r="A7625">
        <f t="shared" si="123"/>
        <v>7564</v>
      </c>
      <c r="B7625" s="138">
        <f>'Cap Outlay Deprec 26'!I17</f>
        <v>13.4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2964741.4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14965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14965</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14965</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278062</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14965</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147365</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135723</v>
      </c>
      <c r="D7797" s="2" t="str">
        <f t="shared" si="127"/>
        <v>Error?</v>
      </c>
      <c r="E7797" s="4" t="s">
        <v>2019</v>
      </c>
    </row>
    <row r="7798" spans="1:5" x14ac:dyDescent="0.2">
      <c r="A7798">
        <v>7737</v>
      </c>
      <c r="B7798" s="138">
        <f>'Contracts Paid in CY 29'!F141</f>
        <v>75000</v>
      </c>
      <c r="D7798" s="2" t="str">
        <f t="shared" si="127"/>
        <v>Error?</v>
      </c>
      <c r="E7798" s="4" t="s">
        <v>2019</v>
      </c>
    </row>
    <row r="7799" spans="1:5" x14ac:dyDescent="0.2">
      <c r="A7799">
        <v>7738</v>
      </c>
      <c r="B7799" s="138">
        <f>'Contracts Paid in CY 29'!G141</f>
        <v>53534</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3" sqref="A13:H1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Byron CUSD 226</v>
      </c>
      <c r="B7" s="2404"/>
      <c r="C7" s="2404"/>
      <c r="D7" s="2441"/>
      <c r="E7" s="2442">
        <f>COVER!A13</f>
        <v>47071226026</v>
      </c>
      <c r="F7" s="2443"/>
      <c r="G7" s="2410" t="str">
        <f>COVER!T23</f>
        <v>066-003346</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RSM US LLP</v>
      </c>
      <c r="H9" s="2417"/>
      <c r="I9" s="2417"/>
      <c r="J9" s="2417"/>
      <c r="K9" s="2417"/>
      <c r="L9" s="2418"/>
    </row>
    <row r="10" spans="1:29" ht="13.5" customHeight="1" x14ac:dyDescent="0.2">
      <c r="A10" s="2400" t="str">
        <f>COVER!A38</f>
        <v>Mr. Buster Barton</v>
      </c>
      <c r="B10" s="2401"/>
      <c r="C10" s="2401"/>
      <c r="D10" s="2401"/>
      <c r="E10" s="2401"/>
      <c r="F10" s="2402"/>
      <c r="G10" s="2416" t="str">
        <f>COVER!T17</f>
        <v>1252 Bell Valley Road, Suite 300</v>
      </c>
      <c r="H10" s="2429"/>
      <c r="I10" s="2429"/>
      <c r="J10" s="2429"/>
      <c r="K10" s="2429"/>
      <c r="L10" s="2430"/>
    </row>
    <row r="11" spans="1:29" ht="13.5" customHeight="1" x14ac:dyDescent="0.2">
      <c r="A11" s="1185" t="s">
        <v>1599</v>
      </c>
      <c r="B11" s="1186"/>
      <c r="C11" s="1187"/>
      <c r="D11" s="1192"/>
      <c r="E11" s="1187"/>
      <c r="F11" s="1191"/>
      <c r="G11" s="2416" t="str">
        <f>COVER!T19</f>
        <v xml:space="preserve">Rockford </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sherri.noel@rsmus.com</v>
      </c>
      <c r="J13" s="2438"/>
      <c r="K13" s="2438"/>
      <c r="L13" s="2439"/>
    </row>
    <row r="14" spans="1:29" ht="13.5" customHeight="1" x14ac:dyDescent="0.2">
      <c r="A14" s="2416" t="str">
        <f>COVER!A19</f>
        <v>696 North Colfax Street</v>
      </c>
      <c r="B14" s="2429"/>
      <c r="C14" s="2429"/>
      <c r="D14" s="2429"/>
      <c r="E14" s="2429"/>
      <c r="F14" s="2430"/>
      <c r="G14" s="1196" t="s">
        <v>1247</v>
      </c>
      <c r="H14" s="1194"/>
      <c r="I14" s="1194"/>
      <c r="J14" s="1194"/>
      <c r="K14" s="1194"/>
      <c r="L14" s="1195"/>
    </row>
    <row r="15" spans="1:29" ht="13.5" customHeight="1" x14ac:dyDescent="0.2">
      <c r="A15" s="2416" t="str">
        <f>COVER!A21</f>
        <v>Byron</v>
      </c>
      <c r="B15" s="2429"/>
      <c r="C15" s="2429"/>
      <c r="D15" s="2429"/>
      <c r="E15" s="2429"/>
      <c r="F15" s="2430"/>
      <c r="G15" s="2426" t="str">
        <f>COVER!T15</f>
        <v>Sherri Noel</v>
      </c>
      <c r="H15" s="2427"/>
      <c r="I15" s="2427"/>
      <c r="J15" s="2427"/>
      <c r="K15" s="2427"/>
      <c r="L15" s="2428"/>
    </row>
    <row r="16" spans="1:29" ht="12.2" customHeight="1" x14ac:dyDescent="0.2">
      <c r="A16" s="2406">
        <f>COVER!A25</f>
        <v>61010</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815-231-7300</v>
      </c>
      <c r="H18" s="2404"/>
      <c r="I18" s="2404"/>
      <c r="J18" s="2404"/>
      <c r="K18" s="2403" t="str">
        <f>COVER!X21</f>
        <v>815-231-7309</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3" sqref="A13:H1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Byron CUSD 226</v>
      </c>
      <c r="B1" s="2440"/>
      <c r="C1" s="2440"/>
      <c r="D1" s="2440"/>
    </row>
    <row r="2" spans="1:11" s="1215" customFormat="1" ht="12.75" x14ac:dyDescent="0.2">
      <c r="A2" s="2445">
        <f>'Single Audit Cover'!E7</f>
        <v>47071226026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4" firstPageNumber="36"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Byron CUSD 226</v>
      </c>
      <c r="B1" s="2448"/>
      <c r="C1" s="2448"/>
      <c r="D1" s="2448"/>
      <c r="E1" s="2448"/>
    </row>
    <row r="2" spans="1:5" x14ac:dyDescent="0.2">
      <c r="A2" s="2449">
        <f>'Single Audit Cover'!E7</f>
        <v>47071226026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877772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41270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-42874</v>
      </c>
    </row>
    <row r="19" spans="1:4" ht="13.5" thickBot="1" x14ac:dyDescent="0.25">
      <c r="A19" s="1265" t="s">
        <v>1297</v>
      </c>
      <c r="D19" s="1266">
        <f>SUM(D10:D17)</f>
        <v>876168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t="s">
        <v>485</v>
      </c>
      <c r="B25" s="2447"/>
      <c r="D25" s="1268">
        <v>-147365</v>
      </c>
    </row>
    <row r="26" spans="1:4" x14ac:dyDescent="0.2">
      <c r="A26" s="2447" t="s">
        <v>2136</v>
      </c>
      <c r="B26" s="2447"/>
      <c r="D26" s="1268">
        <v>-728803</v>
      </c>
    </row>
    <row r="27" spans="1:4" x14ac:dyDescent="0.2">
      <c r="A27" s="2447" t="s">
        <v>2137</v>
      </c>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3" sqref="A13:H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Byron CUSD 226</v>
      </c>
      <c r="C1" s="2452"/>
      <c r="D1" s="2452"/>
      <c r="E1" s="2452"/>
      <c r="F1" s="2452"/>
      <c r="G1" s="2452"/>
      <c r="H1" s="2452"/>
      <c r="I1" s="2452"/>
      <c r="J1" s="2452"/>
      <c r="K1" s="2452"/>
      <c r="L1" s="2452"/>
      <c r="M1" s="2452"/>
    </row>
    <row r="2" spans="2:14" ht="15" x14ac:dyDescent="0.2">
      <c r="B2" s="2453">
        <f>'Single Audit Cover'!E7</f>
        <v>47071226026</v>
      </c>
      <c r="C2" s="2453"/>
      <c r="D2" s="2453"/>
      <c r="E2" s="2453"/>
      <c r="F2" s="2453"/>
      <c r="G2" s="2453"/>
      <c r="H2" s="2453"/>
      <c r="I2" s="2453"/>
      <c r="J2" s="2453"/>
      <c r="K2" s="2453"/>
      <c r="L2" s="2453"/>
      <c r="M2" s="2453"/>
      <c r="N2" s="1302"/>
    </row>
    <row r="3" spans="2:14" ht="15" x14ac:dyDescent="0.2">
      <c r="B3" s="2454" t="s">
        <v>1281</v>
      </c>
      <c r="C3" s="2454"/>
      <c r="D3" s="2454"/>
      <c r="E3" s="2454"/>
      <c r="F3" s="2454"/>
      <c r="G3" s="2454"/>
      <c r="H3" s="2454"/>
      <c r="I3" s="2454"/>
      <c r="J3" s="2454"/>
      <c r="K3" s="2454"/>
      <c r="L3" s="2454"/>
      <c r="M3" s="2454"/>
      <c r="N3" s="1302"/>
    </row>
    <row r="4" spans="2:14" ht="15" x14ac:dyDescent="0.2">
      <c r="B4" s="2455" t="str">
        <f>'Single Audit Cover'!A4</f>
        <v>Year Ending June 30, 2018</v>
      </c>
      <c r="C4" s="2455"/>
      <c r="D4" s="2455"/>
      <c r="E4" s="2455"/>
      <c r="F4" s="2455"/>
      <c r="G4" s="2455"/>
      <c r="H4" s="2455"/>
      <c r="I4" s="2455"/>
      <c r="J4" s="2455"/>
      <c r="K4" s="2455"/>
      <c r="L4" s="2455"/>
      <c r="M4" s="245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3" sqref="A13:H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2117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2117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2133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2134</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2135</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2157</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activeCell="A13" sqref="A13:H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Byron CUSD 226</v>
      </c>
      <c r="B1" s="2457"/>
      <c r="C1" s="2457"/>
      <c r="D1" s="2457"/>
      <c r="E1" s="2457"/>
      <c r="F1" s="2457"/>
    </row>
    <row r="2" spans="1:7" ht="13.5" customHeight="1" x14ac:dyDescent="0.2">
      <c r="A2" s="2453">
        <f>'Single Audit Cover'!E7</f>
        <v>47071226026</v>
      </c>
      <c r="B2" s="2453"/>
      <c r="C2" s="2453"/>
      <c r="D2" s="2453"/>
      <c r="E2" s="2453"/>
      <c r="F2" s="2453"/>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6" t="s">
        <v>1832</v>
      </c>
      <c r="B7" s="2456"/>
      <c r="C7" s="2456"/>
      <c r="D7" s="2456"/>
      <c r="E7" s="2456"/>
      <c r="F7" s="245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6" t="s">
        <v>1834</v>
      </c>
      <c r="B13" s="2456"/>
      <c r="C13" s="2456"/>
      <c r="D13" s="2456"/>
      <c r="E13" s="2456"/>
      <c r="F13" s="2456"/>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5">
        <f>+C33+C34</f>
        <v>0</v>
      </c>
      <c r="F34" s="246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70"/>
      <c r="C50" s="1870"/>
      <c r="D50" s="1870"/>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topLeftCell="A12" zoomScale="60" zoomScaleNormal="110" workbookViewId="0">
      <selection activeCell="A13" sqref="A13:H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Byron CUSD 226</v>
      </c>
      <c r="C1" s="2473"/>
      <c r="D1" s="2473"/>
      <c r="E1" s="2473"/>
      <c r="F1" s="2473"/>
      <c r="G1" s="2473"/>
      <c r="H1" s="2473"/>
      <c r="I1" s="2473"/>
      <c r="J1" s="1422"/>
    </row>
    <row r="2" spans="2:10" s="317" customFormat="1" ht="12.75" customHeight="1" x14ac:dyDescent="0.2">
      <c r="B2" s="2474">
        <f>'Single Audit Cover'!E7</f>
        <v>47071226026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t="s">
        <v>874</v>
      </c>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2077</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1951</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4" zoomScale="110" zoomScaleNormal="110" workbookViewId="0">
      <selection activeCell="A13" sqref="A13: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Byron CUSD 226</v>
      </c>
      <c r="C1" s="2472"/>
      <c r="D1" s="2472"/>
      <c r="E1" s="2472"/>
      <c r="F1" s="2472"/>
      <c r="G1" s="2472"/>
      <c r="H1" s="2472"/>
      <c r="I1" s="2472"/>
      <c r="J1" s="2472"/>
      <c r="K1" s="2472"/>
      <c r="L1" s="1374"/>
      <c r="M1" s="1374"/>
    </row>
    <row r="2" spans="1:13" ht="12" customHeight="1" x14ac:dyDescent="0.2">
      <c r="B2" s="2474">
        <f>'Single Audit Cover'!E7</f>
        <v>47071226026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2128</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2119</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2129</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2130</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2155</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2131</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8.9" customHeight="1" x14ac:dyDescent="0.2">
      <c r="B32" s="2493" t="s">
        <v>2156</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3" sqref="A13:H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Byron CUSD 226</v>
      </c>
      <c r="C1" s="2499"/>
      <c r="D1" s="2499"/>
      <c r="E1" s="2499"/>
      <c r="F1" s="2499"/>
      <c r="G1" s="2499"/>
      <c r="H1" s="2499"/>
      <c r="I1" s="2499"/>
      <c r="J1" s="2499"/>
      <c r="K1" s="2499"/>
      <c r="L1" s="1465"/>
    </row>
    <row r="2" spans="1:12" ht="12.75" customHeight="1" x14ac:dyDescent="0.2">
      <c r="B2" s="2500">
        <f>'Single Audit Cover'!E7</f>
        <v>47071226026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3" sqref="A13:H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Byron CUSD 226</v>
      </c>
      <c r="C1" s="2472"/>
      <c r="D1" s="2472"/>
      <c r="E1" s="1491"/>
    </row>
    <row r="2" spans="2:5" s="1282" customFormat="1" ht="12.75" customHeight="1" x14ac:dyDescent="0.2">
      <c r="B2" s="2474">
        <f>'Single Audit Cover'!E7</f>
        <v>47071226026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2118</v>
      </c>
      <c r="C7" s="324" t="s">
        <v>2120</v>
      </c>
      <c r="D7" s="324" t="s">
        <v>2126</v>
      </c>
      <c r="E7" s="324"/>
    </row>
    <row r="8" spans="2:5" ht="13.5" customHeight="1" x14ac:dyDescent="0.2">
      <c r="B8" s="1496"/>
      <c r="C8" s="324" t="s">
        <v>2121</v>
      </c>
      <c r="D8" s="324" t="s">
        <v>2127</v>
      </c>
      <c r="E8" s="324"/>
    </row>
    <row r="9" spans="2:5" ht="13.5" customHeight="1" x14ac:dyDescent="0.2">
      <c r="B9" s="1497"/>
      <c r="C9" s="323" t="s">
        <v>2122</v>
      </c>
      <c r="D9" s="323"/>
      <c r="E9" s="323"/>
    </row>
    <row r="10" spans="2:5" ht="13.5" customHeight="1" x14ac:dyDescent="0.2">
      <c r="B10" s="1496"/>
      <c r="C10" s="323" t="s">
        <v>2123</v>
      </c>
      <c r="D10" s="323"/>
      <c r="E10" s="323"/>
    </row>
    <row r="11" spans="2:5" ht="13.5" customHeight="1" x14ac:dyDescent="0.2">
      <c r="B11" s="1496"/>
      <c r="C11" s="323" t="s">
        <v>2124</v>
      </c>
      <c r="D11" s="323"/>
      <c r="E11" s="323"/>
    </row>
    <row r="12" spans="2:5" ht="13.5" customHeight="1" x14ac:dyDescent="0.2">
      <c r="B12" s="1496"/>
      <c r="C12" s="323" t="s">
        <v>2125</v>
      </c>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A13" sqref="A13:H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696857780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2.3E-2</v>
      </c>
      <c r="E10" s="356" t="s">
        <v>1062</v>
      </c>
      <c r="F10" s="355">
        <v>4.3499999999999997E-3</v>
      </c>
      <c r="G10" s="356" t="s">
        <v>1062</v>
      </c>
      <c r="H10" s="355">
        <v>2E-3</v>
      </c>
      <c r="I10" s="356" t="s">
        <v>1063</v>
      </c>
      <c r="J10" s="1754">
        <f>ROUND(D10+F10+H10,5)</f>
        <v>2.9350000000000001E-2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27021189</v>
      </c>
      <c r="E16" s="356"/>
      <c r="F16" s="1755">
        <f>SUM('Acct Summary 7-8'!C17,'Acct Summary 7-8'!D17,'Acct Summary 7-8'!F17)</f>
        <v>23563242</v>
      </c>
      <c r="G16" s="356"/>
      <c r="H16" s="1755">
        <f>SUM(D16-F16)</f>
        <v>3457947</v>
      </c>
      <c r="I16" s="222"/>
      <c r="J16" s="1755">
        <f>SUM('Acct Summary 7-8'!C81,'Acct Summary 7-8'!D81,'Acct Summary 7-8'!F81,'Acct Summary 7-8'!I81)</f>
        <v>23962067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96166373.640000015</v>
      </c>
      <c r="I31" s="368"/>
      <c r="J31" s="222"/>
      <c r="K31" s="222"/>
      <c r="L31" s="222"/>
      <c r="M31" s="222"/>
    </row>
    <row r="32" spans="1:13" ht="13.35" customHeight="1" x14ac:dyDescent="0.2">
      <c r="B32" s="369" t="s">
        <v>2117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22473028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t="s">
        <v>2117</v>
      </c>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t="s">
        <v>2132</v>
      </c>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Byron CUSD 226</v>
      </c>
      <c r="E7" s="391"/>
      <c r="G7" s="252"/>
      <c r="H7" s="387"/>
      <c r="I7" s="387"/>
      <c r="J7" s="387"/>
      <c r="K7" s="387"/>
      <c r="L7" s="329"/>
      <c r="M7" s="329"/>
      <c r="N7" s="329"/>
      <c r="O7" s="329"/>
      <c r="P7" s="329"/>
    </row>
    <row r="8" spans="1:18" ht="12.75" x14ac:dyDescent="0.2">
      <c r="A8" s="329"/>
      <c r="B8" s="329"/>
      <c r="C8" s="389" t="s">
        <v>1187</v>
      </c>
      <c r="D8" s="392">
        <f>COVER!A13</f>
        <v>47071226026</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23962067</v>
      </c>
      <c r="I12" s="404"/>
      <c r="J12" s="404"/>
      <c r="K12" s="405">
        <f>TRUNC((H12/H13*100000),5)/100000</f>
        <v>0.88678803140000007</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27021189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23563242</v>
      </c>
      <c r="I17" s="404"/>
      <c r="J17" s="416"/>
      <c r="K17" s="405">
        <f>TRUNC((H17/H18*100000),5)/100000</f>
        <v>0.87202831820000004</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27021189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23007453</v>
      </c>
      <c r="I24" s="422"/>
      <c r="J24" s="422"/>
      <c r="K24" s="423">
        <f>TRUNC(((H24/H25*100000)/100000),2)</f>
        <v>351.5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65453.45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17384859.46655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22473028</v>
      </c>
      <c r="I32" s="420"/>
      <c r="J32" s="420"/>
      <c r="K32" s="423">
        <f>TRUNC(100-((((H32/H33*100))*100)/100),2)</f>
        <v>76.63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96166373.640000015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13437592</v>
      </c>
      <c r="D4" s="466"/>
      <c r="E4" s="466"/>
      <c r="F4" s="466"/>
      <c r="G4" s="466"/>
      <c r="H4" s="466"/>
      <c r="I4" s="466"/>
      <c r="J4" s="467"/>
      <c r="K4" s="466"/>
      <c r="L4" s="466">
        <v>190656</v>
      </c>
      <c r="M4" s="468"/>
      <c r="N4" s="469"/>
    </row>
    <row r="5" spans="1:14" x14ac:dyDescent="0.2">
      <c r="A5" s="463" t="s">
        <v>1049</v>
      </c>
      <c r="B5" s="470">
        <v>120</v>
      </c>
      <c r="C5" s="465">
        <v>2567438</v>
      </c>
      <c r="D5" s="466">
        <v>4261710</v>
      </c>
      <c r="E5" s="466">
        <v>1762991</v>
      </c>
      <c r="F5" s="466">
        <v>2274698</v>
      </c>
      <c r="G5" s="466">
        <v>1418854</v>
      </c>
      <c r="H5" s="466"/>
      <c r="I5" s="466">
        <v>466015</v>
      </c>
      <c r="J5" s="467">
        <v>560064</v>
      </c>
      <c r="K5" s="471"/>
      <c r="L5" s="472">
        <v>129017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v>954614</v>
      </c>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16005030</v>
      </c>
      <c r="D13" s="1759">
        <f t="shared" ref="D13:L13" si="0">SUM(D4:D12)</f>
        <v>4261710</v>
      </c>
      <c r="E13" s="1759">
        <f t="shared" si="0"/>
        <v>1762991</v>
      </c>
      <c r="F13" s="1759">
        <f t="shared" si="0"/>
        <v>3229312</v>
      </c>
      <c r="G13" s="1759">
        <f t="shared" si="0"/>
        <v>1418854</v>
      </c>
      <c r="H13" s="1759">
        <f t="shared" si="0"/>
        <v>0</v>
      </c>
      <c r="I13" s="1759">
        <f t="shared" si="0"/>
        <v>466015</v>
      </c>
      <c r="J13" s="1759">
        <f t="shared" si="0"/>
        <v>560064</v>
      </c>
      <c r="K13" s="1759">
        <f t="shared" si="0"/>
        <v>0</v>
      </c>
      <c r="L13" s="1759">
        <f t="shared" si="0"/>
        <v>319673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280173</v>
      </c>
      <c r="N16" s="484"/>
    </row>
    <row r="17" spans="1:14" s="485" customFormat="1" ht="12.75" customHeight="1" x14ac:dyDescent="0.2">
      <c r="A17" s="482" t="s">
        <v>1470</v>
      </c>
      <c r="B17" s="483">
        <v>230</v>
      </c>
      <c r="C17" s="477"/>
      <c r="D17" s="477"/>
      <c r="E17" s="477"/>
      <c r="F17" s="477"/>
      <c r="G17" s="477"/>
      <c r="H17" s="477"/>
      <c r="I17" s="477"/>
      <c r="J17" s="477"/>
      <c r="K17" s="477"/>
      <c r="L17" s="477"/>
      <c r="M17" s="467">
        <v>88980619</v>
      </c>
      <c r="N17" s="484"/>
    </row>
    <row r="18" spans="1:14" s="485" customFormat="1" ht="12.75" customHeight="1" x14ac:dyDescent="0.2">
      <c r="A18" s="482" t="s">
        <v>1471</v>
      </c>
      <c r="B18" s="483">
        <v>240</v>
      </c>
      <c r="C18" s="477"/>
      <c r="D18" s="477"/>
      <c r="E18" s="477"/>
      <c r="F18" s="477"/>
      <c r="G18" s="477"/>
      <c r="H18" s="477"/>
      <c r="I18" s="477"/>
      <c r="J18" s="477"/>
      <c r="K18" s="477"/>
      <c r="L18" s="477"/>
      <c r="M18" s="467">
        <v>11575671</v>
      </c>
      <c r="N18" s="484"/>
    </row>
    <row r="19" spans="1:14" s="485" customFormat="1" ht="12.75" customHeight="1" x14ac:dyDescent="0.2">
      <c r="A19" s="482" t="s">
        <v>1472</v>
      </c>
      <c r="B19" s="483">
        <v>250</v>
      </c>
      <c r="C19" s="477"/>
      <c r="D19" s="477"/>
      <c r="E19" s="477"/>
      <c r="F19" s="477"/>
      <c r="G19" s="477"/>
      <c r="H19" s="477"/>
      <c r="I19" s="477"/>
      <c r="J19" s="477"/>
      <c r="K19" s="477"/>
      <c r="L19" s="477"/>
      <c r="M19" s="467">
        <v>10875213</v>
      </c>
      <c r="N19" s="484"/>
    </row>
    <row r="20" spans="1:14" s="485" customFormat="1" ht="12.75" customHeight="1" x14ac:dyDescent="0.2">
      <c r="A20" s="482" t="s">
        <v>1473</v>
      </c>
      <c r="B20" s="483">
        <v>260</v>
      </c>
      <c r="C20" s="477"/>
      <c r="D20" s="477"/>
      <c r="E20" s="477"/>
      <c r="F20" s="477"/>
      <c r="G20" s="477"/>
      <c r="H20" s="477"/>
      <c r="I20" s="477"/>
      <c r="J20" s="477"/>
      <c r="K20" s="477"/>
      <c r="L20" s="477"/>
      <c r="M20" s="467">
        <v>1768014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1762991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20710037</v>
      </c>
    </row>
    <row r="23" spans="1:14" ht="13.5" customHeight="1" thickBot="1" x14ac:dyDescent="0.25">
      <c r="A23" s="1758" t="s">
        <v>664</v>
      </c>
      <c r="B23" s="1763"/>
      <c r="C23" s="468"/>
      <c r="D23" s="468"/>
      <c r="E23" s="468"/>
      <c r="F23" s="468"/>
      <c r="G23" s="468"/>
      <c r="H23" s="468"/>
      <c r="I23" s="468"/>
      <c r="J23" s="468"/>
      <c r="K23" s="468"/>
      <c r="L23" s="468"/>
      <c r="M23" s="1710">
        <f>SUM(M15:M22)</f>
        <v>113479690</v>
      </c>
      <c r="N23" s="1710">
        <f>SUM(N21:N22)</f>
        <v>22473028</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v>954614</v>
      </c>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319673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954614</v>
      </c>
      <c r="L34" s="1743">
        <f>SUM(L33)</f>
        <v>319673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22473028</v>
      </c>
    </row>
    <row r="37" spans="1:14" ht="13.5" thickBot="1" x14ac:dyDescent="0.25">
      <c r="A37" s="1758" t="s">
        <v>674</v>
      </c>
      <c r="B37" s="1763"/>
      <c r="C37" s="477"/>
      <c r="D37" s="477"/>
      <c r="E37" s="477"/>
      <c r="F37" s="477"/>
      <c r="G37" s="477"/>
      <c r="H37" s="477"/>
      <c r="I37" s="477"/>
      <c r="J37" s="477"/>
      <c r="K37" s="477"/>
      <c r="L37" s="480"/>
      <c r="M37" s="468"/>
      <c r="N37" s="1710">
        <f>SUM(N36:N36)</f>
        <v>22473028</v>
      </c>
    </row>
    <row r="38" spans="1:14" s="329" customFormat="1" ht="13.5" customHeight="1" thickTop="1" x14ac:dyDescent="0.2">
      <c r="A38" s="496" t="s">
        <v>440</v>
      </c>
      <c r="B38" s="483">
        <v>714</v>
      </c>
      <c r="C38" s="466">
        <v>1736685</v>
      </c>
      <c r="D38" s="466">
        <v>4261710</v>
      </c>
      <c r="E38" s="466">
        <v>1762991</v>
      </c>
      <c r="F38" s="466">
        <v>3229312</v>
      </c>
      <c r="G38" s="466">
        <v>1418854</v>
      </c>
      <c r="H38" s="466"/>
      <c r="I38" s="466">
        <v>466015</v>
      </c>
      <c r="J38" s="467">
        <v>560064</v>
      </c>
      <c r="K38" s="466"/>
      <c r="L38" s="481"/>
      <c r="M38" s="497"/>
      <c r="N38" s="497"/>
    </row>
    <row r="39" spans="1:14" s="329" customFormat="1" ht="13.5" customHeight="1" x14ac:dyDescent="0.2">
      <c r="A39" s="496" t="s">
        <v>360</v>
      </c>
      <c r="B39" s="483">
        <v>730</v>
      </c>
      <c r="C39" s="466">
        <v>14268345</v>
      </c>
      <c r="D39" s="466"/>
      <c r="E39" s="466"/>
      <c r="F39" s="466"/>
      <c r="G39" s="466"/>
      <c r="H39" s="466">
        <v>0</v>
      </c>
      <c r="I39" s="466"/>
      <c r="J39" s="467"/>
      <c r="K39" s="466">
        <v>-954614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113479690</v>
      </c>
      <c r="N40" s="497"/>
    </row>
    <row r="41" spans="1:14" ht="13.5" customHeight="1" thickBot="1" x14ac:dyDescent="0.25">
      <c r="A41" s="1758" t="s">
        <v>676</v>
      </c>
      <c r="B41" s="1728"/>
      <c r="C41" s="1710">
        <f>(SUM(C34,C37,C38,C39))</f>
        <v>16005030</v>
      </c>
      <c r="D41" s="1710">
        <f t="shared" ref="D41:L41" si="2">SUM(D34,D37,D38:D39)</f>
        <v>4261710</v>
      </c>
      <c r="E41" s="1710">
        <f t="shared" si="2"/>
        <v>1762991</v>
      </c>
      <c r="F41" s="1710">
        <f t="shared" si="2"/>
        <v>3229312</v>
      </c>
      <c r="G41" s="1710">
        <f t="shared" si="2"/>
        <v>1418854</v>
      </c>
      <c r="H41" s="1710">
        <f t="shared" si="2"/>
        <v>0</v>
      </c>
      <c r="I41" s="1710">
        <f t="shared" si="2"/>
        <v>466015</v>
      </c>
      <c r="J41" s="1710">
        <f t="shared" si="2"/>
        <v>560064</v>
      </c>
      <c r="K41" s="1710">
        <f t="shared" si="2"/>
        <v>0</v>
      </c>
      <c r="L41" s="1710">
        <f t="shared" si="2"/>
        <v>319673</v>
      </c>
      <c r="M41" s="1710">
        <f>SUM(M40)</f>
        <v>113479690</v>
      </c>
      <c r="N41" s="1710">
        <f>SUM(N37)</f>
        <v>22473028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3" sqref="A13:H13"/>
      <selection pane="bottomLeft" activeCell="A13" sqref="A13:H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17593931</v>
      </c>
      <c r="D4" s="1764">
        <f>'Revenues 9-14'!D109</f>
        <v>3067139</v>
      </c>
      <c r="E4" s="1764">
        <f>'Revenues 9-14'!E109</f>
        <v>3561654</v>
      </c>
      <c r="F4" s="1764">
        <f>'Revenues 9-14'!F109</f>
        <v>3410477</v>
      </c>
      <c r="G4" s="1764">
        <f>'Revenues 9-14'!G109</f>
        <v>916300</v>
      </c>
      <c r="H4" s="1764">
        <f>'Revenues 9-14'!H109</f>
        <v>202</v>
      </c>
      <c r="I4" s="1764">
        <f>'Revenues 9-14'!I109</f>
        <v>351303</v>
      </c>
      <c r="J4" s="1764">
        <f>'Revenues 9-14'!J109</f>
        <v>1490054</v>
      </c>
      <c r="K4" s="1764">
        <f>'Revenues 9-14'!K109</f>
        <v>348754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1450108</v>
      </c>
      <c r="D6" s="1765">
        <f>'Revenues 9-14'!D173</f>
        <v>0</v>
      </c>
      <c r="E6" s="1765">
        <f>'Revenues 9-14'!E173</f>
        <v>0</v>
      </c>
      <c r="F6" s="1765">
        <f>'Revenues 9-14'!F173</f>
        <v>417824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730407</v>
      </c>
      <c r="D7" s="1765">
        <f>'Revenues 9-14'!D274</f>
        <v>0</v>
      </c>
      <c r="E7" s="1765">
        <f>'Revenues 9-14'!E274</f>
        <v>147365</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19774446</v>
      </c>
      <c r="D8" s="1710">
        <f t="shared" ref="D8:K8" si="0">SUM(D4:D7)</f>
        <v>3067139</v>
      </c>
      <c r="E8" s="1710">
        <f t="shared" si="0"/>
        <v>3709019</v>
      </c>
      <c r="F8" s="1710">
        <f t="shared" si="0"/>
        <v>3828301</v>
      </c>
      <c r="G8" s="1710">
        <f t="shared" si="0"/>
        <v>916300</v>
      </c>
      <c r="H8" s="1710">
        <f t="shared" si="0"/>
        <v>202</v>
      </c>
      <c r="I8" s="1710">
        <f t="shared" si="0"/>
        <v>351303</v>
      </c>
      <c r="J8" s="1710">
        <f t="shared" si="0"/>
        <v>1490054</v>
      </c>
      <c r="K8" s="1710">
        <f t="shared" si="0"/>
        <v>348754</v>
      </c>
      <c r="L8" s="347"/>
    </row>
    <row r="9" spans="1:13" ht="15.75" thickTop="1" x14ac:dyDescent="0.2">
      <c r="A9" s="514" t="s">
        <v>1752</v>
      </c>
      <c r="B9" s="515">
        <v>3998</v>
      </c>
      <c r="C9" s="481">
        <v>7901737</v>
      </c>
      <c r="D9" s="516"/>
      <c r="E9" s="481"/>
      <c r="F9" s="481"/>
      <c r="G9" s="517"/>
      <c r="H9" s="481"/>
      <c r="I9" s="509" t="s">
        <v>1231</v>
      </c>
      <c r="J9" s="478"/>
      <c r="K9" s="481"/>
      <c r="L9" s="347"/>
    </row>
    <row r="10" spans="1:13" s="519" customFormat="1" ht="13.5" thickBot="1" x14ac:dyDescent="0.25">
      <c r="A10" s="1758" t="s">
        <v>1235</v>
      </c>
      <c r="B10" s="1731"/>
      <c r="C10" s="1710">
        <f>SUM(C8:C9)</f>
        <v>27676183</v>
      </c>
      <c r="D10" s="1710">
        <f t="shared" ref="D10:K10" si="1">SUM(D8:D9)</f>
        <v>3067139</v>
      </c>
      <c r="E10" s="1710">
        <f t="shared" si="1"/>
        <v>3709019</v>
      </c>
      <c r="F10" s="1710">
        <f t="shared" si="1"/>
        <v>3828301</v>
      </c>
      <c r="G10" s="1710">
        <f t="shared" si="1"/>
        <v>916300</v>
      </c>
      <c r="H10" s="1710">
        <f t="shared" si="1"/>
        <v>202</v>
      </c>
      <c r="I10" s="1710">
        <f t="shared" si="1"/>
        <v>351303</v>
      </c>
      <c r="J10" s="1710">
        <f t="shared" si="1"/>
        <v>1490054</v>
      </c>
      <c r="K10" s="1710">
        <f t="shared" si="1"/>
        <v>348754</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12945759</v>
      </c>
      <c r="D12" s="520" t="s">
        <v>1231</v>
      </c>
      <c r="E12" s="468" t="s">
        <v>1231</v>
      </c>
      <c r="F12" s="468" t="s">
        <v>1231</v>
      </c>
      <c r="G12" s="1764">
        <f>'Expenditures 15-22'!K229</f>
        <v>318987</v>
      </c>
      <c r="H12" s="521"/>
      <c r="I12" s="468" t="s">
        <v>1231</v>
      </c>
      <c r="J12" s="468" t="s">
        <v>1231</v>
      </c>
      <c r="K12" s="521" t="s">
        <v>1231</v>
      </c>
      <c r="L12" s="347"/>
    </row>
    <row r="13" spans="1:13" ht="15.75" customHeight="1" x14ac:dyDescent="0.2">
      <c r="A13" s="1598" t="s">
        <v>477</v>
      </c>
      <c r="B13" s="1600">
        <v>2000</v>
      </c>
      <c r="C13" s="1765">
        <f>'Expenditures 15-22'!K74</f>
        <v>4370473</v>
      </c>
      <c r="D13" s="1765">
        <f>'Expenditures 15-22'!K129</f>
        <v>3122361</v>
      </c>
      <c r="E13" s="469" t="s">
        <v>1231</v>
      </c>
      <c r="F13" s="1765">
        <f>'Expenditures 15-22'!K184</f>
        <v>3043265</v>
      </c>
      <c r="G13" s="1765">
        <f>'Expenditures 15-22'!K279</f>
        <v>461911</v>
      </c>
      <c r="H13" s="1765">
        <f>'Expenditures 15-22'!K303</f>
        <v>242072</v>
      </c>
      <c r="I13" s="468" t="s">
        <v>1231</v>
      </c>
      <c r="J13" s="1765">
        <f>'Expenditures 15-22'!K330</f>
        <v>661134</v>
      </c>
      <c r="K13" s="1769">
        <f>'Expenditures 15-22'!K352</f>
        <v>1267358</v>
      </c>
      <c r="L13" s="347"/>
    </row>
    <row r="14" spans="1:13" ht="15.75" customHeight="1" x14ac:dyDescent="0.2">
      <c r="A14" s="1598" t="s">
        <v>469</v>
      </c>
      <c r="B14" s="1600">
        <v>3000</v>
      </c>
      <c r="C14" s="1765">
        <f>'Expenditures 15-22'!K75</f>
        <v>89</v>
      </c>
      <c r="D14" s="1765">
        <f>'Expenditures 15-22'!K130</f>
        <v>0</v>
      </c>
      <c r="E14" s="520" t="s">
        <v>1231</v>
      </c>
      <c r="F14" s="1765">
        <f>'Expenditures 15-22'!K185</f>
        <v>0</v>
      </c>
      <c r="G14" s="1765">
        <f>'Expenditures 15-22'!K280</f>
        <v>11</v>
      </c>
      <c r="H14" s="512"/>
      <c r="I14" s="468" t="s">
        <v>1231</v>
      </c>
      <c r="J14" s="468" t="s">
        <v>1231</v>
      </c>
      <c r="K14" s="512" t="s">
        <v>1231</v>
      </c>
      <c r="L14" s="347"/>
    </row>
    <row r="15" spans="1:13" ht="15.75" customHeight="1" x14ac:dyDescent="0.2">
      <c r="A15" s="1598" t="s">
        <v>109</v>
      </c>
      <c r="B15" s="1600">
        <v>4000</v>
      </c>
      <c r="C15" s="1765">
        <f>'Expenditures 15-22'!K102</f>
        <v>81295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3779481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17397616</v>
      </c>
      <c r="D17" s="1710">
        <f t="shared" si="2"/>
        <v>3122361</v>
      </c>
      <c r="E17" s="1710">
        <f t="shared" si="2"/>
        <v>3779481</v>
      </c>
      <c r="F17" s="1710">
        <f t="shared" si="2"/>
        <v>3043265</v>
      </c>
      <c r="G17" s="1710">
        <f t="shared" si="2"/>
        <v>780909</v>
      </c>
      <c r="H17" s="1710">
        <f t="shared" si="2"/>
        <v>242072</v>
      </c>
      <c r="I17" s="468"/>
      <c r="J17" s="1710">
        <f>SUM(J12:J16)</f>
        <v>661134</v>
      </c>
      <c r="K17" s="1710">
        <f>SUM(K12:K16)</f>
        <v>1267358</v>
      </c>
      <c r="L17" s="347"/>
    </row>
    <row r="18" spans="1:12" ht="15" customHeight="1" thickTop="1" x14ac:dyDescent="0.2">
      <c r="A18" s="1766" t="s">
        <v>1753</v>
      </c>
      <c r="B18" s="1767">
        <v>4180</v>
      </c>
      <c r="C18" s="1764">
        <f t="shared" ref="C18:H18" si="3">C9</f>
        <v>7901737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25299353</v>
      </c>
      <c r="D19" s="1710">
        <f t="shared" si="4"/>
        <v>3122361</v>
      </c>
      <c r="E19" s="1710">
        <f t="shared" si="4"/>
        <v>3779481</v>
      </c>
      <c r="F19" s="1710">
        <f t="shared" si="4"/>
        <v>3043265</v>
      </c>
      <c r="G19" s="1710">
        <f t="shared" si="4"/>
        <v>780909</v>
      </c>
      <c r="H19" s="1710">
        <f t="shared" si="4"/>
        <v>242072</v>
      </c>
      <c r="I19" s="468"/>
      <c r="J19" s="1710">
        <f>SUM(J17:J18)</f>
        <v>661134</v>
      </c>
      <c r="K19" s="1710">
        <f>SUM(K17:K18)</f>
        <v>1267358</v>
      </c>
      <c r="L19" s="347"/>
    </row>
    <row r="20" spans="1:12" ht="16.5" thickTop="1" thickBot="1" x14ac:dyDescent="0.25">
      <c r="A20" s="2145" t="s">
        <v>1754</v>
      </c>
      <c r="B20" s="2146"/>
      <c r="C20" s="1768">
        <f>C8-C17</f>
        <v>2376830</v>
      </c>
      <c r="D20" s="1768">
        <f t="shared" ref="D20:K20" si="5">D8-D17</f>
        <v>-55222</v>
      </c>
      <c r="E20" s="1768">
        <f t="shared" si="5"/>
        <v>-70462</v>
      </c>
      <c r="F20" s="1768">
        <f t="shared" si="5"/>
        <v>785036</v>
      </c>
      <c r="G20" s="1768">
        <f t="shared" si="5"/>
        <v>135391</v>
      </c>
      <c r="H20" s="1768">
        <f t="shared" si="5"/>
        <v>-241870</v>
      </c>
      <c r="I20" s="1768">
        <f t="shared" si="5"/>
        <v>351303</v>
      </c>
      <c r="J20" s="1768">
        <f t="shared" si="5"/>
        <v>828920</v>
      </c>
      <c r="K20" s="1768">
        <f t="shared" si="5"/>
        <v>-918604</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2376830</v>
      </c>
      <c r="D78" s="1724">
        <f t="shared" si="9"/>
        <v>-55222</v>
      </c>
      <c r="E78" s="1724">
        <f t="shared" si="9"/>
        <v>-70462</v>
      </c>
      <c r="F78" s="1724">
        <f t="shared" si="9"/>
        <v>785036</v>
      </c>
      <c r="G78" s="1724">
        <f t="shared" si="9"/>
        <v>135391</v>
      </c>
      <c r="H78" s="1724">
        <f t="shared" si="9"/>
        <v>-241870</v>
      </c>
      <c r="I78" s="1724">
        <f t="shared" si="9"/>
        <v>351303</v>
      </c>
      <c r="J78" s="1724">
        <f t="shared" si="9"/>
        <v>828920</v>
      </c>
      <c r="K78" s="1724">
        <f t="shared" si="9"/>
        <v>-918604</v>
      </c>
      <c r="L78" s="533"/>
    </row>
    <row r="79" spans="1:12" ht="13.5" thickTop="1" x14ac:dyDescent="0.2">
      <c r="A79" s="1516" t="s">
        <v>2071</v>
      </c>
      <c r="B79" s="534"/>
      <c r="C79" s="478">
        <v>13628200</v>
      </c>
      <c r="D79" s="535">
        <v>4316932</v>
      </c>
      <c r="E79" s="535">
        <v>1833453</v>
      </c>
      <c r="F79" s="535">
        <v>2444276</v>
      </c>
      <c r="G79" s="535">
        <v>1283463</v>
      </c>
      <c r="H79" s="535">
        <v>241870</v>
      </c>
      <c r="I79" s="535">
        <v>114712</v>
      </c>
      <c r="J79" s="535">
        <v>-268856</v>
      </c>
      <c r="K79" s="535">
        <v>-36010</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16005030</v>
      </c>
      <c r="D81" s="1710">
        <f>SUM(D78:D80)</f>
        <v>4261710</v>
      </c>
      <c r="E81" s="1710">
        <f t="shared" ref="E81:K81" si="10">SUM(E78:E80)</f>
        <v>1762991</v>
      </c>
      <c r="F81" s="1710">
        <f t="shared" si="10"/>
        <v>3229312</v>
      </c>
      <c r="G81" s="1710">
        <f t="shared" si="10"/>
        <v>1418854</v>
      </c>
      <c r="H81" s="1710">
        <f t="shared" si="10"/>
        <v>0</v>
      </c>
      <c r="I81" s="1710">
        <f t="shared" si="10"/>
        <v>466015</v>
      </c>
      <c r="J81" s="1710">
        <f t="shared" si="10"/>
        <v>560064</v>
      </c>
      <c r="K81" s="1710">
        <f t="shared" si="10"/>
        <v>-954614</v>
      </c>
      <c r="L81" s="347"/>
    </row>
    <row r="82" spans="1:12" ht="0.75" customHeight="1" thickTop="1" thickBot="1" x14ac:dyDescent="0.25">
      <c r="A82" s="536" t="s">
        <v>361</v>
      </c>
      <c r="B82" s="537"/>
      <c r="C82" s="538">
        <f>(C81-C79)</f>
        <v>2376830</v>
      </c>
      <c r="D82" s="538">
        <f t="shared" ref="D82:K82" si="11">(D81-D79)</f>
        <v>-55222</v>
      </c>
      <c r="E82" s="538">
        <f t="shared" si="11"/>
        <v>-70462</v>
      </c>
      <c r="F82" s="538">
        <f t="shared" si="11"/>
        <v>785036</v>
      </c>
      <c r="G82" s="538">
        <f t="shared" si="11"/>
        <v>135391</v>
      </c>
      <c r="H82" s="538">
        <f t="shared" si="11"/>
        <v>-241870</v>
      </c>
      <c r="I82" s="538">
        <f t="shared" si="11"/>
        <v>351303</v>
      </c>
      <c r="J82" s="538">
        <f t="shared" si="11"/>
        <v>828920</v>
      </c>
      <c r="K82" s="538">
        <f t="shared" si="11"/>
        <v>-918604</v>
      </c>
    </row>
    <row r="83" spans="1:12" ht="14.25" hidden="1" thickTop="1" thickBot="1" x14ac:dyDescent="0.25">
      <c r="A83" s="539" t="s">
        <v>362</v>
      </c>
      <c r="B83" s="464"/>
      <c r="C83" s="540">
        <f>C82/C81</f>
        <v>0.14850518868130833</v>
      </c>
      <c r="D83" s="540">
        <f t="shared" ref="D83:K83" si="12">D82/D81</f>
        <v>-1.295770946404143E-2</v>
      </c>
      <c r="E83" s="540">
        <f t="shared" si="12"/>
        <v>-3.9967305561968272E-2</v>
      </c>
      <c r="F83" s="540">
        <f t="shared" si="12"/>
        <v>0.24309698164810337</v>
      </c>
      <c r="G83" s="540">
        <f t="shared" si="12"/>
        <v>9.5422784867223831E-2</v>
      </c>
      <c r="H83" s="540" t="e">
        <f t="shared" si="12"/>
        <v>#DIV/0!</v>
      </c>
      <c r="I83" s="540">
        <f t="shared" si="12"/>
        <v>0.75384483332081587</v>
      </c>
      <c r="J83" s="540">
        <f t="shared" si="12"/>
        <v>1.4800451376985488</v>
      </c>
      <c r="K83" s="540">
        <f t="shared" si="12"/>
        <v>0.96227794689790846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3" sqref="A13:H13"/>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15988456</v>
      </c>
      <c r="D5" s="481">
        <v>3023897</v>
      </c>
      <c r="E5" s="466">
        <v>3553832</v>
      </c>
      <c r="F5" s="548">
        <v>1390296</v>
      </c>
      <c r="G5" s="466">
        <v>420134</v>
      </c>
      <c r="H5" s="466"/>
      <c r="I5" s="466">
        <v>347578</v>
      </c>
      <c r="J5" s="467">
        <v>1489061</v>
      </c>
      <c r="K5" s="466">
        <v>347578</v>
      </c>
    </row>
    <row r="6" spans="1:12" ht="15" x14ac:dyDescent="0.2">
      <c r="A6" s="463" t="s">
        <v>1761</v>
      </c>
      <c r="B6" s="470">
        <v>1130</v>
      </c>
      <c r="C6" s="466">
        <v>347578</v>
      </c>
      <c r="D6" s="466"/>
      <c r="E6" s="475"/>
      <c r="F6" s="475"/>
      <c r="G6" s="468"/>
      <c r="H6" s="468"/>
      <c r="I6" s="468"/>
      <c r="J6" s="468"/>
      <c r="K6" s="468"/>
    </row>
    <row r="7" spans="1:12" x14ac:dyDescent="0.2">
      <c r="A7" s="463" t="s">
        <v>112</v>
      </c>
      <c r="B7" s="549">
        <v>1140</v>
      </c>
      <c r="C7" s="466">
        <v>278062</v>
      </c>
      <c r="D7" s="466"/>
      <c r="E7" s="468"/>
      <c r="F7" s="467"/>
      <c r="G7" s="467"/>
      <c r="H7" s="467"/>
      <c r="I7" s="468"/>
      <c r="J7" s="468"/>
      <c r="K7" s="468"/>
    </row>
    <row r="8" spans="1:12" x14ac:dyDescent="0.2">
      <c r="A8" s="463" t="s">
        <v>433</v>
      </c>
      <c r="B8" s="470">
        <v>1150</v>
      </c>
      <c r="C8" s="475"/>
      <c r="D8" s="475"/>
      <c r="E8" s="477"/>
      <c r="F8" s="477"/>
      <c r="G8" s="481">
        <v>466099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16614096</v>
      </c>
      <c r="D12" s="1729">
        <f t="shared" si="0"/>
        <v>3023897</v>
      </c>
      <c r="E12" s="1729">
        <f t="shared" si="0"/>
        <v>3553832</v>
      </c>
      <c r="F12" s="1729">
        <f t="shared" si="0"/>
        <v>1390296</v>
      </c>
      <c r="G12" s="1729">
        <f t="shared" si="0"/>
        <v>886233</v>
      </c>
      <c r="H12" s="1729">
        <f t="shared" si="0"/>
        <v>0</v>
      </c>
      <c r="I12" s="1729">
        <f t="shared" si="0"/>
        <v>347578</v>
      </c>
      <c r="J12" s="1729">
        <f t="shared" si="0"/>
        <v>1489061</v>
      </c>
      <c r="K12" s="1710">
        <f t="shared" si="0"/>
        <v>347578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215577</v>
      </c>
      <c r="D16" s="466"/>
      <c r="E16" s="466"/>
      <c r="F16" s="466"/>
      <c r="G16" s="466">
        <v>19461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215577</v>
      </c>
      <c r="D18" s="1732">
        <f t="shared" ref="D18:K18" si="1">SUM(D14:D17)</f>
        <v>0</v>
      </c>
      <c r="E18" s="1732">
        <f t="shared" si="1"/>
        <v>0</v>
      </c>
      <c r="F18" s="1732">
        <f t="shared" si="1"/>
        <v>0</v>
      </c>
      <c r="G18" s="1732">
        <f t="shared" si="1"/>
        <v>19461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135309</v>
      </c>
      <c r="D65" s="466">
        <v>37597</v>
      </c>
      <c r="E65" s="466">
        <v>7822</v>
      </c>
      <c r="F65" s="467">
        <v>20181</v>
      </c>
      <c r="G65" s="466">
        <v>10606</v>
      </c>
      <c r="H65" s="466">
        <v>202</v>
      </c>
      <c r="I65" s="466">
        <v>3725</v>
      </c>
      <c r="J65" s="467">
        <v>993</v>
      </c>
      <c r="K65" s="466">
        <v>1176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135309</v>
      </c>
      <c r="D67" s="1710">
        <f t="shared" ref="D67:K67" si="2">SUM(D65:D66)</f>
        <v>37597</v>
      </c>
      <c r="E67" s="1710">
        <f t="shared" si="2"/>
        <v>7822</v>
      </c>
      <c r="F67" s="1710">
        <f t="shared" si="2"/>
        <v>20181</v>
      </c>
      <c r="G67" s="1710">
        <f t="shared" si="2"/>
        <v>10606</v>
      </c>
      <c r="H67" s="1710">
        <f t="shared" si="2"/>
        <v>202</v>
      </c>
      <c r="I67" s="1710">
        <f t="shared" si="2"/>
        <v>3725</v>
      </c>
      <c r="J67" s="1710">
        <f t="shared" si="2"/>
        <v>993</v>
      </c>
      <c r="K67" s="1710">
        <f t="shared" si="2"/>
        <v>1176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345049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345049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25165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25165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129583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129583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v>526</v>
      </c>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14965</v>
      </c>
      <c r="D101" s="526"/>
      <c r="E101" s="480"/>
      <c r="F101" s="526"/>
      <c r="G101" s="475"/>
      <c r="H101" s="526"/>
      <c r="I101" s="468"/>
      <c r="J101" s="475"/>
      <c r="K101" s="475"/>
    </row>
    <row r="102" spans="1:12" ht="12.75" customHeight="1" x14ac:dyDescent="0.2">
      <c r="A102" s="463" t="s">
        <v>265</v>
      </c>
      <c r="B102" s="470">
        <v>1980</v>
      </c>
      <c r="C102" s="489">
        <v>20220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93441</v>
      </c>
      <c r="D107" s="466">
        <v>5645</v>
      </c>
      <c r="E107" s="466"/>
      <c r="F107" s="466">
        <v>2000000</v>
      </c>
      <c r="G107" s="466"/>
      <c r="H107" s="466"/>
      <c r="I107" s="466"/>
      <c r="J107" s="467"/>
      <c r="K107" s="466"/>
    </row>
    <row r="108" spans="1:12" ht="12.75" customHeight="1" thickBot="1" x14ac:dyDescent="0.25">
      <c r="A108" s="1730" t="s">
        <v>508</v>
      </c>
      <c r="B108" s="1734"/>
      <c r="C108" s="1729">
        <f>SUM(C95:C107)</f>
        <v>129152</v>
      </c>
      <c r="D108" s="1729">
        <f t="shared" ref="D108:K108" si="3">SUM(D95:D107)</f>
        <v>5645</v>
      </c>
      <c r="E108" s="1729">
        <f t="shared" si="3"/>
        <v>0</v>
      </c>
      <c r="F108" s="1729">
        <f t="shared" si="3"/>
        <v>2000000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17593931</v>
      </c>
      <c r="D109" s="1737">
        <f t="shared" si="4"/>
        <v>3067139</v>
      </c>
      <c r="E109" s="1737">
        <f t="shared" si="4"/>
        <v>3561654</v>
      </c>
      <c r="F109" s="1737">
        <f t="shared" si="4"/>
        <v>3410477</v>
      </c>
      <c r="G109" s="1737">
        <f t="shared" si="4"/>
        <v>916300</v>
      </c>
      <c r="H109" s="1737">
        <f t="shared" si="4"/>
        <v>202</v>
      </c>
      <c r="I109" s="1737">
        <f t="shared" si="4"/>
        <v>351303</v>
      </c>
      <c r="J109" s="1737">
        <f t="shared" si="4"/>
        <v>1490054</v>
      </c>
      <c r="K109" s="1724">
        <f t="shared" si="4"/>
        <v>348754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977089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977089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5519</v>
      </c>
      <c r="D124" s="561"/>
      <c r="E124" s="468"/>
      <c r="F124" s="548"/>
      <c r="G124" s="468"/>
      <c r="H124" s="468"/>
      <c r="I124" s="468"/>
      <c r="J124" s="468"/>
      <c r="K124" s="468"/>
    </row>
    <row r="125" spans="1:11" ht="12.75" customHeight="1" x14ac:dyDescent="0.2">
      <c r="A125" s="463" t="s">
        <v>1521</v>
      </c>
      <c r="B125" s="562">
        <v>3105</v>
      </c>
      <c r="C125" s="466">
        <v>89883</v>
      </c>
      <c r="D125" s="561"/>
      <c r="E125" s="468"/>
      <c r="F125" s="466"/>
      <c r="G125" s="468"/>
      <c r="H125" s="468"/>
      <c r="I125" s="468"/>
      <c r="J125" s="468"/>
      <c r="K125" s="468"/>
    </row>
    <row r="126" spans="1:11" ht="12.75" customHeight="1" x14ac:dyDescent="0.2">
      <c r="A126" s="463" t="s">
        <v>922</v>
      </c>
      <c r="B126" s="562">
        <v>3110</v>
      </c>
      <c r="C126" s="551">
        <v>176652</v>
      </c>
      <c r="D126" s="466"/>
      <c r="E126" s="468"/>
      <c r="F126" s="466"/>
      <c r="G126" s="468"/>
      <c r="H126" s="468"/>
      <c r="I126" s="468"/>
      <c r="J126" s="468"/>
      <c r="K126" s="468"/>
    </row>
    <row r="127" spans="1:11" ht="12.75" customHeight="1" x14ac:dyDescent="0.2">
      <c r="A127" s="463" t="s">
        <v>107</v>
      </c>
      <c r="B127" s="562">
        <v>3120</v>
      </c>
      <c r="C127" s="466">
        <v>37550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309604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5155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5155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1581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88062</v>
      </c>
      <c r="G151" s="467"/>
      <c r="H151" s="468"/>
      <c r="I151" s="468"/>
      <c r="J151" s="468"/>
      <c r="K151" s="468"/>
    </row>
    <row r="152" spans="1:11" ht="12.75" customHeight="1" x14ac:dyDescent="0.2">
      <c r="A152" s="463" t="s">
        <v>1117</v>
      </c>
      <c r="B152" s="562">
        <v>3510</v>
      </c>
      <c r="C152" s="551"/>
      <c r="D152" s="466"/>
      <c r="E152" s="561"/>
      <c r="F152" s="466">
        <v>329762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417824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151177</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5502</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473019</v>
      </c>
      <c r="D172" s="1744">
        <f t="shared" si="6"/>
        <v>0</v>
      </c>
      <c r="E172" s="1744">
        <f t="shared" si="6"/>
        <v>0</v>
      </c>
      <c r="F172" s="1744">
        <f t="shared" si="6"/>
        <v>417824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1450108</v>
      </c>
      <c r="D173" s="1737">
        <f>SUM(D121,D172)</f>
        <v>0</v>
      </c>
      <c r="E173" s="1737">
        <f>SUM(E121,E172)</f>
        <v>0</v>
      </c>
      <c r="F173" s="1737">
        <f t="shared" ref="F173:K173" si="7">SUM(F121,F172)</f>
        <v>417824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147924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147924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93287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93287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798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798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15122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310083</v>
      </c>
      <c r="D220" s="466"/>
      <c r="E220" s="468"/>
      <c r="F220" s="466"/>
      <c r="G220" s="466"/>
      <c r="H220" s="468"/>
      <c r="I220" s="468"/>
      <c r="J220" s="468"/>
      <c r="K220" s="468"/>
    </row>
    <row r="221" spans="1:11" ht="12.75" customHeight="1" x14ac:dyDescent="0.2">
      <c r="A221" s="463" t="s">
        <v>1114</v>
      </c>
      <c r="B221" s="470">
        <v>4625</v>
      </c>
      <c r="C221" s="551">
        <v>53585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378790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v>147365</v>
      </c>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147365</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27427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16507</v>
      </c>
      <c r="D270" s="576"/>
      <c r="E270" s="468"/>
      <c r="F270" s="576"/>
      <c r="G270" s="576"/>
      <c r="H270" s="468"/>
      <c r="I270" s="468"/>
      <c r="J270" s="468"/>
      <c r="K270" s="468"/>
    </row>
    <row r="271" spans="1:11" ht="12.75" customHeight="1" thickTop="1" thickBot="1" x14ac:dyDescent="0.25">
      <c r="A271" s="463" t="s">
        <v>395</v>
      </c>
      <c r="B271" s="470">
        <v>4992</v>
      </c>
      <c r="C271" s="575">
        <v>42874</v>
      </c>
      <c r="D271" s="576"/>
      <c r="E271" s="468"/>
      <c r="F271" s="576"/>
      <c r="G271" s="576"/>
      <c r="H271" s="468"/>
      <c r="I271" s="468"/>
      <c r="J271" s="468"/>
      <c r="K271" s="468"/>
    </row>
    <row r="272" spans="1:11" s="594" customFormat="1" ht="12.75" customHeight="1" thickTop="1" thickBot="1" x14ac:dyDescent="0.25">
      <c r="A272" s="563" t="s">
        <v>77</v>
      </c>
      <c r="B272" s="557">
        <v>4999</v>
      </c>
      <c r="C272" s="575">
        <v>22800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730407</v>
      </c>
      <c r="D273" s="1737">
        <f t="shared" si="10"/>
        <v>0</v>
      </c>
      <c r="E273" s="1737">
        <f t="shared" si="10"/>
        <v>147365</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730407</v>
      </c>
      <c r="D274" s="1737">
        <f>SUM(D178,D184,D273)</f>
        <v>0</v>
      </c>
      <c r="E274" s="1737">
        <f>SUM(E178,E273)</f>
        <v>147365</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19774446</v>
      </c>
      <c r="D275" s="1737">
        <f t="shared" si="12"/>
        <v>3067139</v>
      </c>
      <c r="E275" s="1737">
        <f t="shared" si="12"/>
        <v>3709019</v>
      </c>
      <c r="F275" s="1737">
        <f t="shared" si="12"/>
        <v>3828301</v>
      </c>
      <c r="G275" s="1737">
        <f t="shared" si="12"/>
        <v>916300</v>
      </c>
      <c r="H275" s="1737">
        <f t="shared" si="12"/>
        <v>202</v>
      </c>
      <c r="I275" s="1737">
        <f t="shared" si="12"/>
        <v>351303</v>
      </c>
      <c r="J275" s="1737">
        <f t="shared" si="12"/>
        <v>1490054</v>
      </c>
      <c r="K275" s="1724">
        <f t="shared" si="12"/>
        <v>348754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6835757</v>
      </c>
      <c r="D5" s="466">
        <v>1167040</v>
      </c>
      <c r="E5" s="466">
        <v>47164</v>
      </c>
      <c r="F5" s="466">
        <v>142661</v>
      </c>
      <c r="G5" s="466">
        <v>6311</v>
      </c>
      <c r="H5" s="466">
        <v>1630</v>
      </c>
      <c r="I5" s="467">
        <v>134</v>
      </c>
      <c r="J5" s="467"/>
      <c r="K5" s="1693">
        <f>SUM(C5:J5)</f>
        <v>8200697</v>
      </c>
      <c r="L5" s="466">
        <v>8797257</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77072</v>
      </c>
      <c r="D7" s="467">
        <v>30876</v>
      </c>
      <c r="E7" s="467">
        <v>24</v>
      </c>
      <c r="F7" s="467">
        <v>648</v>
      </c>
      <c r="G7" s="467"/>
      <c r="H7" s="467"/>
      <c r="I7" s="467"/>
      <c r="J7" s="467"/>
      <c r="K7" s="1693">
        <f t="shared" ref="K7:K32" si="0">SUM(C7:J7)</f>
        <v>108620</v>
      </c>
      <c r="L7" s="466">
        <v>108086</v>
      </c>
    </row>
    <row r="8" spans="1:14" x14ac:dyDescent="0.2">
      <c r="A8" s="1526" t="s">
        <v>166</v>
      </c>
      <c r="B8" s="615">
        <v>1200</v>
      </c>
      <c r="C8" s="466">
        <v>1910736</v>
      </c>
      <c r="D8" s="466">
        <v>364198</v>
      </c>
      <c r="E8" s="466">
        <v>5118</v>
      </c>
      <c r="F8" s="466">
        <v>18340</v>
      </c>
      <c r="G8" s="466"/>
      <c r="H8" s="466">
        <v>664</v>
      </c>
      <c r="I8" s="467"/>
      <c r="J8" s="467"/>
      <c r="K8" s="1693">
        <f t="shared" si="0"/>
        <v>2299056</v>
      </c>
      <c r="L8" s="466">
        <v>1877630</v>
      </c>
    </row>
    <row r="9" spans="1:14" x14ac:dyDescent="0.2">
      <c r="A9" s="1526" t="s">
        <v>745</v>
      </c>
      <c r="B9" s="615" t="s">
        <v>1025</v>
      </c>
      <c r="C9" s="467">
        <v>109709</v>
      </c>
      <c r="D9" s="467">
        <v>29360</v>
      </c>
      <c r="E9" s="467"/>
      <c r="F9" s="467">
        <v>1496</v>
      </c>
      <c r="G9" s="467"/>
      <c r="H9" s="467"/>
      <c r="I9" s="467"/>
      <c r="J9" s="467"/>
      <c r="K9" s="1693">
        <f t="shared" si="0"/>
        <v>140565</v>
      </c>
      <c r="L9" s="466">
        <v>152223</v>
      </c>
    </row>
    <row r="10" spans="1:14" x14ac:dyDescent="0.2">
      <c r="A10" s="1526" t="s">
        <v>746</v>
      </c>
      <c r="B10" s="615">
        <v>1250</v>
      </c>
      <c r="C10" s="466">
        <v>195401</v>
      </c>
      <c r="D10" s="466">
        <v>49090</v>
      </c>
      <c r="E10" s="466"/>
      <c r="F10" s="466"/>
      <c r="G10" s="466"/>
      <c r="H10" s="466"/>
      <c r="I10" s="467"/>
      <c r="J10" s="467"/>
      <c r="K10" s="1693">
        <f t="shared" si="0"/>
        <v>244491</v>
      </c>
      <c r="L10" s="466">
        <v>216481</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486328</v>
      </c>
      <c r="D13" s="466">
        <v>51204</v>
      </c>
      <c r="E13" s="466">
        <v>2956</v>
      </c>
      <c r="F13" s="466">
        <v>20446</v>
      </c>
      <c r="G13" s="466"/>
      <c r="H13" s="466">
        <v>13914</v>
      </c>
      <c r="I13" s="467"/>
      <c r="J13" s="467"/>
      <c r="K13" s="1693">
        <f t="shared" si="0"/>
        <v>574848</v>
      </c>
      <c r="L13" s="466">
        <v>551002</v>
      </c>
    </row>
    <row r="14" spans="1:14" x14ac:dyDescent="0.2">
      <c r="A14" s="1526" t="s">
        <v>1020</v>
      </c>
      <c r="B14" s="615">
        <v>1500</v>
      </c>
      <c r="C14" s="466">
        <v>598313</v>
      </c>
      <c r="D14" s="466">
        <v>66987</v>
      </c>
      <c r="E14" s="466">
        <v>91526</v>
      </c>
      <c r="F14" s="466">
        <v>77847</v>
      </c>
      <c r="G14" s="466"/>
      <c r="H14" s="466">
        <v>21197</v>
      </c>
      <c r="I14" s="467"/>
      <c r="J14" s="467"/>
      <c r="K14" s="1693">
        <f t="shared" si="0"/>
        <v>855870</v>
      </c>
      <c r="L14" s="466">
        <v>773642</v>
      </c>
    </row>
    <row r="15" spans="1:14" x14ac:dyDescent="0.2">
      <c r="A15" s="1526" t="s">
        <v>1021</v>
      </c>
      <c r="B15" s="615">
        <v>1600</v>
      </c>
      <c r="C15" s="466">
        <v>18903</v>
      </c>
      <c r="D15" s="466">
        <v>2984</v>
      </c>
      <c r="E15" s="466"/>
      <c r="F15" s="466"/>
      <c r="G15" s="466"/>
      <c r="H15" s="466"/>
      <c r="I15" s="467"/>
      <c r="J15" s="467"/>
      <c r="K15" s="1693">
        <f t="shared" si="0"/>
        <v>21887</v>
      </c>
      <c r="L15" s="466">
        <v>33814</v>
      </c>
    </row>
    <row r="16" spans="1:14" x14ac:dyDescent="0.2">
      <c r="A16" s="1526" t="s">
        <v>1044</v>
      </c>
      <c r="B16" s="615" t="s">
        <v>444</v>
      </c>
      <c r="C16" s="466">
        <v>235757</v>
      </c>
      <c r="D16" s="466">
        <v>30134</v>
      </c>
      <c r="E16" s="466"/>
      <c r="F16" s="466"/>
      <c r="G16" s="466"/>
      <c r="H16" s="466"/>
      <c r="I16" s="467"/>
      <c r="J16" s="467"/>
      <c r="K16" s="1693">
        <f t="shared" si="0"/>
        <v>265891</v>
      </c>
      <c r="L16" s="466">
        <v>239174</v>
      </c>
    </row>
    <row r="17" spans="1:12" x14ac:dyDescent="0.2">
      <c r="A17" s="1526" t="s">
        <v>748</v>
      </c>
      <c r="B17" s="615" t="s">
        <v>164</v>
      </c>
      <c r="C17" s="467"/>
      <c r="D17" s="467"/>
      <c r="E17" s="467">
        <v>51660</v>
      </c>
      <c r="F17" s="467"/>
      <c r="G17" s="467"/>
      <c r="H17" s="467"/>
      <c r="I17" s="467"/>
      <c r="J17" s="467"/>
      <c r="K17" s="1693">
        <f t="shared" si="0"/>
        <v>51660</v>
      </c>
      <c r="L17" s="466">
        <v>50000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v>182174</v>
      </c>
      <c r="I22" s="617"/>
      <c r="J22" s="477"/>
      <c r="K22" s="1693">
        <f t="shared" si="0"/>
        <v>182174</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10467976</v>
      </c>
      <c r="D33" s="1692">
        <f t="shared" ref="D33:L33" si="1">SUM(D5:D32)</f>
        <v>1791873</v>
      </c>
      <c r="E33" s="1692">
        <f t="shared" si="1"/>
        <v>198448</v>
      </c>
      <c r="F33" s="1692">
        <f t="shared" si="1"/>
        <v>261438</v>
      </c>
      <c r="G33" s="1692">
        <f t="shared" si="1"/>
        <v>6311</v>
      </c>
      <c r="H33" s="1692">
        <f t="shared" si="1"/>
        <v>219579</v>
      </c>
      <c r="I33" s="1692">
        <f t="shared" si="1"/>
        <v>134</v>
      </c>
      <c r="J33" s="1692">
        <f t="shared" si="1"/>
        <v>0</v>
      </c>
      <c r="K33" s="1692">
        <f t="shared" si="1"/>
        <v>12945759</v>
      </c>
      <c r="L33" s="1692">
        <f t="shared" si="1"/>
        <v>12799309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142223</v>
      </c>
      <c r="D36" s="481">
        <v>29985</v>
      </c>
      <c r="E36" s="481"/>
      <c r="F36" s="481">
        <v>1531</v>
      </c>
      <c r="G36" s="481"/>
      <c r="H36" s="481"/>
      <c r="I36" s="467"/>
      <c r="J36" s="467"/>
      <c r="K36" s="1693">
        <f t="shared" ref="K36:K41" si="2">SUM(C36:J36)</f>
        <v>173739</v>
      </c>
      <c r="L36" s="466">
        <v>172660</v>
      </c>
    </row>
    <row r="37" spans="1:14" x14ac:dyDescent="0.2">
      <c r="A37" s="1526" t="s">
        <v>1151</v>
      </c>
      <c r="B37" s="615">
        <v>2120</v>
      </c>
      <c r="C37" s="466">
        <v>261673</v>
      </c>
      <c r="D37" s="466">
        <v>37803</v>
      </c>
      <c r="E37" s="466">
        <v>12340</v>
      </c>
      <c r="F37" s="466">
        <v>546</v>
      </c>
      <c r="G37" s="466"/>
      <c r="H37" s="466"/>
      <c r="I37" s="467"/>
      <c r="J37" s="467"/>
      <c r="K37" s="1693">
        <f t="shared" si="2"/>
        <v>312362</v>
      </c>
      <c r="L37" s="466">
        <v>252734</v>
      </c>
    </row>
    <row r="38" spans="1:14" x14ac:dyDescent="0.2">
      <c r="A38" s="1526" t="s">
        <v>207</v>
      </c>
      <c r="B38" s="615">
        <v>2130</v>
      </c>
      <c r="C38" s="466">
        <v>139514</v>
      </c>
      <c r="D38" s="466">
        <v>981</v>
      </c>
      <c r="E38" s="466">
        <v>485</v>
      </c>
      <c r="F38" s="466">
        <v>4534</v>
      </c>
      <c r="G38" s="466"/>
      <c r="H38" s="466"/>
      <c r="I38" s="467"/>
      <c r="J38" s="467"/>
      <c r="K38" s="1693">
        <f t="shared" si="2"/>
        <v>145514</v>
      </c>
      <c r="L38" s="466">
        <v>144797</v>
      </c>
    </row>
    <row r="39" spans="1:14" x14ac:dyDescent="0.2">
      <c r="A39" s="1526" t="s">
        <v>208</v>
      </c>
      <c r="B39" s="615">
        <v>2140</v>
      </c>
      <c r="C39" s="466">
        <v>142322</v>
      </c>
      <c r="D39" s="466">
        <v>27776</v>
      </c>
      <c r="E39" s="466"/>
      <c r="F39" s="466">
        <v>2263</v>
      </c>
      <c r="G39" s="466"/>
      <c r="H39" s="466"/>
      <c r="I39" s="467"/>
      <c r="J39" s="467"/>
      <c r="K39" s="1693">
        <f t="shared" si="2"/>
        <v>172361</v>
      </c>
      <c r="L39" s="466">
        <v>170901</v>
      </c>
    </row>
    <row r="40" spans="1:14" x14ac:dyDescent="0.2">
      <c r="A40" s="1526" t="s">
        <v>209</v>
      </c>
      <c r="B40" s="615">
        <v>2150</v>
      </c>
      <c r="C40" s="466">
        <v>229774</v>
      </c>
      <c r="D40" s="466">
        <v>28759</v>
      </c>
      <c r="E40" s="466">
        <v>722</v>
      </c>
      <c r="F40" s="466"/>
      <c r="G40" s="466"/>
      <c r="H40" s="466"/>
      <c r="I40" s="467"/>
      <c r="J40" s="467"/>
      <c r="K40" s="1693">
        <f t="shared" si="2"/>
        <v>259255</v>
      </c>
      <c r="L40" s="466">
        <v>267636</v>
      </c>
    </row>
    <row r="41" spans="1:14" x14ac:dyDescent="0.2">
      <c r="A41" s="1526" t="s">
        <v>1768</v>
      </c>
      <c r="B41" s="615">
        <v>2190</v>
      </c>
      <c r="C41" s="466">
        <v>73744</v>
      </c>
      <c r="D41" s="466">
        <v>30</v>
      </c>
      <c r="E41" s="466">
        <v>44472</v>
      </c>
      <c r="F41" s="466">
        <v>3278</v>
      </c>
      <c r="G41" s="466"/>
      <c r="H41" s="466"/>
      <c r="I41" s="467"/>
      <c r="J41" s="467"/>
      <c r="K41" s="1693">
        <f t="shared" si="2"/>
        <v>121524</v>
      </c>
      <c r="L41" s="466">
        <v>120028</v>
      </c>
    </row>
    <row r="42" spans="1:14" ht="12.75" customHeight="1" thickBot="1" x14ac:dyDescent="0.25">
      <c r="A42" s="1690" t="s">
        <v>581</v>
      </c>
      <c r="B42" s="1691" t="s">
        <v>740</v>
      </c>
      <c r="C42" s="1692">
        <f>SUM(C36:C41)</f>
        <v>989250</v>
      </c>
      <c r="D42" s="1692">
        <f t="shared" ref="D42:L42" si="3">SUM(D36:D41)</f>
        <v>125334</v>
      </c>
      <c r="E42" s="1692">
        <f t="shared" si="3"/>
        <v>58019</v>
      </c>
      <c r="F42" s="1692">
        <f t="shared" si="3"/>
        <v>12152</v>
      </c>
      <c r="G42" s="1692">
        <f t="shared" si="3"/>
        <v>0</v>
      </c>
      <c r="H42" s="1692">
        <f t="shared" si="3"/>
        <v>0</v>
      </c>
      <c r="I42" s="1692">
        <f t="shared" si="3"/>
        <v>0</v>
      </c>
      <c r="J42" s="1692">
        <f t="shared" si="3"/>
        <v>0</v>
      </c>
      <c r="K42" s="1692">
        <f t="shared" si="3"/>
        <v>1184755</v>
      </c>
      <c r="L42" s="1692">
        <f t="shared" si="3"/>
        <v>1128756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1091</v>
      </c>
      <c r="D44" s="481">
        <v>15</v>
      </c>
      <c r="E44" s="481">
        <v>87100</v>
      </c>
      <c r="F44" s="481">
        <v>433</v>
      </c>
      <c r="G44" s="481"/>
      <c r="H44" s="481"/>
      <c r="I44" s="467"/>
      <c r="J44" s="467"/>
      <c r="K44" s="1694">
        <f>SUM(C44:J44)</f>
        <v>88639</v>
      </c>
      <c r="L44" s="481">
        <v>67650</v>
      </c>
    </row>
    <row r="45" spans="1:14" x14ac:dyDescent="0.2">
      <c r="A45" s="1526" t="s">
        <v>869</v>
      </c>
      <c r="B45" s="615">
        <v>2220</v>
      </c>
      <c r="C45" s="466">
        <v>371818</v>
      </c>
      <c r="D45" s="466">
        <v>105953</v>
      </c>
      <c r="E45" s="466">
        <v>466408</v>
      </c>
      <c r="F45" s="466">
        <v>138200</v>
      </c>
      <c r="G45" s="466"/>
      <c r="H45" s="466">
        <v>896</v>
      </c>
      <c r="I45" s="467"/>
      <c r="J45" s="467"/>
      <c r="K45" s="1694">
        <f>SUM(C45:J45)</f>
        <v>1083275</v>
      </c>
      <c r="L45" s="466">
        <v>1242493</v>
      </c>
    </row>
    <row r="46" spans="1:14" x14ac:dyDescent="0.2">
      <c r="A46" s="1526" t="s">
        <v>870</v>
      </c>
      <c r="B46" s="615">
        <v>2230</v>
      </c>
      <c r="C46" s="466"/>
      <c r="D46" s="466"/>
      <c r="E46" s="466">
        <v>71970</v>
      </c>
      <c r="F46" s="466">
        <v>4401</v>
      </c>
      <c r="G46" s="466"/>
      <c r="H46" s="466"/>
      <c r="I46" s="467"/>
      <c r="J46" s="467"/>
      <c r="K46" s="1694">
        <f>SUM(C46:J46)</f>
        <v>76371</v>
      </c>
      <c r="L46" s="466">
        <v>216000</v>
      </c>
    </row>
    <row r="47" spans="1:14" ht="12.75" customHeight="1" thickBot="1" x14ac:dyDescent="0.25">
      <c r="A47" s="1690" t="s">
        <v>582</v>
      </c>
      <c r="B47" s="1691" t="s">
        <v>32</v>
      </c>
      <c r="C47" s="1692">
        <f>SUM(C44:C46)</f>
        <v>372909</v>
      </c>
      <c r="D47" s="1692">
        <f t="shared" ref="D47:K47" si="4">SUM(D44:D46)</f>
        <v>105968</v>
      </c>
      <c r="E47" s="1692">
        <f t="shared" si="4"/>
        <v>625478</v>
      </c>
      <c r="F47" s="1692">
        <f t="shared" si="4"/>
        <v>143034</v>
      </c>
      <c r="G47" s="1692">
        <f t="shared" si="4"/>
        <v>0</v>
      </c>
      <c r="H47" s="1692">
        <f t="shared" si="4"/>
        <v>896</v>
      </c>
      <c r="I47" s="1692">
        <f t="shared" si="4"/>
        <v>0</v>
      </c>
      <c r="J47" s="1692">
        <f t="shared" si="4"/>
        <v>0</v>
      </c>
      <c r="K47" s="1692">
        <f t="shared" si="4"/>
        <v>1248285</v>
      </c>
      <c r="L47" s="1692">
        <f>SUM(L44:L46)</f>
        <v>1526143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-702974</v>
      </c>
      <c r="E49" s="481">
        <v>18698</v>
      </c>
      <c r="F49" s="481">
        <v>11719</v>
      </c>
      <c r="G49" s="481"/>
      <c r="H49" s="481">
        <v>12689</v>
      </c>
      <c r="I49" s="467"/>
      <c r="J49" s="467">
        <v>60800</v>
      </c>
      <c r="K49" s="1694">
        <f>SUM(C49:J49)</f>
        <v>-599068</v>
      </c>
      <c r="L49" s="481">
        <v>116300</v>
      </c>
    </row>
    <row r="50" spans="1:14" x14ac:dyDescent="0.2">
      <c r="A50" s="1526" t="s">
        <v>872</v>
      </c>
      <c r="B50" s="615">
        <v>2320</v>
      </c>
      <c r="C50" s="466">
        <v>339598</v>
      </c>
      <c r="D50" s="466">
        <v>74507</v>
      </c>
      <c r="E50" s="466">
        <v>1631</v>
      </c>
      <c r="F50" s="466">
        <v>43772</v>
      </c>
      <c r="G50" s="466"/>
      <c r="H50" s="466">
        <v>55</v>
      </c>
      <c r="I50" s="467"/>
      <c r="J50" s="467"/>
      <c r="K50" s="1694">
        <f>SUM(C50:J50)</f>
        <v>459563</v>
      </c>
      <c r="L50" s="466">
        <v>421003</v>
      </c>
    </row>
    <row r="51" spans="1:14" x14ac:dyDescent="0.2">
      <c r="A51" s="1526" t="s">
        <v>44</v>
      </c>
      <c r="B51" s="615">
        <v>2330</v>
      </c>
      <c r="C51" s="466">
        <v>131188</v>
      </c>
      <c r="D51" s="466">
        <v>39340</v>
      </c>
      <c r="E51" s="466"/>
      <c r="F51" s="466"/>
      <c r="G51" s="466"/>
      <c r="H51" s="466"/>
      <c r="I51" s="467"/>
      <c r="J51" s="467"/>
      <c r="K51" s="1694">
        <f>SUM(C51:J51)</f>
        <v>170528</v>
      </c>
      <c r="L51" s="466">
        <v>169002</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470786</v>
      </c>
      <c r="D53" s="1692">
        <f t="shared" ref="D53:L53" si="5">SUM(D49:D52)</f>
        <v>-589127</v>
      </c>
      <c r="E53" s="1692">
        <f t="shared" si="5"/>
        <v>20329</v>
      </c>
      <c r="F53" s="1692">
        <f t="shared" si="5"/>
        <v>55491</v>
      </c>
      <c r="G53" s="1692">
        <f t="shared" si="5"/>
        <v>0</v>
      </c>
      <c r="H53" s="1692">
        <f t="shared" si="5"/>
        <v>12744</v>
      </c>
      <c r="I53" s="1692">
        <f t="shared" si="5"/>
        <v>0</v>
      </c>
      <c r="J53" s="1692">
        <f t="shared" si="5"/>
        <v>60800</v>
      </c>
      <c r="K53" s="1692">
        <f t="shared" si="5"/>
        <v>31023</v>
      </c>
      <c r="L53" s="1692">
        <f t="shared" si="5"/>
        <v>706305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807931</v>
      </c>
      <c r="D55" s="481">
        <v>251607</v>
      </c>
      <c r="E55" s="481">
        <v>232</v>
      </c>
      <c r="F55" s="481">
        <v>4306</v>
      </c>
      <c r="G55" s="481"/>
      <c r="H55" s="481">
        <v>6999</v>
      </c>
      <c r="I55" s="467"/>
      <c r="J55" s="467"/>
      <c r="K55" s="1694">
        <f>SUM(C55:J55)</f>
        <v>1071075</v>
      </c>
      <c r="L55" s="481">
        <v>1050444</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807931</v>
      </c>
      <c r="D57" s="1696">
        <f t="shared" ref="D57:K57" si="6">SUM(D55:D56)</f>
        <v>251607</v>
      </c>
      <c r="E57" s="1696">
        <f t="shared" si="6"/>
        <v>232</v>
      </c>
      <c r="F57" s="1696">
        <f t="shared" si="6"/>
        <v>4306</v>
      </c>
      <c r="G57" s="1696">
        <f t="shared" si="6"/>
        <v>0</v>
      </c>
      <c r="H57" s="1696">
        <f t="shared" si="6"/>
        <v>6999</v>
      </c>
      <c r="I57" s="1696">
        <f t="shared" si="6"/>
        <v>0</v>
      </c>
      <c r="J57" s="1696">
        <f t="shared" si="6"/>
        <v>0</v>
      </c>
      <c r="K57" s="1696">
        <f t="shared" si="6"/>
        <v>1071075</v>
      </c>
      <c r="L57" s="1692">
        <f>SUM(L55:L56)</f>
        <v>1050444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157771</v>
      </c>
      <c r="D60" s="466">
        <v>35478</v>
      </c>
      <c r="E60" s="466">
        <v>47653</v>
      </c>
      <c r="F60" s="466">
        <v>1975</v>
      </c>
      <c r="G60" s="466"/>
      <c r="H60" s="466">
        <v>33041</v>
      </c>
      <c r="I60" s="467"/>
      <c r="J60" s="467"/>
      <c r="K60" s="1694">
        <f t="shared" si="7"/>
        <v>275918</v>
      </c>
      <c r="L60" s="466">
        <v>263513</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230525</v>
      </c>
      <c r="D63" s="466">
        <v>41430</v>
      </c>
      <c r="E63" s="466">
        <v>40868</v>
      </c>
      <c r="F63" s="466">
        <v>217348</v>
      </c>
      <c r="G63" s="466"/>
      <c r="H63" s="466">
        <v>1392</v>
      </c>
      <c r="I63" s="467"/>
      <c r="J63" s="467"/>
      <c r="K63" s="1694">
        <f t="shared" si="7"/>
        <v>531563</v>
      </c>
      <c r="L63" s="466">
        <v>518291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388296</v>
      </c>
      <c r="D65" s="1692">
        <f t="shared" ref="D65:L65" si="8">SUM(D59:D64)</f>
        <v>76908</v>
      </c>
      <c r="E65" s="1692">
        <f t="shared" si="8"/>
        <v>88521</v>
      </c>
      <c r="F65" s="1692">
        <f t="shared" si="8"/>
        <v>219323</v>
      </c>
      <c r="G65" s="1692">
        <f t="shared" si="8"/>
        <v>0</v>
      </c>
      <c r="H65" s="1692">
        <f t="shared" si="8"/>
        <v>34433</v>
      </c>
      <c r="I65" s="1692">
        <f t="shared" si="8"/>
        <v>0</v>
      </c>
      <c r="J65" s="1692">
        <f t="shared" si="8"/>
        <v>0</v>
      </c>
      <c r="K65" s="1692">
        <f t="shared" si="8"/>
        <v>807481</v>
      </c>
      <c r="L65" s="1692">
        <f t="shared" si="8"/>
        <v>781804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v>22640</v>
      </c>
      <c r="F69" s="466"/>
      <c r="G69" s="466"/>
      <c r="H69" s="466"/>
      <c r="I69" s="467"/>
      <c r="J69" s="467"/>
      <c r="K69" s="1694">
        <f>SUM(C69:J69)</f>
        <v>22640</v>
      </c>
      <c r="L69" s="466">
        <v>24500</v>
      </c>
      <c r="M69" s="610"/>
      <c r="N69" s="610"/>
    </row>
    <row r="70" spans="1:14" s="343" customFormat="1" x14ac:dyDescent="0.2">
      <c r="A70" s="1526" t="s">
        <v>423</v>
      </c>
      <c r="B70" s="615">
        <v>2640</v>
      </c>
      <c r="C70" s="466">
        <v>4000</v>
      </c>
      <c r="D70" s="466">
        <v>57</v>
      </c>
      <c r="E70" s="466">
        <v>1157</v>
      </c>
      <c r="F70" s="466"/>
      <c r="G70" s="466"/>
      <c r="H70" s="466"/>
      <c r="I70" s="467"/>
      <c r="J70" s="467"/>
      <c r="K70" s="1694">
        <f>SUM(C70:J70)</f>
        <v>5214</v>
      </c>
      <c r="L70" s="466">
        <v>1100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4000</v>
      </c>
      <c r="D72" s="1692">
        <f t="shared" ref="D72:K72" si="9">SUM(D67:D71)</f>
        <v>57</v>
      </c>
      <c r="E72" s="1692">
        <f t="shared" si="9"/>
        <v>23797</v>
      </c>
      <c r="F72" s="1692">
        <f t="shared" si="9"/>
        <v>0</v>
      </c>
      <c r="G72" s="1692">
        <f t="shared" si="9"/>
        <v>0</v>
      </c>
      <c r="H72" s="1692">
        <f t="shared" si="9"/>
        <v>0</v>
      </c>
      <c r="I72" s="1692">
        <f t="shared" si="9"/>
        <v>0</v>
      </c>
      <c r="J72" s="1692">
        <f t="shared" si="9"/>
        <v>0</v>
      </c>
      <c r="K72" s="1692">
        <f t="shared" si="9"/>
        <v>27854</v>
      </c>
      <c r="L72" s="1692">
        <f>SUM(L67:L71)</f>
        <v>25600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3033172</v>
      </c>
      <c r="D74" s="1699">
        <f t="shared" ref="D74:K74" si="10">SUM(D42,D47,D53,D57,D65,D72,D73)</f>
        <v>-29253</v>
      </c>
      <c r="E74" s="1699">
        <f t="shared" si="10"/>
        <v>816376</v>
      </c>
      <c r="F74" s="1699">
        <f t="shared" si="10"/>
        <v>434306</v>
      </c>
      <c r="G74" s="1699">
        <f t="shared" si="10"/>
        <v>0</v>
      </c>
      <c r="H74" s="1699">
        <f t="shared" si="10"/>
        <v>55072</v>
      </c>
      <c r="I74" s="1699">
        <f t="shared" si="10"/>
        <v>0</v>
      </c>
      <c r="J74" s="1699">
        <f t="shared" si="10"/>
        <v>60800</v>
      </c>
      <c r="K74" s="1699">
        <f t="shared" si="10"/>
        <v>4370473</v>
      </c>
      <c r="L74" s="1699">
        <f>SUM(L42,L47,L53,L57,L65,L72,L73)</f>
        <v>5219052</v>
      </c>
    </row>
    <row r="75" spans="1:14" s="259" customFormat="1" ht="15.75" customHeight="1" thickTop="1" thickBot="1" x14ac:dyDescent="0.25">
      <c r="A75" s="1632" t="s">
        <v>49</v>
      </c>
      <c r="B75" s="1633" t="s">
        <v>596</v>
      </c>
      <c r="C75" s="573">
        <v>89</v>
      </c>
      <c r="D75" s="573"/>
      <c r="E75" s="573"/>
      <c r="F75" s="573"/>
      <c r="G75" s="573"/>
      <c r="H75" s="573"/>
      <c r="I75" s="531"/>
      <c r="J75" s="531"/>
      <c r="K75" s="1692">
        <f>SUM(C75:J75)</f>
        <v>89</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11259</v>
      </c>
      <c r="I78" s="477"/>
      <c r="J78" s="477"/>
      <c r="K78" s="1693">
        <f t="shared" ref="K78:K83" si="11">SUM(C78:J78)</f>
        <v>11259</v>
      </c>
      <c r="L78" s="481">
        <v>8500</v>
      </c>
    </row>
    <row r="79" spans="1:14" x14ac:dyDescent="0.2">
      <c r="A79" s="1526" t="s">
        <v>322</v>
      </c>
      <c r="B79" s="615">
        <v>4120</v>
      </c>
      <c r="C79" s="617"/>
      <c r="D79" s="617"/>
      <c r="E79" s="466">
        <v>40701</v>
      </c>
      <c r="F79" s="617"/>
      <c r="G79" s="617"/>
      <c r="H79" s="466"/>
      <c r="I79" s="477"/>
      <c r="J79" s="477"/>
      <c r="K79" s="1693">
        <f t="shared" si="11"/>
        <v>40701</v>
      </c>
      <c r="L79" s="466">
        <v>90000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v>29335</v>
      </c>
      <c r="F83" s="617"/>
      <c r="G83" s="617"/>
      <c r="H83" s="466"/>
      <c r="I83" s="477"/>
      <c r="J83" s="477"/>
      <c r="K83" s="1693">
        <f t="shared" si="11"/>
        <v>29335</v>
      </c>
      <c r="L83" s="466">
        <v>0</v>
      </c>
    </row>
    <row r="84" spans="1:12" ht="13.5" thickBot="1" x14ac:dyDescent="0.25">
      <c r="A84" s="1690" t="s">
        <v>1565</v>
      </c>
      <c r="B84" s="1700">
        <v>4100</v>
      </c>
      <c r="C84" s="617"/>
      <c r="D84" s="617"/>
      <c r="E84" s="1692">
        <f>SUM(E78:E83)</f>
        <v>70036</v>
      </c>
      <c r="F84" s="617"/>
      <c r="G84" s="617"/>
      <c r="H84" s="1692">
        <f>SUM(H78:H83)</f>
        <v>11259</v>
      </c>
      <c r="I84" s="477"/>
      <c r="J84" s="477"/>
      <c r="K84" s="1692">
        <f>SUM(K78:K83)</f>
        <v>81295</v>
      </c>
      <c r="L84" s="1692">
        <f>SUM(L78:L83)</f>
        <v>98500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70036</v>
      </c>
      <c r="F102" s="617"/>
      <c r="G102" s="617"/>
      <c r="H102" s="1699">
        <f>SUM(H84,H92,H100,H101)</f>
        <v>11259</v>
      </c>
      <c r="I102" s="477"/>
      <c r="J102" s="477"/>
      <c r="K102" s="1699">
        <f>SUM(K84,K92,K100,K101)</f>
        <v>81295</v>
      </c>
      <c r="L102" s="1699">
        <f>SUM(L84,L92,L100,L101)</f>
        <v>98500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13501237</v>
      </c>
      <c r="D114" s="1692">
        <f t="shared" ref="D114:K114" si="13">SUM(D33,D74,D75,D102,D112,D113)</f>
        <v>1762620</v>
      </c>
      <c r="E114" s="1692">
        <f t="shared" si="13"/>
        <v>1084860</v>
      </c>
      <c r="F114" s="1692">
        <f t="shared" si="13"/>
        <v>695744</v>
      </c>
      <c r="G114" s="1692">
        <f t="shared" si="13"/>
        <v>6311</v>
      </c>
      <c r="H114" s="1692">
        <f>SUM(H33,H74,H75,H102,H112,H113)</f>
        <v>285910</v>
      </c>
      <c r="I114" s="1692">
        <f t="shared" si="13"/>
        <v>134</v>
      </c>
      <c r="J114" s="1692">
        <f t="shared" si="13"/>
        <v>60800</v>
      </c>
      <c r="K114" s="1692">
        <f t="shared" si="13"/>
        <v>17397616</v>
      </c>
      <c r="L114" s="1692">
        <f>SUM(L33,L74,L75,L102,L112,L113)</f>
        <v>18116861</v>
      </c>
    </row>
    <row r="115" spans="1:14" ht="13.5" thickTop="1" x14ac:dyDescent="0.2">
      <c r="A115" s="2175" t="s">
        <v>1053</v>
      </c>
      <c r="B115" s="2176"/>
      <c r="C115" s="619"/>
      <c r="D115" s="619"/>
      <c r="E115" s="619"/>
      <c r="F115" s="619"/>
      <c r="G115" s="619"/>
      <c r="H115" s="619"/>
      <c r="I115" s="619"/>
      <c r="J115" s="619"/>
      <c r="K115" s="1706">
        <f>'Revenues 9-14'!C275-'Expenditures 15-22'!K114</f>
        <v>2376830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702492</v>
      </c>
      <c r="D124" s="466">
        <v>168302</v>
      </c>
      <c r="E124" s="466">
        <v>506482</v>
      </c>
      <c r="F124" s="466">
        <v>906261</v>
      </c>
      <c r="G124" s="466">
        <v>838824</v>
      </c>
      <c r="H124" s="466"/>
      <c r="I124" s="467"/>
      <c r="J124" s="467"/>
      <c r="K124" s="1692">
        <f>SUM(C124:J124)</f>
        <v>3122361</v>
      </c>
      <c r="L124" s="466">
        <v>2071314</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702492</v>
      </c>
      <c r="D127" s="1692">
        <f t="shared" ref="D127:L127" si="14">SUM(D122:D126)</f>
        <v>168302</v>
      </c>
      <c r="E127" s="1692">
        <f t="shared" si="14"/>
        <v>506482</v>
      </c>
      <c r="F127" s="1692">
        <f t="shared" si="14"/>
        <v>906261</v>
      </c>
      <c r="G127" s="1692">
        <f t="shared" si="14"/>
        <v>838824</v>
      </c>
      <c r="H127" s="1692">
        <f t="shared" si="14"/>
        <v>0</v>
      </c>
      <c r="I127" s="1692">
        <f t="shared" si="14"/>
        <v>0</v>
      </c>
      <c r="J127" s="1692">
        <f t="shared" si="14"/>
        <v>0</v>
      </c>
      <c r="K127" s="1692">
        <f t="shared" si="14"/>
        <v>3122361</v>
      </c>
      <c r="L127" s="1692">
        <f t="shared" si="14"/>
        <v>2071314</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702492</v>
      </c>
      <c r="D129" s="1699">
        <f t="shared" ref="D129:L129" si="15">SUM(D120,D127,D128)</f>
        <v>168302</v>
      </c>
      <c r="E129" s="1699">
        <f t="shared" si="15"/>
        <v>506482</v>
      </c>
      <c r="F129" s="1699">
        <f t="shared" si="15"/>
        <v>906261</v>
      </c>
      <c r="G129" s="1699">
        <f t="shared" si="15"/>
        <v>838824</v>
      </c>
      <c r="H129" s="1699">
        <f t="shared" si="15"/>
        <v>0</v>
      </c>
      <c r="I129" s="1699">
        <f t="shared" si="15"/>
        <v>0</v>
      </c>
      <c r="J129" s="1699">
        <f t="shared" si="15"/>
        <v>0</v>
      </c>
      <c r="K129" s="1699">
        <f t="shared" si="15"/>
        <v>3122361</v>
      </c>
      <c r="L129" s="1699">
        <f t="shared" si="15"/>
        <v>2071314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2" t="s">
        <v>641</v>
      </c>
      <c r="B151" s="2172"/>
      <c r="C151" s="1692">
        <f>SUM(C129,C130,C139,C149,C150)</f>
        <v>702492</v>
      </c>
      <c r="D151" s="1692">
        <f t="shared" ref="D151:K151" si="16">SUM(D129,D130,D139,D149,D150)</f>
        <v>168302</v>
      </c>
      <c r="E151" s="1692">
        <f t="shared" si="16"/>
        <v>506482</v>
      </c>
      <c r="F151" s="1692">
        <f t="shared" si="16"/>
        <v>906261</v>
      </c>
      <c r="G151" s="1692">
        <f t="shared" si="16"/>
        <v>838824</v>
      </c>
      <c r="H151" s="1692">
        <f t="shared" si="16"/>
        <v>0</v>
      </c>
      <c r="I151" s="1692">
        <f t="shared" si="16"/>
        <v>0</v>
      </c>
      <c r="J151" s="1692">
        <f t="shared" si="16"/>
        <v>0</v>
      </c>
      <c r="K151" s="1692">
        <f t="shared" si="16"/>
        <v>3122361</v>
      </c>
      <c r="L151" s="1692">
        <f>SUM(L129,L130,L139,L149,L150)</f>
        <v>2071314</v>
      </c>
    </row>
    <row r="152" spans="1:14" ht="12.75" customHeight="1" thickTop="1" x14ac:dyDescent="0.2">
      <c r="A152" s="2195" t="s">
        <v>1240</v>
      </c>
      <c r="B152" s="2196"/>
      <c r="C152" s="619"/>
      <c r="D152" s="619"/>
      <c r="E152" s="619"/>
      <c r="F152" s="619"/>
      <c r="G152" s="619"/>
      <c r="H152" s="619"/>
      <c r="I152" s="619"/>
      <c r="J152" s="617"/>
      <c r="K152" s="1706">
        <f>'Revenues 9-14'!D275-'Expenditures 15-22'!K151</f>
        <v>-55222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v>0</v>
      </c>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966156</v>
      </c>
      <c r="I169" s="617"/>
      <c r="J169" s="617"/>
      <c r="K169" s="1693">
        <f>SUM(C169:H169)</f>
        <v>966156</v>
      </c>
      <c r="L169" s="657">
        <v>966157</v>
      </c>
    </row>
    <row r="170" spans="1:14" ht="33.75" customHeight="1" x14ac:dyDescent="0.2">
      <c r="A170" s="670" t="s">
        <v>1769</v>
      </c>
      <c r="B170" s="672" t="s">
        <v>31</v>
      </c>
      <c r="C170" s="617"/>
      <c r="D170" s="617"/>
      <c r="E170" s="617"/>
      <c r="F170" s="617"/>
      <c r="G170" s="617"/>
      <c r="H170" s="569">
        <v>2810000</v>
      </c>
      <c r="I170" s="617"/>
      <c r="J170" s="617"/>
      <c r="K170" s="1693">
        <f>SUM(C170:J170)</f>
        <v>2810000</v>
      </c>
      <c r="L170" s="569">
        <v>2810000</v>
      </c>
    </row>
    <row r="171" spans="1:14" ht="15.75" customHeight="1" x14ac:dyDescent="0.2">
      <c r="A171" s="622" t="s">
        <v>790</v>
      </c>
      <c r="B171" s="673" t="s">
        <v>86</v>
      </c>
      <c r="C171" s="617"/>
      <c r="D171" s="617"/>
      <c r="E171" s="466"/>
      <c r="F171" s="617"/>
      <c r="G171" s="617"/>
      <c r="H171" s="569">
        <v>3325</v>
      </c>
      <c r="I171" s="477"/>
      <c r="J171" s="617"/>
      <c r="K171" s="1693">
        <f>SUM(C171:J171)</f>
        <v>3325</v>
      </c>
      <c r="L171" s="569">
        <v>3325</v>
      </c>
    </row>
    <row r="172" spans="1:14" ht="12.75" customHeight="1" thickBot="1" x14ac:dyDescent="0.25">
      <c r="A172" s="1690" t="s">
        <v>659</v>
      </c>
      <c r="B172" s="1691" t="s">
        <v>513</v>
      </c>
      <c r="C172" s="617"/>
      <c r="D172" s="617"/>
      <c r="E172" s="1699">
        <f>SUM(E168,E169,E170,E171)</f>
        <v>0</v>
      </c>
      <c r="F172" s="617"/>
      <c r="G172" s="617"/>
      <c r="H172" s="1699">
        <f>SUM(H168,H169,H170,H171)</f>
        <v>3779481</v>
      </c>
      <c r="I172" s="639"/>
      <c r="J172" s="617"/>
      <c r="K172" s="1699">
        <f>SUM(K168,K169,K170,K171)</f>
        <v>3779481</v>
      </c>
      <c r="L172" s="1699">
        <f>SUM(L168,L169,L170,L171)</f>
        <v>3779482</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3779481</v>
      </c>
      <c r="I174" s="639"/>
      <c r="J174" s="617"/>
      <c r="K174" s="1699">
        <f>SUM(K160,K172,K173)</f>
        <v>3779481</v>
      </c>
      <c r="L174" s="1699">
        <f>SUM(L160,L172,L173)</f>
        <v>3779482</v>
      </c>
    </row>
    <row r="175" spans="1:14" ht="13.5" thickTop="1" x14ac:dyDescent="0.2">
      <c r="A175" s="2175" t="s">
        <v>1053</v>
      </c>
      <c r="B175" s="2176"/>
      <c r="C175" s="617"/>
      <c r="D175" s="617"/>
      <c r="E175" s="617"/>
      <c r="F175" s="617"/>
      <c r="G175" s="617"/>
      <c r="H175" s="619"/>
      <c r="I175" s="617"/>
      <c r="J175" s="617"/>
      <c r="K175" s="1706">
        <f>'Revenues 9-14'!E275-'Expenditures 15-22'!K174</f>
        <v>-70462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513376</v>
      </c>
      <c r="D182" s="466">
        <v>61655</v>
      </c>
      <c r="E182" s="466">
        <v>21559</v>
      </c>
      <c r="F182" s="466">
        <v>105463</v>
      </c>
      <c r="G182" s="466">
        <v>2341212</v>
      </c>
      <c r="H182" s="466"/>
      <c r="I182" s="467"/>
      <c r="J182" s="467"/>
      <c r="K182" s="1693">
        <f>SUM(C182:J182)</f>
        <v>3043265</v>
      </c>
      <c r="L182" s="466">
        <v>3082990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513376</v>
      </c>
      <c r="D184" s="1699">
        <f t="shared" ref="D184:J184" si="17">SUM(D180,D182,D183)</f>
        <v>61655</v>
      </c>
      <c r="E184" s="1699">
        <f t="shared" si="17"/>
        <v>21559</v>
      </c>
      <c r="F184" s="1699">
        <f t="shared" si="17"/>
        <v>105463</v>
      </c>
      <c r="G184" s="1699">
        <f t="shared" si="17"/>
        <v>2341212</v>
      </c>
      <c r="H184" s="1699">
        <f t="shared" si="17"/>
        <v>0</v>
      </c>
      <c r="I184" s="1699">
        <f t="shared" si="17"/>
        <v>0</v>
      </c>
      <c r="J184" s="1699">
        <f t="shared" si="17"/>
        <v>0</v>
      </c>
      <c r="K184" s="1699">
        <f>SUM(K180,K182,K183)</f>
        <v>3043265</v>
      </c>
      <c r="L184" s="1699">
        <f>SUM(L180, L182:L183)</f>
        <v>3082990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513376</v>
      </c>
      <c r="D210" s="1692">
        <f>SUM(D184,D185)</f>
        <v>61655</v>
      </c>
      <c r="E210" s="1692">
        <f>SUM(E184,E185,E196)</f>
        <v>21559</v>
      </c>
      <c r="F210" s="1692">
        <f>SUM(F184,F185)</f>
        <v>105463</v>
      </c>
      <c r="G210" s="1692">
        <f>SUM(G184,G185)</f>
        <v>2341212</v>
      </c>
      <c r="H210" s="1692">
        <f>SUM(H184,H185,H196,H208,H209)</f>
        <v>0</v>
      </c>
      <c r="I210" s="1692">
        <f>SUM(I184,I185)</f>
        <v>0</v>
      </c>
      <c r="J210" s="1692">
        <f>SUM(J184,J185)</f>
        <v>0</v>
      </c>
      <c r="K210" s="1693">
        <f>SUM(K184,K185,K196,K208,K209)</f>
        <v>3043265</v>
      </c>
      <c r="L210" s="1692">
        <f>SUM(L184,L185,L196,L208,L209)</f>
        <v>3082990</v>
      </c>
    </row>
    <row r="211" spans="1:14" ht="13.5" thickTop="1" x14ac:dyDescent="0.2">
      <c r="A211" s="2175" t="s">
        <v>1053</v>
      </c>
      <c r="B211" s="2176"/>
      <c r="C211" s="619"/>
      <c r="D211" s="619"/>
      <c r="E211" s="619"/>
      <c r="F211" s="619"/>
      <c r="G211" s="619"/>
      <c r="H211" s="619"/>
      <c r="I211" s="617"/>
      <c r="J211" s="617"/>
      <c r="K211" s="1706">
        <f>'Revenues 9-14'!F275-'Expenditures 15-22'!K210</f>
        <v>785036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136023</v>
      </c>
      <c r="E215" s="617"/>
      <c r="F215" s="617"/>
      <c r="G215" s="617"/>
      <c r="H215" s="617"/>
      <c r="I215" s="617"/>
      <c r="J215" s="617"/>
      <c r="K215" s="1693">
        <f>D215</f>
        <v>136023</v>
      </c>
      <c r="L215" s="466">
        <v>519520</v>
      </c>
    </row>
    <row r="216" spans="1:14" x14ac:dyDescent="0.2">
      <c r="A216" s="1526" t="s">
        <v>165</v>
      </c>
      <c r="B216" s="615" t="s">
        <v>1024</v>
      </c>
      <c r="C216" s="617"/>
      <c r="D216" s="467">
        <v>5239</v>
      </c>
      <c r="E216" s="617"/>
      <c r="F216" s="617"/>
      <c r="G216" s="617"/>
      <c r="H216" s="617"/>
      <c r="I216" s="617"/>
      <c r="J216" s="617"/>
      <c r="K216" s="1693">
        <f t="shared" ref="K216:K228" si="19">D216</f>
        <v>5239</v>
      </c>
      <c r="L216" s="466">
        <v>5707</v>
      </c>
    </row>
    <row r="217" spans="1:14" x14ac:dyDescent="0.2">
      <c r="A217" s="1526" t="s">
        <v>166</v>
      </c>
      <c r="B217" s="615">
        <v>1200</v>
      </c>
      <c r="C217" s="617"/>
      <c r="D217" s="466">
        <v>121515</v>
      </c>
      <c r="E217" s="617"/>
      <c r="F217" s="617"/>
      <c r="G217" s="617"/>
      <c r="H217" s="617"/>
      <c r="I217" s="617"/>
      <c r="J217" s="617"/>
      <c r="K217" s="1693">
        <f t="shared" si="19"/>
        <v>121515</v>
      </c>
      <c r="L217" s="466">
        <v>109868</v>
      </c>
    </row>
    <row r="218" spans="1:14" x14ac:dyDescent="0.2">
      <c r="A218" s="1526" t="s">
        <v>296</v>
      </c>
      <c r="B218" s="615" t="s">
        <v>1025</v>
      </c>
      <c r="C218" s="617"/>
      <c r="D218" s="467">
        <v>6952</v>
      </c>
      <c r="E218" s="617"/>
      <c r="F218" s="617"/>
      <c r="G218" s="617"/>
      <c r="H218" s="617"/>
      <c r="I218" s="617"/>
      <c r="J218" s="617"/>
      <c r="K218" s="1693">
        <f t="shared" si="19"/>
        <v>6952</v>
      </c>
      <c r="L218" s="466">
        <v>8867</v>
      </c>
    </row>
    <row r="219" spans="1:14" x14ac:dyDescent="0.2">
      <c r="A219" s="1526" t="s">
        <v>297</v>
      </c>
      <c r="B219" s="615">
        <v>1250</v>
      </c>
      <c r="C219" s="617"/>
      <c r="D219" s="466">
        <v>3753</v>
      </c>
      <c r="E219" s="617"/>
      <c r="F219" s="617"/>
      <c r="G219" s="617"/>
      <c r="H219" s="617"/>
      <c r="I219" s="617"/>
      <c r="J219" s="617"/>
      <c r="K219" s="1693">
        <f t="shared" si="19"/>
        <v>3753</v>
      </c>
      <c r="L219" s="466">
        <v>2633</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6786</v>
      </c>
      <c r="E222" s="617"/>
      <c r="F222" s="617"/>
      <c r="G222" s="617"/>
      <c r="H222" s="617"/>
      <c r="I222" s="617"/>
      <c r="J222" s="617"/>
      <c r="K222" s="1693">
        <f t="shared" si="19"/>
        <v>6786</v>
      </c>
      <c r="L222" s="466">
        <v>6878</v>
      </c>
    </row>
    <row r="223" spans="1:14" x14ac:dyDescent="0.2">
      <c r="A223" s="1526" t="s">
        <v>1020</v>
      </c>
      <c r="B223" s="615">
        <v>1500</v>
      </c>
      <c r="C223" s="617"/>
      <c r="D223" s="466">
        <v>34058</v>
      </c>
      <c r="E223" s="617"/>
      <c r="F223" s="617"/>
      <c r="G223" s="617"/>
      <c r="H223" s="617"/>
      <c r="I223" s="617"/>
      <c r="J223" s="617"/>
      <c r="K223" s="1693">
        <f t="shared" si="19"/>
        <v>34058</v>
      </c>
      <c r="L223" s="466">
        <v>21925</v>
      </c>
    </row>
    <row r="224" spans="1:14" x14ac:dyDescent="0.2">
      <c r="A224" s="1526" t="s">
        <v>1021</v>
      </c>
      <c r="B224" s="615">
        <v>1600</v>
      </c>
      <c r="C224" s="617"/>
      <c r="D224" s="466">
        <v>1433</v>
      </c>
      <c r="E224" s="617"/>
      <c r="F224" s="617"/>
      <c r="G224" s="617"/>
      <c r="H224" s="617"/>
      <c r="I224" s="617"/>
      <c r="J224" s="617"/>
      <c r="K224" s="1693">
        <f t="shared" si="19"/>
        <v>1433</v>
      </c>
      <c r="L224" s="466">
        <v>1385</v>
      </c>
    </row>
    <row r="225" spans="1:12" x14ac:dyDescent="0.2">
      <c r="A225" s="1526" t="s">
        <v>1044</v>
      </c>
      <c r="B225" s="615">
        <v>1650</v>
      </c>
      <c r="C225" s="617"/>
      <c r="D225" s="466">
        <v>3228</v>
      </c>
      <c r="E225" s="617"/>
      <c r="F225" s="617"/>
      <c r="G225" s="617"/>
      <c r="H225" s="617"/>
      <c r="I225" s="617"/>
      <c r="J225" s="617"/>
      <c r="K225" s="1693">
        <f t="shared" si="19"/>
        <v>3228</v>
      </c>
      <c r="L225" s="466">
        <v>3066</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318987</v>
      </c>
      <c r="E229" s="617"/>
      <c r="F229" s="617"/>
      <c r="G229" s="617"/>
      <c r="H229" s="617"/>
      <c r="I229" s="617"/>
      <c r="J229" s="617"/>
      <c r="K229" s="1692">
        <f>SUM(K215:K228)</f>
        <v>318987</v>
      </c>
      <c r="L229" s="1692">
        <f>SUM(L215:L228)</f>
        <v>679849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1903</v>
      </c>
      <c r="E232" s="617"/>
      <c r="F232" s="617"/>
      <c r="G232" s="617"/>
      <c r="H232" s="617"/>
      <c r="I232" s="617"/>
      <c r="J232" s="617"/>
      <c r="K232" s="1693">
        <f t="shared" ref="K232:K237" si="20">D232</f>
        <v>1903</v>
      </c>
      <c r="L232" s="466">
        <v>2076</v>
      </c>
    </row>
    <row r="233" spans="1:12" x14ac:dyDescent="0.2">
      <c r="A233" s="1526" t="s">
        <v>1151</v>
      </c>
      <c r="B233" s="615">
        <v>2120</v>
      </c>
      <c r="C233" s="617"/>
      <c r="D233" s="466">
        <v>10087</v>
      </c>
      <c r="E233" s="617"/>
      <c r="F233" s="617"/>
      <c r="G233" s="617"/>
      <c r="H233" s="617"/>
      <c r="I233" s="617"/>
      <c r="J233" s="617"/>
      <c r="K233" s="1693">
        <f t="shared" si="20"/>
        <v>10087</v>
      </c>
      <c r="L233" s="466">
        <v>3231</v>
      </c>
    </row>
    <row r="234" spans="1:12" x14ac:dyDescent="0.2">
      <c r="A234" s="1526" t="s">
        <v>207</v>
      </c>
      <c r="B234" s="615">
        <v>2130</v>
      </c>
      <c r="C234" s="617"/>
      <c r="D234" s="466">
        <v>14756</v>
      </c>
      <c r="E234" s="617"/>
      <c r="F234" s="617"/>
      <c r="G234" s="617"/>
      <c r="H234" s="617"/>
      <c r="I234" s="617"/>
      <c r="J234" s="617"/>
      <c r="K234" s="1693">
        <f t="shared" si="20"/>
        <v>14756</v>
      </c>
      <c r="L234" s="466">
        <v>14783</v>
      </c>
    </row>
    <row r="235" spans="1:12" x14ac:dyDescent="0.2">
      <c r="A235" s="1526" t="s">
        <v>208</v>
      </c>
      <c r="B235" s="615">
        <v>2140</v>
      </c>
      <c r="C235" s="617"/>
      <c r="D235" s="466">
        <v>1892</v>
      </c>
      <c r="E235" s="617"/>
      <c r="F235" s="617"/>
      <c r="G235" s="617"/>
      <c r="H235" s="617"/>
      <c r="I235" s="617"/>
      <c r="J235" s="617"/>
      <c r="K235" s="1693">
        <f t="shared" si="20"/>
        <v>1892</v>
      </c>
      <c r="L235" s="466">
        <v>2091</v>
      </c>
    </row>
    <row r="236" spans="1:12" x14ac:dyDescent="0.2">
      <c r="A236" s="1526" t="s">
        <v>209</v>
      </c>
      <c r="B236" s="615">
        <v>2150</v>
      </c>
      <c r="C236" s="617"/>
      <c r="D236" s="466">
        <v>3086</v>
      </c>
      <c r="E236" s="617"/>
      <c r="F236" s="617"/>
      <c r="G236" s="617"/>
      <c r="H236" s="617"/>
      <c r="I236" s="617"/>
      <c r="J236" s="617"/>
      <c r="K236" s="1693">
        <f t="shared" si="20"/>
        <v>3086</v>
      </c>
      <c r="L236" s="466">
        <v>3473</v>
      </c>
    </row>
    <row r="237" spans="1:12" x14ac:dyDescent="0.2">
      <c r="A237" s="1526" t="s">
        <v>167</v>
      </c>
      <c r="B237" s="615">
        <v>2190</v>
      </c>
      <c r="C237" s="617"/>
      <c r="D237" s="466">
        <v>13358</v>
      </c>
      <c r="E237" s="617"/>
      <c r="F237" s="617"/>
      <c r="G237" s="617"/>
      <c r="H237" s="617"/>
      <c r="I237" s="617"/>
      <c r="J237" s="617"/>
      <c r="K237" s="1693">
        <f t="shared" si="20"/>
        <v>13358</v>
      </c>
      <c r="L237" s="466">
        <v>13405</v>
      </c>
    </row>
    <row r="238" spans="1:12" ht="12.75" customHeight="1" thickBot="1" x14ac:dyDescent="0.25">
      <c r="A238" s="1690" t="s">
        <v>581</v>
      </c>
      <c r="B238" s="1697" t="s">
        <v>740</v>
      </c>
      <c r="C238" s="617"/>
      <c r="D238" s="1692">
        <f>SUM(D232:D237)</f>
        <v>45082</v>
      </c>
      <c r="E238" s="617"/>
      <c r="F238" s="617"/>
      <c r="G238" s="617"/>
      <c r="H238" s="617"/>
      <c r="I238" s="617"/>
      <c r="J238" s="617"/>
      <c r="K238" s="1692">
        <f>SUM(K232:K237)</f>
        <v>45082</v>
      </c>
      <c r="L238" s="1692">
        <f>SUM(L232:L237)</f>
        <v>39059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v>
      </c>
      <c r="E240" s="617"/>
      <c r="F240" s="617"/>
      <c r="G240" s="617"/>
      <c r="H240" s="617"/>
      <c r="I240" s="617"/>
      <c r="J240" s="617"/>
      <c r="K240" s="1694">
        <f>D240</f>
        <v>15</v>
      </c>
      <c r="L240" s="481">
        <v>0</v>
      </c>
    </row>
    <row r="241" spans="1:12" x14ac:dyDescent="0.2">
      <c r="A241" s="1526" t="s">
        <v>869</v>
      </c>
      <c r="B241" s="615">
        <v>2220</v>
      </c>
      <c r="C241" s="617"/>
      <c r="D241" s="466">
        <v>69684</v>
      </c>
      <c r="E241" s="617"/>
      <c r="F241" s="617"/>
      <c r="G241" s="617"/>
      <c r="H241" s="617"/>
      <c r="I241" s="617"/>
      <c r="J241" s="617"/>
      <c r="K241" s="1694">
        <f>D241</f>
        <v>69684</v>
      </c>
      <c r="L241" s="466">
        <v>70902</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69699</v>
      </c>
      <c r="E243" s="617"/>
      <c r="F243" s="617"/>
      <c r="G243" s="617"/>
      <c r="H243" s="617"/>
      <c r="I243" s="617"/>
      <c r="J243" s="617"/>
      <c r="K243" s="1692">
        <f>SUM(K240:K242)</f>
        <v>69699</v>
      </c>
      <c r="L243" s="1692">
        <f>SUM(L240:L242)</f>
        <v>70902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12</v>
      </c>
      <c r="E245" s="617"/>
      <c r="F245" s="617"/>
      <c r="G245" s="617"/>
      <c r="H245" s="617"/>
      <c r="I245" s="617"/>
      <c r="J245" s="617"/>
      <c r="K245" s="1694">
        <f>D245</f>
        <v>12</v>
      </c>
      <c r="L245" s="481">
        <v>0</v>
      </c>
    </row>
    <row r="246" spans="1:12" x14ac:dyDescent="0.2">
      <c r="A246" s="1526" t="s">
        <v>872</v>
      </c>
      <c r="B246" s="615">
        <v>2320</v>
      </c>
      <c r="C246" s="617"/>
      <c r="D246" s="466">
        <v>22929</v>
      </c>
      <c r="E246" s="617"/>
      <c r="F246" s="617"/>
      <c r="G246" s="617"/>
      <c r="H246" s="617"/>
      <c r="I246" s="617"/>
      <c r="J246" s="617"/>
      <c r="K246" s="1694">
        <f t="shared" ref="K246:K256" si="21">D246</f>
        <v>22929</v>
      </c>
      <c r="L246" s="466">
        <v>22602</v>
      </c>
    </row>
    <row r="247" spans="1:12" x14ac:dyDescent="0.2">
      <c r="A247" s="1526" t="s">
        <v>873</v>
      </c>
      <c r="B247" s="615">
        <v>2330</v>
      </c>
      <c r="C247" s="617"/>
      <c r="D247" s="466">
        <v>6271</v>
      </c>
      <c r="E247" s="617"/>
      <c r="F247" s="617"/>
      <c r="G247" s="617"/>
      <c r="H247" s="617"/>
      <c r="I247" s="617"/>
      <c r="J247" s="617"/>
      <c r="K247" s="1694">
        <f t="shared" si="21"/>
        <v>6271</v>
      </c>
      <c r="L247" s="466">
        <v>6270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v>7534</v>
      </c>
      <c r="E252" s="617"/>
      <c r="F252" s="617"/>
      <c r="G252" s="617"/>
      <c r="H252" s="617"/>
      <c r="I252" s="617"/>
      <c r="J252" s="617"/>
      <c r="K252" s="1694">
        <f t="shared" si="21"/>
        <v>7534</v>
      </c>
      <c r="L252" s="466">
        <v>18446</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36746</v>
      </c>
      <c r="E257" s="617"/>
      <c r="F257" s="617"/>
      <c r="G257" s="617"/>
      <c r="H257" s="617"/>
      <c r="I257" s="617"/>
      <c r="J257" s="617"/>
      <c r="K257" s="1692">
        <f>SUM(K245:K256)</f>
        <v>36746</v>
      </c>
      <c r="L257" s="1692">
        <f>SUM(L245:L256)</f>
        <v>47318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39535</v>
      </c>
      <c r="E259" s="617"/>
      <c r="F259" s="617"/>
      <c r="G259" s="617"/>
      <c r="H259" s="617"/>
      <c r="I259" s="617"/>
      <c r="J259" s="617"/>
      <c r="K259" s="1694">
        <f>D259</f>
        <v>39535</v>
      </c>
      <c r="L259" s="481">
        <v>43497</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39535</v>
      </c>
      <c r="E261" s="617"/>
      <c r="F261" s="617"/>
      <c r="G261" s="617"/>
      <c r="H261" s="617"/>
      <c r="I261" s="617"/>
      <c r="J261" s="617"/>
      <c r="K261" s="1692">
        <f>SUM(K259:K260)</f>
        <v>39535</v>
      </c>
      <c r="L261" s="1692">
        <f>SUM(L259:L260)</f>
        <v>43497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33921</v>
      </c>
      <c r="E264" s="617"/>
      <c r="F264" s="617"/>
      <c r="G264" s="617"/>
      <c r="H264" s="617"/>
      <c r="I264" s="617"/>
      <c r="J264" s="617"/>
      <c r="K264" s="1694">
        <f t="shared" ref="K264:K269" si="22">D264</f>
        <v>33921</v>
      </c>
      <c r="L264" s="466">
        <v>28364</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119774</v>
      </c>
      <c r="E266" s="617"/>
      <c r="F266" s="617"/>
      <c r="G266" s="617"/>
      <c r="H266" s="617"/>
      <c r="I266" s="617"/>
      <c r="J266" s="617"/>
      <c r="K266" s="1694">
        <f t="shared" si="22"/>
        <v>119774</v>
      </c>
      <c r="L266" s="466">
        <v>0</v>
      </c>
    </row>
    <row r="267" spans="1:14" x14ac:dyDescent="0.2">
      <c r="A267" s="1526" t="s">
        <v>1010</v>
      </c>
      <c r="B267" s="615">
        <v>2550</v>
      </c>
      <c r="C267" s="617"/>
      <c r="D267" s="466">
        <v>81234</v>
      </c>
      <c r="E267" s="617"/>
      <c r="F267" s="617"/>
      <c r="G267" s="617"/>
      <c r="H267" s="617"/>
      <c r="I267" s="617"/>
      <c r="J267" s="617"/>
      <c r="K267" s="1694">
        <f t="shared" si="22"/>
        <v>81234</v>
      </c>
      <c r="L267" s="466">
        <v>0</v>
      </c>
    </row>
    <row r="268" spans="1:14" x14ac:dyDescent="0.2">
      <c r="A268" s="1526" t="s">
        <v>102</v>
      </c>
      <c r="B268" s="615">
        <v>2560</v>
      </c>
      <c r="C268" s="617"/>
      <c r="D268" s="466">
        <v>35863</v>
      </c>
      <c r="E268" s="617"/>
      <c r="F268" s="617"/>
      <c r="G268" s="617"/>
      <c r="H268" s="617"/>
      <c r="I268" s="617"/>
      <c r="J268" s="617"/>
      <c r="K268" s="1694">
        <f t="shared" si="22"/>
        <v>35863</v>
      </c>
      <c r="L268" s="466">
        <v>40477</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270792</v>
      </c>
      <c r="E270" s="617"/>
      <c r="F270" s="617"/>
      <c r="G270" s="617"/>
      <c r="H270" s="617"/>
      <c r="I270" s="617"/>
      <c r="J270" s="617"/>
      <c r="K270" s="1692">
        <f>SUM(K263:K269)</f>
        <v>270792</v>
      </c>
      <c r="L270" s="1692">
        <f>SUM(L263:L269)</f>
        <v>68841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v>57</v>
      </c>
      <c r="E275" s="617"/>
      <c r="F275" s="617"/>
      <c r="G275" s="617"/>
      <c r="H275" s="617"/>
      <c r="I275" s="617"/>
      <c r="J275" s="617"/>
      <c r="K275" s="1694">
        <f>D275</f>
        <v>57</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57</v>
      </c>
      <c r="E277" s="617"/>
      <c r="F277" s="617"/>
      <c r="G277" s="617"/>
      <c r="H277" s="617"/>
      <c r="I277" s="617"/>
      <c r="J277" s="617"/>
      <c r="K277" s="1692">
        <f>SUM(K272:K276)</f>
        <v>57</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461911</v>
      </c>
      <c r="E279" s="617"/>
      <c r="F279" s="617"/>
      <c r="G279" s="617"/>
      <c r="H279" s="617"/>
      <c r="I279" s="617"/>
      <c r="J279" s="617"/>
      <c r="K279" s="1699">
        <f>SUM(K238,K243,K257,K261,K270,K277,K278)</f>
        <v>461911</v>
      </c>
      <c r="L279" s="1699">
        <f>SUM(L238,L243,L257,L261,L270,L277,L278)</f>
        <v>269617</v>
      </c>
    </row>
    <row r="280" spans="1:12" ht="15.75" customHeight="1" thickTop="1" thickBot="1" x14ac:dyDescent="0.25">
      <c r="A280" s="1646" t="s">
        <v>930</v>
      </c>
      <c r="B280" s="1635">
        <v>3000</v>
      </c>
      <c r="C280" s="617"/>
      <c r="D280" s="576">
        <v>11</v>
      </c>
      <c r="E280" s="617"/>
      <c r="F280" s="617"/>
      <c r="G280" s="617"/>
      <c r="H280" s="617"/>
      <c r="I280" s="617"/>
      <c r="J280" s="617"/>
      <c r="K280" s="1701">
        <f>D280</f>
        <v>11</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3" t="s">
        <v>526</v>
      </c>
      <c r="B295" s="2194"/>
      <c r="C295" s="617"/>
      <c r="D295" s="1692">
        <f>SUM(D229,D279,D280,D285)</f>
        <v>780909</v>
      </c>
      <c r="E295" s="617"/>
      <c r="F295" s="617"/>
      <c r="G295" s="617"/>
      <c r="H295" s="1692">
        <f>H293</f>
        <v>0</v>
      </c>
      <c r="I295" s="617"/>
      <c r="J295" s="617"/>
      <c r="K295" s="1692">
        <f>SUM(K229,K279,K280,K285,K293,K294)</f>
        <v>780909</v>
      </c>
      <c r="L295" s="1692">
        <f>SUM(L229,L279,L280,L285,L293,L294)</f>
        <v>949466</v>
      </c>
    </row>
    <row r="296" spans="1:14" ht="13.5" thickTop="1" x14ac:dyDescent="0.2">
      <c r="A296" s="2175" t="s">
        <v>1053</v>
      </c>
      <c r="B296" s="2176"/>
      <c r="C296" s="617"/>
      <c r="D296" s="619"/>
      <c r="E296" s="617"/>
      <c r="F296" s="617"/>
      <c r="G296" s="617"/>
      <c r="H296" s="688"/>
      <c r="I296" s="617"/>
      <c r="J296" s="617"/>
      <c r="K296" s="1706">
        <f>'Revenues 9-14'!G275-'Expenditures 15-22'!K295</f>
        <v>135391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242072</v>
      </c>
      <c r="H301" s="466"/>
      <c r="I301" s="467"/>
      <c r="J301" s="467"/>
      <c r="K301" s="1693">
        <f>SUM(C301:J301)</f>
        <v>242072</v>
      </c>
      <c r="L301" s="467">
        <v>1216477</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242072</v>
      </c>
      <c r="H303" s="1699">
        <f t="shared" si="23"/>
        <v>0</v>
      </c>
      <c r="I303" s="1699">
        <f t="shared" si="23"/>
        <v>0</v>
      </c>
      <c r="J303" s="1699">
        <f t="shared" si="23"/>
        <v>0</v>
      </c>
      <c r="K303" s="1699">
        <f t="shared" si="23"/>
        <v>242072</v>
      </c>
      <c r="L303" s="1699">
        <f t="shared" si="23"/>
        <v>1216477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242072</v>
      </c>
      <c r="H312" s="1692">
        <f>SUM(H303,H310)</f>
        <v>0</v>
      </c>
      <c r="I312" s="1692">
        <f>SUM(I303)</f>
        <v>0</v>
      </c>
      <c r="J312" s="1692">
        <f>SUM(J303)</f>
        <v>0</v>
      </c>
      <c r="K312" s="1692">
        <f>SUM(K303,K310,K311)</f>
        <v>242072</v>
      </c>
      <c r="L312" s="1692">
        <f>SUM(L303,L310,L311)</f>
        <v>1216477</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-241870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v>67812</v>
      </c>
      <c r="D323" s="467"/>
      <c r="E323" s="467">
        <v>251242</v>
      </c>
      <c r="F323" s="467"/>
      <c r="G323" s="467"/>
      <c r="H323" s="467"/>
      <c r="I323" s="467"/>
      <c r="J323" s="467"/>
      <c r="K323" s="1693">
        <f t="shared" si="24"/>
        <v>319054</v>
      </c>
      <c r="L323" s="467">
        <v>281610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342080</v>
      </c>
      <c r="F327" s="467"/>
      <c r="G327" s="467"/>
      <c r="H327" s="467"/>
      <c r="I327" s="467"/>
      <c r="J327" s="467"/>
      <c r="K327" s="1693">
        <f t="shared" si="24"/>
        <v>342080</v>
      </c>
      <c r="L327" s="467">
        <v>839440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67812</v>
      </c>
      <c r="D330" s="1692">
        <f t="shared" ref="D330:J330" si="25">SUM(D319:D329)</f>
        <v>0</v>
      </c>
      <c r="E330" s="1692">
        <f t="shared" si="25"/>
        <v>593322</v>
      </c>
      <c r="F330" s="1692">
        <f t="shared" si="25"/>
        <v>0</v>
      </c>
      <c r="G330" s="1692">
        <f t="shared" si="25"/>
        <v>0</v>
      </c>
      <c r="H330" s="1692">
        <f t="shared" si="25"/>
        <v>0</v>
      </c>
      <c r="I330" s="1692">
        <f t="shared" si="25"/>
        <v>0</v>
      </c>
      <c r="J330" s="1692">
        <f t="shared" si="25"/>
        <v>0</v>
      </c>
      <c r="K330" s="1692">
        <f>SUM(K319:K329)</f>
        <v>661134</v>
      </c>
      <c r="L330" s="1692">
        <f>SUM(L319:L329)</f>
        <v>1121050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67812</v>
      </c>
      <c r="D342" s="1692">
        <f>SUM(D330)</f>
        <v>0</v>
      </c>
      <c r="E342" s="1692">
        <f>SUM(E330)</f>
        <v>593322</v>
      </c>
      <c r="F342" s="1692">
        <f>SUM(F330)</f>
        <v>0</v>
      </c>
      <c r="G342" s="1692">
        <f>SUM(G330)</f>
        <v>0</v>
      </c>
      <c r="H342" s="1692">
        <f>SUM(H330,H334,H340)</f>
        <v>0</v>
      </c>
      <c r="I342" s="1692">
        <f>SUM(I330)</f>
        <v>0</v>
      </c>
      <c r="J342" s="1692">
        <f>SUM(J330)</f>
        <v>0</v>
      </c>
      <c r="K342" s="1692">
        <f>SUM(K330,K334,K340)</f>
        <v>661134</v>
      </c>
      <c r="L342" s="1699">
        <f>SUM(L330,L340,L341)</f>
        <v>1121050</v>
      </c>
    </row>
    <row r="343" spans="1:14" ht="12.75" customHeight="1" thickTop="1" x14ac:dyDescent="0.2">
      <c r="A343" s="2188" t="s">
        <v>1053</v>
      </c>
      <c r="B343" s="2189"/>
      <c r="C343" s="617"/>
      <c r="D343" s="617"/>
      <c r="E343" s="617"/>
      <c r="F343" s="617"/>
      <c r="G343" s="617"/>
      <c r="H343" s="617"/>
      <c r="I343" s="617"/>
      <c r="J343" s="617"/>
      <c r="K343" s="1706">
        <f>'Revenues 9-14'!J275-'Expenditures 15-22'!K342</f>
        <v>828920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1267358</v>
      </c>
      <c r="H348" s="466"/>
      <c r="I348" s="467"/>
      <c r="J348" s="467"/>
      <c r="K348" s="1693">
        <f>SUM(C348:J348)</f>
        <v>1267358</v>
      </c>
      <c r="L348" s="466">
        <v>1870738</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1267358</v>
      </c>
      <c r="H350" s="1692">
        <f t="shared" si="26"/>
        <v>0</v>
      </c>
      <c r="I350" s="1692">
        <f t="shared" si="26"/>
        <v>0</v>
      </c>
      <c r="J350" s="1692">
        <f t="shared" si="26"/>
        <v>0</v>
      </c>
      <c r="K350" s="1692">
        <f t="shared" si="26"/>
        <v>1267358</v>
      </c>
      <c r="L350" s="1692">
        <f t="shared" si="26"/>
        <v>1870738</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1267358</v>
      </c>
      <c r="H352" s="1692">
        <f t="shared" si="27"/>
        <v>0</v>
      </c>
      <c r="I352" s="1692">
        <f t="shared" si="27"/>
        <v>0</v>
      </c>
      <c r="J352" s="1692">
        <f t="shared" si="27"/>
        <v>0</v>
      </c>
      <c r="K352" s="1692">
        <f t="shared" si="27"/>
        <v>1267358</v>
      </c>
      <c r="L352" s="1692">
        <f t="shared" si="27"/>
        <v>1870738</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v>0</v>
      </c>
    </row>
    <row r="355" spans="1:14" ht="12.75" customHeight="1" x14ac:dyDescent="0.2">
      <c r="A355" s="1535" t="s">
        <v>1965</v>
      </c>
      <c r="B355" s="691" t="s">
        <v>1958</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1267358</v>
      </c>
      <c r="H367" s="1692">
        <f t="shared" si="28"/>
        <v>0</v>
      </c>
      <c r="I367" s="1692">
        <f t="shared" si="28"/>
        <v>0</v>
      </c>
      <c r="J367" s="1692">
        <f t="shared" si="28"/>
        <v>0</v>
      </c>
      <c r="K367" s="1692">
        <f t="shared" si="28"/>
        <v>1267358</v>
      </c>
      <c r="L367" s="1692">
        <f t="shared" si="28"/>
        <v>1870738</v>
      </c>
    </row>
    <row r="368" spans="1:14" ht="13.5" thickTop="1" x14ac:dyDescent="0.2">
      <c r="A368" s="2175" t="s">
        <v>1053</v>
      </c>
      <c r="B368" s="2176"/>
      <c r="C368" s="655"/>
      <c r="D368" s="655"/>
      <c r="E368" s="627"/>
      <c r="F368" s="627"/>
      <c r="G368" s="627"/>
      <c r="H368" s="627"/>
      <c r="I368" s="627"/>
      <c r="J368" s="624"/>
      <c r="K368" s="1693">
        <f>'Revenues 9-14'!K275-'Expenditures 15-22'!K367</f>
        <v>-918604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sharepoint/v3"/>
    <ds:schemaRef ds:uri="http://schemas.microsoft.com/office/2006/metadata/properties"/>
    <ds:schemaRef ds:uri="http://schemas.microsoft.com/office/infopath/2007/PartnerControls"/>
    <ds:schemaRef ds:uri="d21dc803-237d-4c68-8692-8d731fd29118"/>
    <ds:schemaRef ds:uri="4d435f69-8686-490b-bd6d-b153bf22ab50"/>
    <ds:schemaRef ds:uri="http://www.w3.org/XML/1998/namespace"/>
    <ds:schemaRef ds:uri="6ce3111e-7420-4802-b50a-75d4e9a0b980"/>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Short-Term Long-Term Debt 2 (2</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2018-10-15T13:58:16Z</cp:lastPrinted>
  <dcterms:created xsi:type="dcterms:W3CDTF">2003-10-29T19:06:34Z</dcterms:created>
  <dcterms:modified xsi:type="dcterms:W3CDTF">2018-10-25T13:16:19Z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