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G27" i="127" l="1"/>
  <c r="G23" i="127"/>
  <c r="G17"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s="1"/>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c r="B6322" i="106"/>
  <c r="D6322" i="106"/>
  <c r="B6323" i="106"/>
  <c r="D6323" i="106"/>
  <c r="B6324" i="106"/>
  <c r="D6324" i="106"/>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3" i="127"/>
  <c r="B64" i="127"/>
  <c r="D26" i="108"/>
  <c r="E26" i="108"/>
  <c r="F26" i="108"/>
  <c r="G26" i="108"/>
  <c r="E27" i="108"/>
  <c r="F27" i="108"/>
  <c r="G27" i="108"/>
  <c r="E28" i="108"/>
  <c r="F31" i="108"/>
  <c r="F36" i="108"/>
  <c r="F37" i="108"/>
  <c r="G28" i="108"/>
  <c r="E29" i="108"/>
  <c r="G29" i="108"/>
  <c r="D31"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1" i="34"/>
  <c r="F130" i="34"/>
  <c r="F127" i="34"/>
  <c r="B5847" i="106"/>
  <c r="D5847" i="106" s="1"/>
  <c r="B5752" i="106"/>
  <c r="D5752" i="106" s="1"/>
  <c r="K274" i="5"/>
  <c r="D109" i="5"/>
  <c r="B5356" i="106" s="1"/>
  <c r="D5356" i="106" s="1"/>
  <c r="D7" i="7"/>
  <c r="B1763" i="106" s="1"/>
  <c r="D1763" i="106" s="1"/>
  <c r="B1746" i="106"/>
  <c r="D1746" i="106" s="1"/>
  <c r="D17" i="7"/>
  <c r="B4104" i="106" s="1"/>
  <c r="D4104" i="106" s="1"/>
  <c r="D12" i="7"/>
  <c r="B1769" i="106" s="1"/>
  <c r="D1769" i="106" s="1"/>
  <c r="D15" i="7"/>
  <c r="B1772" i="106" s="1"/>
  <c r="D1772" i="106" s="1"/>
  <c r="K173" i="5" l="1"/>
  <c r="K6" i="4" s="1"/>
  <c r="B3570" i="106" s="1"/>
  <c r="D3570" i="106" s="1"/>
  <c r="F106" i="34"/>
  <c r="H173" i="5"/>
  <c r="F111" i="34"/>
  <c r="B5770" i="106"/>
  <c r="D5770" i="106" s="1"/>
  <c r="I173" i="5"/>
  <c r="B4216" i="106" s="1"/>
  <c r="D4216" i="106" s="1"/>
  <c r="F172" i="5"/>
  <c r="B5644" i="106" s="1"/>
  <c r="D5644" i="106" s="1"/>
  <c r="E109" i="5"/>
  <c r="E4" i="4" s="1"/>
  <c r="B2630" i="106" s="1"/>
  <c r="D2630" i="106" s="1"/>
  <c r="L342" i="29"/>
  <c r="L312" i="29"/>
  <c r="D7245" i="106"/>
  <c r="K285" i="29"/>
  <c r="K24" i="12"/>
  <c r="B7733" i="106" s="1"/>
  <c r="D7733" i="106" s="1"/>
  <c r="G352" i="29"/>
  <c r="C352" i="29"/>
  <c r="K41" i="3"/>
  <c r="L15" i="11"/>
  <c r="B3459" i="106" s="1"/>
  <c r="D3459" i="106" s="1"/>
  <c r="L13" i="11"/>
  <c r="B2060" i="106" s="1"/>
  <c r="D2060" i="106" s="1"/>
  <c r="K26" i="12"/>
  <c r="B7743" i="106" s="1"/>
  <c r="D7743" i="106" s="1"/>
  <c r="F19" i="7"/>
  <c r="B1807" i="106" s="1"/>
  <c r="D1807" i="106" s="1"/>
  <c r="C172" i="5"/>
  <c r="B5214" i="106" s="1"/>
  <c r="D5214" i="106" s="1"/>
  <c r="C109" i="5"/>
  <c r="B5121" i="106" s="1"/>
  <c r="D5121" i="106" s="1"/>
  <c r="D36" i="108"/>
  <c r="E30" i="108"/>
  <c r="G30" i="108"/>
  <c r="F28" i="108"/>
  <c r="C342" i="29"/>
  <c r="B7216" i="106" s="1"/>
  <c r="D7216" i="106" s="1"/>
  <c r="D11" i="7"/>
  <c r="B1768" i="106" s="1"/>
  <c r="D1768" i="106" s="1"/>
  <c r="H109" i="5"/>
  <c r="G109" i="5"/>
  <c r="B1410" i="106"/>
  <c r="D1410" i="106" s="1"/>
  <c r="G210" i="29"/>
  <c r="K184" i="29"/>
  <c r="F13" i="4" s="1"/>
  <c r="B2596" i="106" s="1"/>
  <c r="D2596" i="106" s="1"/>
  <c r="B1329" i="106"/>
  <c r="D1329" i="106" s="1"/>
  <c r="F61" i="34"/>
  <c r="B1223" i="106"/>
  <c r="D1223" i="106" s="1"/>
  <c r="D4" i="4"/>
  <c r="B2564" i="106" s="1"/>
  <c r="D256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F275" i="5" l="1"/>
  <c r="B3621" i="106"/>
  <c r="D3621" i="106" s="1"/>
  <c r="C367" i="29"/>
  <c r="B3622" i="106" s="1"/>
  <c r="D3622" i="106" s="1"/>
  <c r="H367" i="29"/>
  <c r="B3660" i="106" s="1"/>
  <c r="D3660" i="106" s="1"/>
  <c r="B3568" i="106"/>
  <c r="D3568" i="106" s="1"/>
  <c r="D52" i="36"/>
  <c r="B3649" i="106"/>
  <c r="D3649" i="106" s="1"/>
  <c r="G367" i="29"/>
  <c r="B3650" i="106" s="1"/>
  <c r="D3650" i="106" s="1"/>
  <c r="F73" i="34"/>
  <c r="G15" i="4"/>
  <c r="B6032" i="106" s="1"/>
  <c r="D6032" i="106" s="1"/>
  <c r="B5906" i="106"/>
  <c r="D5906" i="106" s="1"/>
  <c r="H6" i="4"/>
  <c r="B2656" i="106" s="1"/>
  <c r="D2656" i="106" s="1"/>
  <c r="L16" i="11"/>
  <c r="B2061" i="106" s="1"/>
  <c r="D2061" i="106" s="1"/>
  <c r="B2031" i="106"/>
  <c r="D2031" i="106" s="1"/>
  <c r="D19" i="7"/>
  <c r="B1775" i="106" s="1"/>
  <c r="D1775" i="106" s="1"/>
  <c r="C173" i="5"/>
  <c r="B5223" i="106" s="1"/>
  <c r="D5223" i="106" s="1"/>
  <c r="C4" i="4"/>
  <c r="B2551" i="106" s="1"/>
  <c r="D2551" i="106" s="1"/>
  <c r="C114" i="29"/>
  <c r="B757" i="106" s="1"/>
  <c r="D757" i="106" s="1"/>
  <c r="D44" i="36"/>
  <c r="K342" i="29"/>
  <c r="F13" i="34" s="1"/>
  <c r="B6025" i="106"/>
  <c r="D6025" i="106" s="1"/>
  <c r="H4" i="4"/>
  <c r="B6024" i="106"/>
  <c r="D6024" i="106" s="1"/>
  <c r="G4" i="4"/>
  <c r="B2603" i="106" s="1"/>
  <c r="D2603" i="106" s="1"/>
  <c r="B1365" i="106"/>
  <c r="D1365" i="106" s="1"/>
  <c r="F65" i="34"/>
  <c r="B1317" i="106"/>
  <c r="D1317"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7224" i="106" l="1"/>
  <c r="D7224" i="106" s="1"/>
  <c r="C6" i="4"/>
  <c r="B2553" i="106" s="1"/>
  <c r="D2553" i="106" s="1"/>
  <c r="J17" i="4"/>
  <c r="J19" i="4" s="1"/>
  <c r="B6229" i="106" s="1"/>
  <c r="D6229" i="106" s="1"/>
  <c r="B2655" i="106"/>
  <c r="D2655" i="106" s="1"/>
  <c r="H8" i="4"/>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F76" i="34"/>
  <c r="B6227" i="106"/>
  <c r="D6227"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<sst xmlns="http://schemas.openxmlformats.org/spreadsheetml/2006/main" count="5115" uniqueCount="2156">
  <si>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</si>
  <si>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</si>
  <si>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</si>
  <si>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</si>
  <si>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</si>
  <si>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</si>
  <si>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</si>
  <si>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</si>
  <si>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</si>
  <si>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</si>
  <si>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</si>
  <si>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</si>
  <si>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</si>
  <si>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</si>
  <si>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</si>
  <si>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</si>
  <si>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</si>
  <si>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</si>
  <si>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</si>
  <si>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</si>
  <si>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</si>
  <si>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</si>
  <si>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</si>
  <si>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</si>
  <si>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</si>
  <si>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</si>
  <si>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</si>
  <si>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</si>
  <si>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</si>
  <si>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</si>
  <si>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</si>
  <si>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</si>
  <si>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</si>
  <si>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</si>
  <si>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</si>
  <si>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</si>
  <si>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</si>
  <si>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</si>
  <si>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</si>
  <si>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</si>
  <si>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</si>
  <si>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</si>
  <si>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</si>
  <si>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</si>
  <si>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</si>
  <si>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</si>
  <si>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</si>
  <si>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</si>
  <si>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</si>
  <si>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</si>
  <si>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</si>
  <si>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</si>
  <si>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</si>
  <si>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</si>
  <si>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</si>
  <si>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</si>
  <si>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</si>
  <si>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</si>
  <si>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</si>
  <si>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</si>
  <si>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</si>
  <si>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</si>
  <si>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</si>
  <si>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</si>
  <si>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</si>
  <si>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</si>
  <si>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</si>
  <si>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</si>
  <si>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</si>
  <si>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</si>
  <si>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</si>
  <si>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</si>
  <si>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</si>
  <si>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</si>
  <si>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</si>
  <si>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</si>
  <si>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</si>
  <si>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</si>
  <si>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</si>
  <si>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</si>
  <si>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</si>
  <si>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</si>
  <si>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</si>
  <si>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</si>
  <si>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</si>
  <si>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</si>
  <si>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</si>
  <si>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</si>
  <si>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</si>
  <si>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</si>
  <si>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</si>
  <si>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</si>
  <si>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</si>
  <si>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</si>
  <si>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</si>
  <si>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</si>
  <si>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</si>
  <si>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</si>
  <si>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</si>
  <si>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</si>
  <si>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</si>
  <si>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</si>
  <si>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</si>
  <si>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</si>
  <si>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</si>
  <si>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</si>
  <si>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</si>
  <si>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</si>
  <si>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</si>
  <si>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</si>
  <si>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</si>
  <si>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</si>
  <si>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</si>
  <si>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</si>
  <si>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</si>
  <si>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</si>
  <si>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</si>
  <si>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</si>
  <si>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</si>
  <si>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</si>
  <si>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</si>
  <si>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</si>
  <si>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</si>
  <si>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</si>
  <si>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</si>
  <si>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</si>
  <si>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</si>
  <si>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</si>
  <si>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</si>
  <si>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</si>
  <si>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</si>
  <si>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</si>
  <si>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</si>
  <si>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</si>
  <si>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</si>
  <si>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</si>
  <si>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</si>
  <si>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</si>
  <si>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</si>
  <si>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</si>
  <si>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</si>
  <si>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</si>
  <si>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</si>
  <si>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</si>
  <si>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</si>
  <si>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</si>
  <si>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</si>
  <si>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</si>
  <si>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</si>
  <si>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</si>
  <si>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</si>
  <si>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</si>
  <si>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</si>
  <si>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</si>
  <si>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</si>
  <si>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</si>
  <si>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</si>
  <si>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</si>
  <si>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</si>
  <si>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</si>
  <si>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</si>
  <si>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</si>
  <si>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</si>
  <si>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</si>
  <si>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</si>
  <si>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</si>
  <si>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</si>
  <si>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</si>
  <si>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</si>
  <si>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</si>
  <si>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</si>
  <si>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</si>
  <si>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</si>
  <si>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</si>
  <si>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</si>
  <si>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</si>
  <si>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</si>
  <si>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</si>
  <si>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</si>
  <si>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</si>
  <si>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</si>
  <si>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</si>
  <si>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</si>
  <si>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</si>
  <si>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</si>
  <si>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</si>
  <si>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</si>
  <si>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</si>
  <si>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</si>
  <si>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</si>
  <si>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</si>
  <si>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</si>
  <si>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</si>
  <si>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</si>
  <si>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</si>
  <si>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</si>
  <si>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</si>
  <si>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</si>
  <si>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</si>
  <si>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</si>
  <si>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</si>
  <si>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</si>
  <si>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</si>
  <si>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</si>
  <si>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</si>
  <si>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</si>
  <si>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</si>
  <si>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</si>
  <si>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</si>
  <si>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</si>
  <si>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</si>
  <si>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</si>
  <si>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</si>
  <si>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</si>
  <si>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</si>
  <si>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</si>
  <si>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</si>
  <si>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</si>
  <si>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</si>
  <si>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</si>
  <si>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</si>
  <si>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</si>
  <si>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</si>
  <si>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</si>
  <si>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</si>
  <si>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</si>
  <si>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</si>
  <si>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</si>
  <si>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</si>
  <si>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</si>
  <si>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</si>
  <si>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</si>
  <si>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</si>
  <si>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</si>
  <si>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</si>
  <si>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</si>
  <si>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</si>
  <si>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</si>
  <si>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</si>
  <si>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</si>
  <si>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</si>
  <si>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</si>
  <si>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</si>
  <si>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</si>
  <si>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</si>
  <si>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</si>
  <si>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</si>
  <si>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</si>
  <si>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</si>
  <si>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</si>
  <si>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</si>
  <si>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</si>
  <si>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</si>
  <si>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</si>
  <si>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</si>
  <si>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</si>
  <si>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</si>
  <si>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</si>
  <si>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</si>
  <si>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</si>
  <si>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</si>
  <si>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</si>
  <si>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</si>
  <si>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</si>
  <si>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</si>
  <si>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</si>
  <si>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</si>
  <si>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</si>
  <si>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</si>
  <si>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</si>
  <si>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</si>
  <si>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</si>
  <si>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</si>
  <si>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</si>
  <si>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</si>
  <si>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</si>
  <si>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</si>
  <si>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</si>
  <si>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</si>
  <si>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</si>
  <si>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</si>
  <si>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</si>
  <si>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</si>
  <si>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</si>
  <si>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</si>
  <si>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</si>
  <si>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</si>
  <si>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</si>
  <si>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</si>
  <si>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</si>
  <si>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</si>
  <si>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</si>
  <si>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</si>
  <si>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</si>
  <si>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</si>
  <si>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</si>
  <si>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</si>
  <si>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</si>
  <si>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</si>
  <si>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</si>
  <si>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</si>
  <si>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</si>
  <si>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</si>
  <si>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</si>
  <si>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</si>
  <si>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</si>
  <si>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</si>
  <si>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</si>
  <si>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</si>
  <si>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</si>
  <si>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</si>
  <si>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</si>
  <si>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</si>
  <si>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</si>
  <si>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</si>
  <si>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</si>
  <si>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</si>
  <si>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</si>
  <si>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</si>
  <si>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</si>
  <si>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</si>
  <si>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</si>
  <si>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</si>
  <si>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</si>
  <si>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</si>
  <si>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</si>
  <si>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</si>
  <si>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</si>
  <si>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</si>
  <si>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</si>
  <si>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</si>
  <si>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</si>
  <si>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</si>
  <si>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</si>
  <si>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</si>
  <si>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</si>
  <si>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</si>
  <si>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</si>
  <si>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</si>
  <si>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</si>
  <si>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</si>
  <si>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</si>
  <si>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</si>
  <si>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</si>
  <si>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</si>
  <si>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</si>
  <si>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</si>
  <si>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</si>
  <si>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</si>
  <si>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</si>
  <si>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</si>
  <si>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</si>
  <si>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</si>
  <si>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</si>
  <si>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</si>
  <si>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</si>
  <si>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</si>
  <si>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</si>
  <si>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</si>
  <si>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</si>
  <si>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</si>
  <si>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</si>
  <si>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</si>
  <si>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</si>
  <si>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</si>
  <si>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</si>
  <si>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</si>
  <si>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</si>
  <si>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</si>
  <si>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</si>
  <si>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</si>
  <si>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</si>
  <si>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</si>
  <si>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</si>
  <si>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</si>
  <si>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</si>
  <si>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</si>
  <si>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</si>
  <si>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</si>
  <si>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</si>
  <si>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</si>
  <si>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</si>
  <si>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</si>
  <si>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</si>
  <si>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</si>
  <si>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</si>
  <si>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</si>
  <si>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</si>
  <si>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</si>
  <si>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</si>
  <si>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</si>
  <si>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</si>
  <si>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</si>
  <si>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</si>
  <si>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</si>
  <si>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</si>
  <si>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</si>
  <si>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</si>
  <si>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</si>
  <si>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</si>
  <si>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</si>
  <si>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</si>
  <si>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</si>
  <si>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</si>
  <si>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</si>
  <si>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</si>
  <si>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</si>
  <si>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</si>
  <si>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</si>
  <si>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</si>
  <si>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</si>
  <si>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</si>
  <si>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</si>
  <si>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</si>
  <si>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</si>
  <si>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</si>
  <si>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</si>
  <si>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</si>
  <si>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</si>
  <si>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</si>
  <si>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</si>
  <si>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</si>
  <si>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</si>
  <si>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</si>
  <si>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</si>
  <si>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</si>
  <si>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</si>
  <si>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</si>
  <si>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</si>
  <si>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</si>
  <si>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</si>
  <si>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</si>
  <si>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</si>
  <si>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</si>
  <si>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</si>
  <si>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</si>
  <si>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</si>
  <si>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</si>
  <si>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</si>
  <si>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</si>
  <si>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</si>
  <si>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</si>
  <si>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</si>
  <si>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</si>
  <si>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</si>
  <si>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</si>
  <si>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</si>
  <si>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</si>
  <si>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</si>
  <si>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</si>
  <si>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</si>
  <si>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</si>
  <si>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</si>
  <si>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</si>
  <si>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</si>
  <si>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</si>
  <si>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</si>
  <si>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</si>
  <si>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</si>
  <si>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</si>
  <si>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</si>
  <si>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</si>
  <si>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</si>
  <si>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</si>
  <si>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</si>
  <si>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</si>
  <si>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</si>
  <si>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</si>
  <si>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</si>
  <si>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</si>
  <si>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</si>
  <si>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</si>
  <si>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</si>
  <si>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</si>
  <si>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</si>
  <si>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</si>
  <si>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</si>
  <si>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</si>
  <si>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</si>
  <si>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</si>
  <si>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</si>
  <si>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</si>
  <si>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</si>
  <si>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</si>
  <si>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</si>
  <si>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</si>
  <si>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</si>
  <si>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</si>
  <si>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</si>
  <si>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</si>
  <si>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</si>
  <si>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</si>
  <si>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</si>
  <si>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</si>
  <si>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</si>
  <si>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</si>
  <si>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</si>
  <si>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</si>
  <si>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</si>
  <si>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</si>
  <si>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</si>
  <si>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</si>
  <si>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</si>
  <si>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</si>
  <si>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</si>
  <si>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</si>
  <si>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</si>
  <si>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</si>
  <si>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</si>
  <si>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</si>
  <si>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</si>
  <si>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</si>
  <si>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</si>
  <si>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</si>
  <si>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</si>
  <si>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</si>
  <si>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</si>
  <si>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</si>
  <si>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</si>
  <si>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</si>
  <si>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</si>
  <si>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</si>
  <si>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</si>
  <si>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</si>
  <si>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</si>
  <si>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</si>
  <si>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</si>
  <si>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</si>
  <si>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</si>
  <si>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</si>
  <si>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</si>
  <si>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</si>
  <si>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</si>
  <si>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</si>
  <si>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</si>
  <si>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</si>
  <si>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</si>
  <si>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</si>
  <si>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</si>
  <si>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</si>
  <si>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</si>
  <si>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</si>
  <si>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</si>
  <si>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</si>
  <si>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</si>
  <si>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</si>
  <si>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</si>
  <si>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</si>
  <si>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</si>
  <si>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</si>
  <si>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</si>
  <si>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</si>
  <si>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</si>
  <si>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</si>
  <si>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</si>
  <si>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</si>
  <si>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</si>
  <si>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</si>
  <si>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</si>
  <si>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</si>
  <si>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</si>
  <si>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</si>
  <si>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</si>
  <si>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</si>
  <si>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</si>
  <si>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</si>
  <si>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</si>
  <si>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</si>
  <si>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</si>
  <si>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</si>
  <si>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</si>
  <si>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</si>
  <si>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</si>
  <si>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</si>
  <si>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</si>
  <si>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</si>
  <si>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</si>
  <si>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</si>
  <si>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</si>
  <si>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</si>
  <si>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</si>
  <si>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</si>
  <si>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</si>
  <si>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</si>
  <si>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</si>
  <si>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</si>
  <si>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</si>
  <si>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</si>
  <si>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</si>
  <si>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</si>
  <si>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</si>
  <si>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</si>
  <si>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</si>
  <si>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</si>
  <si>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</si>
  <si>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</si>
  <si>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</si>
  <si>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</si>
  <si>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</si>
  <si>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</si>
  <si>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</si>
  <si>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</si>
  <si>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</si>
  <si>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</si>
  <si>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</si>
  <si>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</si>
  <si>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</si>
  <si>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</si>
  <si>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</si>
  <si>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</si>
  <si>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</si>
  <si>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</si>
  <si>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</si>
  <si>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</si>
  <si>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</si>
  <si>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</si>
  <si>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</si>
  <si>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</si>
  <si>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</si>
  <si>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</si>
  <si>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</si>
  <si>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</si>
  <si>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</si>
  <si>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</si>
  <si>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</si>
  <si>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</si>
  <si>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</si>
  <si>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</si>
  <si>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</si>
  <si>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</si>
  <si>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</si>
  <si>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</si>
  <si>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</si>
  <si>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</si>
  <si>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</si>
  <si>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</si>
  <si>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</si>
  <si>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</si>
  <si>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</si>
  <si>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</si>
  <si>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</si>
  <si>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</si>
  <si>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</si>
  <si>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</si>
  <si>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</si>
  <si>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</si>
  <si>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</si>
  <si>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</si>
  <si>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</si>
  <si>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</si>
  <si>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</si>
  <si>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</si>
  <si>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</si>
  <si>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</si>
  <si>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</si>
  <si>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</si>
  <si>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</si>
  <si>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</si>
  <si>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</si>
  <si>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</si>
  <si>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</si>
  <si>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</si>
  <si>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</si>
  <si>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</si>
  <si>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</si>
  <si>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</si>
  <si>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</si>
  <si>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</si>
  <si>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</si>
  <si>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</si>
  <si>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</si>
  <si>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</si>
  <si>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</si>
  <si>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</si>
  <si>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</si>
  <si>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</si>
  <si>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</si>
  <si>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</si>
  <si>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</si>
  <si>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</si>
  <si>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</si>
  <si>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</si>
  <si>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</si>
  <si>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</si>
  <si>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</si>
  <si>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</si>
  <si>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</si>
  <si>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</si>
  <si>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</si>
  <si>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</si>
  <si>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</si>
  <si>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</si>
  <si>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</si>
  <si>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</si>
  <si>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</si>
  <si>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</si>
  <si>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</si>
  <si>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</si>
  <si>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</si>
  <si>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</si>
  <si>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</si>
  <si>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</si>
  <si>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</si>
  <si>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</si>
  <si>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</si>
  <si>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</si>
  <si>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</si>
  <si>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</si>
  <si>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</si>
  <si>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</si>
  <si>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</si>
  <si>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</si>
  <si>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</si>
  <si>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</si>
  <si>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</si>
  <si>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</si>
  <si>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</si>
  <si>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</si>
  <si>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</si>
  <si>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</si>
  <si>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</si>
  <si>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</si>
  <si>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</si>
  <si>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</si>
  <si>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</si>
  <si>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</si>
  <si>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</si>
  <si>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</si>
  <si>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</si>
  <si>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</si>
  <si>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</si>
  <si>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</si>
  <si>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</si>
  <si>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</si>
  <si>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</si>
  <si>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</si>
  <si>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</si>
  <si>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</si>
  <si>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</si>
  <si>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</si>
  <si>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</si>
  <si>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</si>
  <si>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</si>
  <si>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</si>
  <si>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</si>
  <si>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</si>
  <si>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</si>
  <si>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</si>
  <si>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</si>
  <si>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</si>
  <si>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</si>
  <si>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</si>
  <si>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</si>
  <si>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</si>
  <si>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</si>
  <si>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</si>
  <si>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</si>
  <si>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</si>
  <si>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</si>
  <si>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</si>
  <si>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</si>
  <si>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</si>
  <si>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</si>
  <si>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</si>
  <si>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</si>
  <si>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</si>
  <si>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</si>
  <si>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</si>
  <si>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</si>
  <si>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</si>
  <si>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</si>
  <si>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</si>
  <si>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</si>
  <si>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</si>
  <si>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</si>
  <si>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</si>
  <si>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</si>
  <si>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</si>
  <si>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</si>
  <si>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</si>
  <si>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</si>
  <si>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</si>
  <si>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</si>
  <si>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</si>
  <si>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</si>
  <si>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</si>
  <si>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</si>
  <si>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</si>
  <si>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</si>
  <si>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</si>
  <si>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</si>
  <si>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</si>
  <si>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</si>
  <si>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</si>
  <si>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</si>
  <si>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</si>
  <si>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</si>
  <si>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</si>
  <si>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</si>
  <si>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</si>
  <si>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</si>
  <si>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</si>
  <si>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</si>
  <si>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</si>
  <si>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</si>
  <si>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</si>
  <si>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</si>
  <si>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</si>
  <si>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</si>
  <si>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</si>
  <si>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</si>
  <si>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</si>
  <si>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</si>
  <si>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</si>
  <si>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</si>
  <si>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</si>
  <si>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</si>
  <si>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</si>
  <si>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</si>
  <si>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</si>
  <si>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</si>
  <si>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</si>
  <si>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</si>
  <si>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</si>
  <si>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</si>
  <si>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</si>
  <si>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</si>
  <si>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</si>
  <si>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</si>
  <si>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</si>
  <si>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</si>
  <si>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</si>
  <si>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</si>
  <si>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</si>
  <si>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</si>
  <si>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</si>
  <si>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</si>
  <si>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</si>
  <si>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</si>
  <si>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</si>
  <si>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</si>
  <si>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</si>
  <si>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</si>
  <si>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</si>
  <si>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</si>
  <si>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</si>
  <si>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</si>
  <si>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</si>
  <si>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</si>
  <si>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</si>
  <si>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</si>
  <si>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</si>
  <si>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</si>
  <si>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</si>
  <si>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</si>
  <si>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</si>
  <si>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</si>
  <si>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</si>
  <si>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</si>
  <si>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</si>
  <si>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</si>
  <si>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</si>
  <si>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</si>
  <si>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</si>
  <si>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</si>
  <si>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</si>
  <si>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</si>
  <si>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</si>
  <si>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</si>
  <si>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</si>
  <si>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</si>
  <si>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</si>
  <si>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</si>
  <si>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</si>
  <si>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</si>
  <si>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</si>
  <si>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</si>
  <si>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</si>
  <si>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</si>
  <si>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</si>
  <si>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</si>
  <si>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</si>
  <si>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</si>
  <si>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</si>
  <si>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</si>
  <si>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</si>
  <si>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</si>
  <si>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</si>
  <si>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</si>
  <si>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</si>
  <si>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</si>
  <si>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</si>
  <si>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</si>
  <si>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</si>
  <si>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</si>
  <si>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</si>
  <si>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</si>
  <si>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</si>
  <si>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</si>
  <si>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</si>
  <si>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</si>
  <si>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</si>
  <si>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</si>
  <si>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</si>
  <si>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</si>
  <si>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</si>
  <si>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</si>
  <si>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</si>
  <si>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</si>
  <si>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</si>
  <si>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</si>
  <si>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</si>
  <si>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</si>
  <si>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</si>
  <si>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</si>
  <si>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</si>
  <si>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</si>
  <si>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</si>
  <si>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</si>
  <si>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</si>
  <si>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</si>
  <si>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</si>
  <si>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</si>
  <si>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</si>
  <si>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</si>
  <si>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</si>
  <si>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</si>
  <si>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</si>
  <si>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</si>
  <si>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</si>
  <si>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</si>
  <si>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</si>
  <si>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</si>
  <si>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</si>
  <si>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</si>
  <si>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</si>
  <si>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</si>
  <si>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</si>
  <si>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</si>
  <si>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</si>
  <si>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</si>
  <si>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</si>
  <si>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</si>
  <si>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</si>
  <si>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</si>
  <si>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</si>
  <si>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</si>
  <si>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</si>
  <si>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</si>
  <si>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</si>
  <si>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</si>
  <si>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</si>
  <si>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</si>
  <si>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</si>
  <si>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</si>
  <si>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</si>
  <si>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</si>
  <si>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</si>
  <si>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</si>
  <si>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</si>
  <si>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</si>
  <si>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</si>
  <si>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</si>
  <si>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</si>
  <si>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</si>
  <si>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</si>
  <si>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</si>
  <si>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</si>
  <si>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</si>
  <si>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</si>
  <si>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</si>
  <si>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</si>
  <si>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</si>
  <si>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</si>
  <si>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</si>
  <si>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</si>
  <si>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</si>
  <si>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</si>
  <si>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</si>
  <si>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</si>
  <si>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</si>
  <si>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</si>
  <si>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</si>
  <si>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</si>
  <si>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</si>
  <si>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</si>
  <si>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</si>
  <si>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</si>
  <si>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</si>
  <si>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</si>
  <si>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</si>
  <si>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</si>
  <si>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</si>
  <si>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</si>
  <si>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</si>
  <si>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</si>
  <si>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</si>
  <si>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</si>
  <si>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</si>
  <si>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</si>
  <si>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</si>
  <si>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</si>
  <si>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</si>
  <si>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</si>
  <si>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</si>
  <si>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</si>
  <si>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</si>
  <si>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</si>
  <si>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</si>
  <si>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</si>
  <si>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</si>
  <si>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</si>
  <si>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</si>
  <si>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</si>
  <si>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</si>
  <si>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</si>
  <si>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</si>
  <si>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</si>
  <si>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</si>
  <si>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</si>
  <si>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</si>
  <si>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</si>
  <si>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</si>
  <si>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</si>
  <si>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</si>
  <si>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</si>
  <si>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</si>
  <si>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</si>
  <si>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</si>
  <si>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</si>
  <si>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</si>
  <si>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</si>
  <si>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</si>
  <si>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</si>
  <si>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</si>
  <si>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</si>
  <si>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</si>
  <si>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</si>
  <si>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</si>
  <si>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</si>
  <si>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</si>
  <si>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</si>
  <si>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</si>
  <si>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</si>
  <si>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</si>
  <si>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</si>
  <si>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</si>
  <si>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</si>
  <si>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</si>
  <si>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</si>
  <si>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</si>
  <si>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</si>
  <si>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</si>
  <si>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</si>
  <si>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</si>
  <si>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</si>
  <si>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</si>
  <si>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</si>
  <si>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</si>
  <si>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</si>
  <si>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</si>
  <si>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</si>
  <si>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</si>
  <si>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</si>
  <si>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</si>
  <si>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</si>
  <si>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</si>
  <si>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</si>
  <si>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</si>
  <si>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</si>
  <si>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</si>
  <si>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</si>
  <si>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</si>
  <si>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</si>
  <si>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</si>
  <si>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</si>
  <si>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</si>
  <si>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</si>
  <si>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</si>
  <si>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</si>
  <si>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</si>
  <si>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</si>
  <si>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</si>
  <si>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</si>
  <si>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</si>
  <si>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</si>
  <si>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</si>
  <si>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</si>
  <si>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</si>
  <si>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</si>
  <si>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</si>
  <si>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</si>
  <si>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</si>
  <si>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</si>
  <si>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</si>
  <si>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</si>
  <si>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</si>
  <si>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</si>
  <si>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</si>
  <si>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</si>
  <si>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</si>
  <si>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</si>
  <si>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</si>
  <si>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</si>
  <si>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</si>
  <si>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</si>
  <si>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</si>
  <si>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</si>
  <si>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</si>
  <si>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</si>
  <si>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</si>
  <si>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</si>
  <si>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</si>
  <si>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</si>
  <si>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</si>
  <si>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</si>
  <si>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</si>
  <si>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</si>
  <si>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</si>
  <si>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</si>
  <si>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</si>
  <si>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</si>
  <si>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</si>
  <si>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</si>
  <si>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</si>
  <si>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</si>
  <si>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</si>
  <si>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</si>
  <si>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</si>
  <si>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</si>
  <si>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</si>
  <si>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</si>
  <si>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</si>
  <si>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</si>
  <si>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</si>
  <si>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</si>
  <si>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</si>
  <si>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</si>
  <si>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</si>
  <si>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</si>
  <si>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</si>
  <si>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</si>
  <si>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</si>
  <si>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</si>
  <si>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</si>
  <si>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</si>
  <si>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</si>
  <si>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</si>
  <si>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</si>
  <si>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</si>
  <si>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</si>
  <si>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</si>
  <si>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</si>
  <si>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</si>
  <si>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</si>
  <si>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</si>
  <si>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</si>
  <si>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</si>
  <si>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</si>
  <si>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</si>
  <si>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</si>
  <si>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</si>
  <si>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</si>
  <si>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</si>
  <si>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</si>
  <si>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</si>
  <si>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</si>
  <si>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</si>
  <si>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</si>
  <si>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</si>
  <si>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</si>
  <si>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</si>
  <si>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</si>
  <si>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</si>
  <si>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</si>
  <si>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</si>
  <si>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</si>
  <si>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</si>
  <si>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</si>
  <si>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</si>
  <si>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</si>
  <si>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</si>
  <si>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</si>
  <si>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</si>
  <si>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</si>
  <si>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</si>
  <si>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</si>
  <si>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</si>
  <si>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</si>
  <si>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</si>
  <si>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</si>
  <si>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</si>
  <si>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</si>
  <si>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</si>
  <si>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</si>
  <si>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</si>
  <si>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</si>
  <si>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</si>
  <si>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</si>
  <si>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</si>
  <si>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</si>
  <si>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</si>
  <si>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</si>
  <si>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</si>
  <si>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</si>
  <si>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</si>
  <si>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</si>
  <si>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</si>
  <si>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</si>
  <si>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</si>
  <si>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</si>
  <si>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</si>
  <si>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</si>
  <si>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</si>
  <si>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</si>
  <si>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</si>
  <si>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</si>
  <si>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</si>
  <si>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</si>
  <si>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</si>
  <si>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</si>
  <si>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</si>
  <si>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</si>
  <si>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</si>
  <si>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</si>
  <si>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</si>
  <si>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</si>
  <si>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</si>
  <si>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</si>
  <si>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</si>
  <si>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</si>
  <si>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</si>
  <si>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</si>
  <si>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</si>
  <si>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</si>
  <si>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</si>
  <si>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</si>
  <si>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</si>
  <si>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</si>
  <si>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</si>
  <si>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</si>
  <si>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</si>
  <si>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</si>
  <si>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</si>
  <si>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</si>
  <si>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</si>
  <si>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</si>
  <si>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</si>
  <si>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</si>
  <si>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</si>
  <si>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</si>
  <si>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</si>
  <si>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</si>
  <si>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</si>
  <si>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</si>
  <si>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</si>
  <si>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</si>
  <si>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</si>
  <si>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</si>
  <si>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</si>
  <si>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</si>
  <si>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</si>
  <si>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</si>
  <si>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</si>
  <si>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</si>
  <si>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</si>
  <si>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</si>
  <si>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</si>
  <si>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</si>
  <si>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</si>
  <si>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</si>
  <si>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</si>
  <si>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</si>
  <si>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</si>
  <si>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</si>
  <si>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</si>
  <si>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</si>
  <si>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</si>
  <si>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</si>
  <si>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</si>
  <si>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</si>
  <si>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</si>
  <si>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</si>
  <si>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</si>
  <si>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</si>
  <si>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</si>
  <si>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</si>
  <si>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</si>
  <si>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</si>
  <si>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</si>
  <si>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</si>
  <si>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</si>
  <si>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</si>
  <si>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</si>
  <si>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</si>
  <si>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</si>
  <si>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</si>
  <si>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</si>
  <si>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</si>
  <si>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</si>
  <si>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</si>
  <si>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</si>
  <si>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</si>
  <si>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</si>
  <si>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</si>
  <si>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</si>
  <si>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</si>
  <si>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</si>
  <si>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</si>
  <si>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</si>
  <si>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</si>
  <si>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</si>
  <si>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</si>
  <si>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</si>
  <si>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</si>
  <si>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</si>
  <si>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</si>
  <si>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</si>
  <si>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</si>
  <si>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</si>
  <si>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</si>
  <si>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</si>
  <si>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</si>
  <si>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</si>
  <si>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</si>
  <si>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</si>
  <si>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</si>
  <si>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</si>
  <si>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</si>
  <si>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</si>
  <si>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</si>
  <si>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</si>
  <si>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</si>
  <si>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</si>
  <si>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</si>
  <si>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</si>
  <si>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</si>
  <si>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</si>
  <si>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</si>
  <si>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</si>
  <si>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</si>
  <si>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</si>
  <si>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</si>
  <si>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</si>
  <si>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</si>
  <si>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</si>
  <si>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</si>
  <si>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</si>
  <si>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</si>
  <si>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</si>
  <si>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</si>
  <si>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</si>
  <si>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</si>
  <si>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</si>
  <si>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</si>
  <si>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</si>
  <si>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</si>
  <si>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</si>
  <si>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</si>
  <si>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</si>
  <si>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</si>
  <si>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</si>
  <si>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</si>
  <si>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</si>
  <si>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</si>
  <si>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</si>
  <si>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</si>
  <si>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</si>
  <si>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</si>
  <si>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</si>
  <si>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</si>
  <si>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</si>
  <si>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</si>
  <si>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</si>
  <si>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</si>
  <si>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</si>
  <si>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</si>
  <si>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</si>
  <si>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</si>
  <si>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</si>
  <si>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</si>
  <si>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</si>
  <si>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</si>
  <si>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</si>
  <si>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</si>
  <si>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</si>
  <si>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</si>
  <si>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</si>
  <si>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</si>
  <si>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</si>
  <si>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</si>
  <si>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</si>
  <si>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</si>
  <si>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</si>
  <si>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</si>
  <si>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</si>
  <si>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</si>
  <si>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</si>
  <si>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</si>
  <si>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</si>
  <si>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</si>
  <si>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</si>
  <si>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</si>
  <si>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</si>
  <si>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</si>
  <si>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</si>
  <si>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</si>
  <si>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</si>
  <si>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</si>
  <si>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</si>
  <si>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</si>
  <si>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</si>
  <si>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</si>
  <si>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</si>
  <si>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</si>
  <si>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</si>
  <si>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</si>
  <si>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</si>
  <si>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</si>
  <si>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</si>
  <si>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</si>
  <si>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</si>
  <si>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</si>
  <si>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</si>
  <si>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</si>
  <si>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</si>
  <si>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</si>
  <si>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</si>
  <si>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</si>
  <si>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</si>
  <si>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</si>
  <si>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</si>
  <si>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</si>
  <si>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</si>
  <si>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</si>
  <si>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</si>
  <si>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</si>
  <si>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</si>
  <si>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</si>
  <si>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</si>
  <si>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</si>
  <si>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</si>
  <si>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</si>
  <si>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</si>
  <si>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</si>
  <si>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</si>
  <si>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</si>
  <si>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</si>
  <si>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</si>
  <si>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</si>
  <si>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</si>
  <si>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</si>
  <si>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</si>
  <si>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</si>
  <si>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</si>
  <si>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</si>
  <si>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</si>
  <si>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</si>
  <si>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</si>
  <si>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</si>
  <si>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</si>
  <si>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</si>
  <si>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</si>
  <si>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</si>
  <si>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</si>
  <si>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</si>
  <si>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</si>
  <si>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</si>
  <si>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</si>
  <si>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</si>
  <si>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</si>
  <si>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</si>
  <si>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</si>
  <si>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</si>
  <si>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</si>
  <si>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</si>
  <si>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</si>
  <si>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</si>
  <si>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</si>
  <si>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</si>
  <si>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</si>
  <si>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</si>
  <si>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</si>
  <si>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</si>
  <si>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</si>
  <si>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</si>
  <si>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</si>
  <si>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</si>
  <si>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</si>
  <si>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</si>
  <si>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</si>
  <si>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</si>
  <si>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</si>
  <si>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</si>
  <si>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</si>
  <si>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</si>
  <si>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</si>
  <si>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</si>
  <si>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</si>
  <si>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</si>
  <si>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</si>
  <si>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</si>
  <si>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</si>
  <si>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</si>
  <si>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</si>
  <si>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</si>
  <si>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</si>
  <si>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</si>
  <si>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</si>
  <si>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</si>
  <si>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</si>
  <si>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</si>
  <si>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</si>
  <si>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</si>
  <si>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</si>
  <si>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</si>
  <si>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</si>
  <si>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</si>
  <si>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</si>
  <si>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</si>
  <si>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</si>
  <si>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</si>
  <si>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</si>
  <si>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</si>
  <si>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</si>
  <si>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</si>
  <si>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</si>
  <si>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</si>
  <si>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</si>
  <si>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</si>
  <si>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</si>
  <si>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</si>
  <si>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</si>
  <si>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</si>
  <si>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</si>
  <si>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</si>
  <si>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</si>
  <si>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</si>
  <si>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</si>
  <si>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</si>
  <si>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</si>
  <si>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</si>
  <si>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</si>
  <si>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</si>
  <si>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</si>
  <si>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</si>
  <si>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</si>
  <si>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</si>
  <si>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</si>
  <si>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</si>
  <si>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</si>
  <si>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</si>
  <si>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</si>
  <si>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</si>
  <si>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</si>
  <si>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</si>
  <si>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</si>
  <si>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</si>
  <si>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</si>
  <si>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</si>
  <si>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</si>
  <si>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</si>
  <si>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</si>
  <si>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</si>
  <si>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</si>
  <si>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</si>
  <si>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</si>
  <si>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</si>
  <si>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</si>
  <si>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</si>
  <si>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</si>
  <si>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</si>
  <si>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</si>
  <si>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</si>
  <si>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</si>
  <si>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</si>
  <si>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</si>
  <si>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</si>
  <si>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</si>
  <si>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</si>
  <si>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</si>
  <si>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</si>
  <si>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</si>
  <si>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</si>
  <si>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</si>
  <si>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</si>
  <si>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</si>
  <si>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</si>
  <si>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</si>
  <si>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</si>
  <si>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</si>
  <si>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</si>
  <si>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</si>
  <si>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</si>
  <si>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</si>
  <si>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</si>
  <si>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</si>
  <si>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</si>
  <si>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</si>
  <si>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</si>
  <si>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</si>
  <si>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</si>
  <si>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</si>
  <si>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</si>
  <si>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</si>
  <si>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</si>
  <si>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</si>
  <si>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</si>
  <si>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</si>
  <si>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</si>
  <si>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</si>
  <si>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</si>
  <si>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</si>
  <si>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</si>
  <si>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</si>
  <si>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</si>
  <si>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</si>
  <si>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</si>
  <si>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</si>
  <si>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</si>
  <si>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</si>
  <si>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</si>
  <si>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</si>
  <si>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</si>
  <si>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</si>
  <si>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</si>
  <si>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</si>
  <si>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</si>
  <si>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</si>
  <si>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</si>
  <si>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</si>
  <si>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</si>
  <si>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</si>
  <si>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</si>
  <si>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</si>
  <si>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</si>
  <si>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</si>
  <si>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</si>
  <si>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</si>
  <si>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</si>
  <si>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</si>
  <si>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</si>
  <si>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</si>
  <si>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</si>
  <si>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</si>
  <si>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</si>
  <si>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</si>
  <si>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</si>
  <si>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</si>
  <si>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</si>
  <si>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</si>
  <si>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</si>
  <si>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</si>
  <si>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</si>
  <si>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</si>
  <si>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</si>
  <si>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</si>
  <si>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</si>
  <si>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</si>
  <si>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</si>
  <si>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</si>
  <si>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</si>
  <si>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</si>
  <si>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</si>
  <si>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</si>
  <si>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</si>
  <si>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</si>
  <si>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</si>
  <si>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</si>
  <si>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</si>
  <si>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</si>
  <si>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</si>
  <si>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</si>
  <si>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</si>
  <si>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</si>
  <si>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</si>
  <si>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</si>
  <si>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</si>
  <si>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</si>
  <si>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</si>
  <si>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</si>
  <si>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</si>
  <si>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</si>
  <si>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</si>
  <si>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</si>
  <si>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</si>
  <si>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</si>
  <si>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</si>
  <si>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</si>
  <si>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</si>
  <si>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</si>
  <si>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</si>
  <si>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</si>
  <si>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</si>
  <si>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</si>
  <si>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</si>
  <si>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</si>
  <si>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</si>
  <si>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</si>
  <si>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</si>
  <si>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</si>
  <si>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</si>
  <si>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</si>
  <si>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</si>
  <si>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</si>
  <si>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</si>
  <si>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</si>
  <si>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</si>
  <si>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</si>
  <si>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</si>
  <si>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</si>
  <si>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</si>
  <si>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</si>
  <si>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</si>
  <si>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</si>
  <si>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</si>
  <si>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</si>
  <si>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</si>
  <si>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</si>
  <si>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</si>
  <si>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</si>
  <si>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</si>
  <si>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</si>
  <si>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</si>
  <si>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</si>
  <si>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</si>
  <si>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</si>
  <si>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</si>
  <si>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</si>
  <si>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</si>
  <si>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</si>
  <si>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</si>
  <si>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</si>
  <si>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</si>
  <si>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</si>
  <si>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</si>
  <si>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</si>
  <si>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</si>
  <si>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</si>
  <si>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</si>
  <si>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</si>
  <si>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</si>
  <si>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</si>
  <si>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</si>
  <si>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</si>
  <si>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</si>
  <si>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</si>
  <si>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</si>
  <si>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</si>
  <si>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</si>
  <si>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</si>
  <si>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</si>
  <si>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</si>
  <si>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</si>
  <si>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</si>
  <si>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</si>
  <si>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</si>
  <si>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</si>
  <si>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</si>
  <si>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</si>
  <si>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</si>
  <si>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</si>
  <si>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</si>
  <si>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</si>
  <si>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</si>
  <si>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</si>
  <si>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</si>
  <si>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</si>
  <si>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</si>
  <si>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</si>
  <si>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</si>
  <si>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</si>
  <si>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</si>
  <si>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</si>
  <si>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</si>
  <si>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</si>
  <si>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</si>
  <si>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</si>
  <si>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</si>
  <si>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</si>
  <si>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</si>
  <si>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</si>
  <si>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</si>
  <si>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</si>
  <si>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</si>
  <si>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</si>
  <si>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</si>
  <si>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</si>
  <si>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</si>
  <si>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</si>
  <si>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</si>
  <si>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</si>
  <si>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</si>
  <si>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</si>
  <si>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</si>
  <si>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</si>
  <si>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</si>
  <si>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</si>
  <si>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</si>
  <si>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</si>
  <si>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</si>
  <si>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</si>
  <si>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</si>
  <si>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</si>
  <si>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</si>
  <si>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</si>
  <si>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</si>
  <si>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</si>
  <si>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</si>
  <si>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</si>
  <si>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</si>
  <si>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</si>
  <si>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</si>
  <si>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</si>
  <si>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</si>
  <si>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</si>
  <si>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</si>
  <si>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</si>
  <si>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</si>
  <si>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</si>
  <si>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</si>
  <si>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</si>
  <si>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</si>
  <si>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</si>
  <si>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</si>
  <si>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</si>
  <si>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</si>
  <si>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</si>
  <si>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</si>
  <si>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</si>
  <si>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</si>
  <si>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</si>
  <si>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</si>
  <si>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</si>
  <si>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</si>
  <si>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</si>
  <si>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</si>
  <si>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</si>
  <si>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</si>
  <si>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</si>
  <si>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</si>
  <si>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</si>
  <si>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</si>
  <si>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</si>
  <si>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</si>
  <si>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</si>
  <si>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</si>
  <si>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</si>
  <si>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</si>
  <si>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</si>
  <si>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</si>
  <si>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</si>
  <si>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</si>
  <si>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</si>
  <si>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</si>
  <si>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</si>
  <si>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</si>
  <si>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</si>
  <si>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</si>
  <si>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</si>
  <si>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</si>
  <si>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</si>
  <si>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</si>
  <si>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</si>
  <si>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</si>
  <si>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</si>
  <si>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</si>
  <si>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</si>
  <si>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</si>
  <si>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</si>
  <si>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</si>
  <si>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</si>
  <si>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</si>
  <si>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</si>
  <si>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</si>
  <si>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</si>
  <si>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</si>
  <si>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</si>
  <si>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</si>
  <si>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</si>
  <si>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</si>
  <si>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</si>
  <si>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</si>
  <si>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</si>
  <si>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</si>
  <si>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</si>
  <si>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</si>
  <si>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</si>
  <si>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</si>
  <si>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</si>
  <si>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</si>
  <si>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</si>
  <si>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</si>
  <si>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</si>
  <si>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</si>
  <si>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</si>
  <si>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</si>
  <si>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</si>
  <si>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</si>
  <si>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</si>
  <si>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</si>
  <si>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</si>
  <si>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</si>
  <si>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</si>
  <si>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</si>
  <si>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</si>
  <si>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</si>
  <si>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</si>
  <si>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</si>
  <si>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</si>
  <si>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</si>
  <si>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</si>
  <si>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</si>
  <si>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</si>
  <si>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</si>
  <si>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</si>
  <si>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</si>
  <si>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</si>
  <si>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</si>
  <si>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</si>
  <si>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</si>
  <si>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</si>
  <si>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</si>
  <si>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</si>
  <si>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</si>
  <si>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</si>
  <si>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</si>
  <si>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</si>
  <si>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</si>
  <si>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</si>
  <si>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</si>
  <si>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</si>
  <si>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</si>
  <si>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</si>
  <si>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</si>
  <si>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</si>
  <si>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</si>
  <si>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</si>
  <si>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</si>
  <si>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</si>
  <si>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</si>
  <si>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</si>
  <si>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</si>
  <si>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</si>
  <si>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</si>
  <si>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</si>
  <si>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</si>
  <si>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</si>
  <si>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</si>
  <si>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</si>
  <si>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</si>
  <si>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</si>
  <si>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</si>
  <si>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</si>
  <si>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</si>
  <si>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</si>
  <si>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</si>
  <si>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</si>
  <si>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</si>
  <si>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</si>
  <si>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</si>
  <si>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</si>
  <si>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</si>
  <si>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</si>
  <si>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</si>
  <si>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</si>
  <si>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</si>
  <si>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</si>
  <si>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</si>
  <si>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</si>
  <si>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</si>
  <si>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</si>
  <si>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</si>
  <si>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</si>
  <si>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</si>
  <si>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</si>
  <si>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</si>
  <si>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</si>
  <si>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</si>
  <si>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</si>
  <si>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</si>
  <si>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</si>
  <si>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</si>
  <si>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</si>
  <si>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</si>
  <si>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</si>
  <si>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</si>
  <si>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</si>
  <si>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</si>
  <si>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</si>
  <si>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</si>
  <si>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</si>
  <si>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</si>
  <si>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</si>
  <si>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</si>
  <si>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</si>
  <si>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</si>
  <si>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</si>
  <si>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</si>
  <si>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</si>
  <si>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</si>
  <si>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</si>
  <si>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</si>
  <si>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</si>
  <si>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</si>
  <si>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</si>
  <si>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</si>
  <si>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</si>
  <si>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</si>
  <si>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</si>
  <si>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</si>
  <si>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</si>
  <si>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</si>
  <si>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</si>
  <si>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</si>
  <si>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</si>
  <si>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</si>
  <si>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</si>
  <si>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</si>
  <si>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</si>
  <si>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</si>
  <si>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</si>
  <si>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</si>
  <si>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</si>
  <si>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</si>
  <si>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</si>
  <si>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</si>
  <si>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</si>
  <si>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</si>
  <si>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</si>
  <si>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</si>
  <si>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</si>
  <si>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</si>
  <si>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</si>
  <si>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</si>
  <si>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</si>
  <si>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</si>
  <si>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</si>
  <si>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</si>
  <si>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</si>
  <si>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</si>
  <si>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</si>
  <si>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</si>
  <si>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</si>
  <si>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</si>
  <si>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</si>
  <si>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</si>
  <si>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</si>
  <si>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</si>
  <si>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</si>
  <si>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</si>
  <si>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</si>
  <si>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</si>
  <si>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</si>
  <si>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</si>
  <si>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</si>
  <si>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</si>
  <si>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</si>
  <si>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</si>
  <si>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</si>
  <si>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</si>
  <si>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</si>
  <si>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</si>
  <si>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</si>
  <si>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</si>
  <si>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</si>
  <si>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</si>
  <si>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</si>
  <si>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</si>
  <si>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</si>
  <si>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</si>
  <si>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</si>
  <si>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</si>
  <si>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</si>
  <si>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</si>
  <si>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</si>
  <si>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</si>
  <si>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</si>
  <si>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OGLE</t>
  </si>
  <si>
    <t>207 W. MAIN ST.</t>
  </si>
  <si>
    <t>STILLMAN VALLEY</t>
  </si>
  <si>
    <t xml:space="preserve">PHILLIP J CAPOSEY </t>
  </si>
  <si>
    <t>pcaposey@mail.meridian223.org</t>
  </si>
  <si>
    <t>815/645-2606</t>
  </si>
  <si>
    <t>815/645-4325</t>
  </si>
  <si>
    <t xml:space="preserve">JENNY L. BLOCKER </t>
  </si>
  <si>
    <t xml:space="preserve">BENNING GROUP, LLC </t>
  </si>
  <si>
    <t>50. W. DOUGLAS STREET, SUITE 801</t>
  </si>
  <si>
    <t xml:space="preserve">FREEPORT </t>
  </si>
  <si>
    <t>IL</t>
  </si>
  <si>
    <t>815/235-3157</t>
  </si>
  <si>
    <t>815/235-3158</t>
  </si>
  <si>
    <t>066-004238</t>
  </si>
  <si>
    <t>jblocker@benninggroup.com</t>
  </si>
  <si>
    <t xml:space="preserve">ROBERT SONDGEROTH </t>
  </si>
  <si>
    <t>815/625-1495</t>
  </si>
  <si>
    <t>815/625-1625</t>
  </si>
  <si>
    <t>bsondgeroth@roe47.org</t>
  </si>
  <si>
    <t xml:space="preserve">Capital Apprecation School Bonds </t>
  </si>
  <si>
    <t xml:space="preserve">JP Morgan Capital Appreciation School Bonds </t>
  </si>
  <si>
    <t>General Obligation School Bonds, Series 2002</t>
  </si>
  <si>
    <t>General Obligation School Bonds, Series 2016A</t>
  </si>
  <si>
    <t>General Obligation School Bonds, Series 2016B</t>
  </si>
  <si>
    <t>4,3</t>
  </si>
  <si>
    <t xml:space="preserve">Renaissance Learning </t>
  </si>
  <si>
    <t>10-2200-300</t>
  </si>
  <si>
    <t xml:space="preserve">Humanex Ventures </t>
  </si>
  <si>
    <t>20-2540-300</t>
  </si>
  <si>
    <t>40-2550-300</t>
  </si>
  <si>
    <t>10-2630-300</t>
  </si>
  <si>
    <t xml:space="preserve">Byron / Rock Valley College </t>
  </si>
  <si>
    <t>Northern Illinois Food Coop</t>
  </si>
  <si>
    <t xml:space="preserve">CLIC, Illinois Schools Cooperative </t>
  </si>
  <si>
    <t>Ogle County Educational Coop</t>
  </si>
  <si>
    <t>ROE #47</t>
  </si>
  <si>
    <t>Oregon CUSD #200</t>
  </si>
  <si>
    <t>CEANCI</t>
  </si>
  <si>
    <t xml:space="preserve">Julia Hull Library Inter-Gov't Agreement </t>
  </si>
  <si>
    <t xml:space="preserve">Account </t>
  </si>
  <si>
    <t xml:space="preserve">Page </t>
  </si>
  <si>
    <t xml:space="preserve"> Line #</t>
  </si>
  <si>
    <t xml:space="preserve">Description </t>
  </si>
  <si>
    <t xml:space="preserve">Amount </t>
  </si>
  <si>
    <t>Julia Hull Library</t>
  </si>
  <si>
    <t>E-rate</t>
  </si>
  <si>
    <t xml:space="preserve">Pepsi Reimbursement </t>
  </si>
  <si>
    <t xml:space="preserve">CLIC Insurance Refund </t>
  </si>
  <si>
    <t xml:space="preserve">Snack Reimbursement </t>
  </si>
  <si>
    <t xml:space="preserve">Substitute Teacher Reimbursement </t>
  </si>
  <si>
    <t xml:space="preserve">Misc. Refunds/Revenues </t>
  </si>
  <si>
    <t xml:space="preserve">Jury Duty </t>
  </si>
  <si>
    <t xml:space="preserve">IASBO P-Card Rebate </t>
  </si>
  <si>
    <t xml:space="preserve">Life Touch Reimbursement </t>
  </si>
  <si>
    <t xml:space="preserve">Retirement Dinner </t>
  </si>
  <si>
    <t xml:space="preserve">Otis Reimbursement </t>
  </si>
  <si>
    <t xml:space="preserve">Misc. Revenue </t>
  </si>
  <si>
    <t>Trans.</t>
  </si>
  <si>
    <t xml:space="preserve">Pre-K Transportation </t>
  </si>
  <si>
    <t xml:space="preserve">Misc. Reimbursement </t>
  </si>
  <si>
    <t>IMRF/SS</t>
  </si>
  <si>
    <t>FP&amp;S</t>
  </si>
  <si>
    <t xml:space="preserve">State Library Grant </t>
  </si>
  <si>
    <t xml:space="preserve">Other Support Services </t>
  </si>
  <si>
    <t xml:space="preserve">Regional Office of Education </t>
  </si>
  <si>
    <t>Ogle County Educational Coop / Ogle County Sheriff (Next FY ONLY)</t>
  </si>
  <si>
    <t>BENNING GROUP, LLC</t>
  </si>
  <si>
    <t>Mechanical Inc</t>
  </si>
  <si>
    <t xml:space="preserve">ED-Instructional Staff-Purchased Services </t>
  </si>
  <si>
    <t xml:space="preserve">TR-Pupil Transportation-Purchased Services </t>
  </si>
  <si>
    <t xml:space="preserve">ED-Information Services-Purchased Services </t>
  </si>
  <si>
    <t xml:space="preserve">OM-Oper. &amp; Maint. Plant Services-Purchased Services </t>
  </si>
  <si>
    <t xml:space="preserve">KS StateBank </t>
  </si>
  <si>
    <t xml:space="preserve">Julia Hull Library </t>
  </si>
  <si>
    <t xml:space="preserve">Grainger Reimbursement </t>
  </si>
  <si>
    <t>Bond admin fees</t>
  </si>
  <si>
    <t>Meridian CUSD 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</si>
</sst>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181" fontId="56" fillId="0" borderId="0" xfId="1" applyNumberFormat="1" applyFont="1"/>
    <xf numFmtId="181" fontId="56" fillId="0" borderId="78" xfId="1" applyNumberFormat="1" applyFont="1" applyBorder="1"/>
    <xf numFmtId="182" fontId="56" fillId="0" borderId="166" xfId="19" applyNumberFormat="1" applyFont="1" applyBorder="1"/>
    <xf numFmtId="182" fontId="56" fillId="0" borderId="167" xfId="19" applyNumberFormat="1" applyFont="1" applyBorder="1"/>
    <xf numFmtId="182" fontId="56" fillId="0" borderId="78" xfId="19" applyNumberFormat="1" applyFont="1" applyBorder="1"/>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56" fillId="0" borderId="0" xfId="0" applyFont="1" applyAlignment="1">
      <alignment horizontal="center"/>
    </xf>
    <xf numFmtId="166" fontId="61" fillId="0" borderId="0" xfId="0" applyNumberFormat="1" applyFont="1" applyAlignment="1">
      <alignment horizontal="center"/>
    </xf>
    <xf numFmtId="182" fontId="56" fillId="0" borderId="0" xfId="19" applyNumberFormat="1"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3065318</xdr:colOff>
          <xdr:row>3</xdr:row>
          <xdr:rowOff>69274</xdr:rowOff>
        </xdr:from>
        <xdr:to>
          <xdr:col>1</xdr:col>
          <xdr:colOff>3979718</xdr:colOff>
          <xdr:row>8</xdr:row>
          <xdr:rowOff>28575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0" t="s">
        <v>425</v>
      </c>
      <c r="J1" s="2011"/>
      <c r="K1" s="2011"/>
      <c r="L1" s="2011"/>
      <c r="M1" s="2011"/>
      <c r="N1" s="2011"/>
      <c r="O1" s="2011"/>
      <c r="P1" s="2011"/>
      <c r="Q1" s="2011"/>
      <c r="R1" s="2011"/>
      <c r="S1" s="2011"/>
    </row>
    <row r="2" spans="1:28" ht="12" customHeight="1" x14ac:dyDescent="0.2">
      <c r="A2" s="47" t="s">
        <v>1684</v>
      </c>
      <c r="D2" s="48"/>
      <c r="I2" s="2012" t="s">
        <v>1036</v>
      </c>
      <c r="J2" s="2011"/>
      <c r="K2" s="2011"/>
      <c r="L2" s="2011"/>
      <c r="M2" s="2011"/>
      <c r="N2" s="2011"/>
      <c r="O2" s="2011"/>
      <c r="P2" s="2011"/>
      <c r="Q2" s="2011"/>
      <c r="R2" s="2011"/>
      <c r="S2" s="2011"/>
    </row>
    <row r="3" spans="1:28" ht="12" customHeight="1" x14ac:dyDescent="0.2">
      <c r="A3" s="155" t="s">
        <v>1685</v>
      </c>
      <c r="B3" s="156"/>
      <c r="C3" s="156"/>
      <c r="D3" s="157"/>
      <c r="I3" s="2012" t="s">
        <v>54</v>
      </c>
      <c r="J3" s="2011"/>
      <c r="K3" s="2011"/>
      <c r="L3" s="2011"/>
      <c r="M3" s="2011"/>
      <c r="N3" s="2011"/>
      <c r="O3" s="2011"/>
      <c r="P3" s="2011"/>
      <c r="Q3" s="2011"/>
      <c r="R3" s="2011"/>
      <c r="S3" s="2011"/>
    </row>
    <row r="4" spans="1:28" ht="12" customHeight="1" x14ac:dyDescent="0.2">
      <c r="A4" s="37"/>
      <c r="I4" s="2012" t="s">
        <v>545</v>
      </c>
      <c r="J4" s="2011"/>
      <c r="K4" s="2011"/>
      <c r="L4" s="2011"/>
      <c r="M4" s="2011"/>
      <c r="N4" s="2011"/>
      <c r="O4" s="2011"/>
      <c r="P4" s="2011"/>
      <c r="Q4" s="2011"/>
      <c r="R4" s="2011"/>
      <c r="S4" s="2011"/>
    </row>
    <row r="5" spans="1:28" ht="14.1" customHeight="1" x14ac:dyDescent="0.2">
      <c r="B5" s="104" t="s">
        <v>2077</v>
      </c>
      <c r="C5" s="26" t="s">
        <v>966</v>
      </c>
      <c r="D5" s="84"/>
      <c r="E5" s="84"/>
      <c r="H5" s="38"/>
      <c r="I5" s="2020" t="s">
        <v>701</v>
      </c>
      <c r="J5" s="2019"/>
      <c r="K5" s="2019"/>
      <c r="L5" s="2019"/>
      <c r="M5" s="2019"/>
      <c r="N5" s="2019"/>
      <c r="O5" s="2019"/>
      <c r="P5" s="2019"/>
      <c r="Q5" s="2019"/>
      <c r="R5" s="2019"/>
      <c r="S5" s="2019"/>
    </row>
    <row r="6" spans="1:28" ht="14.1" customHeight="1" x14ac:dyDescent="0.2">
      <c r="B6" s="104"/>
      <c r="C6" s="26" t="s">
        <v>967</v>
      </c>
      <c r="D6" s="84"/>
      <c r="E6" s="84"/>
      <c r="I6" s="2018" t="s">
        <v>938</v>
      </c>
      <c r="J6" s="2019"/>
      <c r="K6" s="2019"/>
      <c r="L6" s="2019"/>
      <c r="M6" s="2019"/>
      <c r="N6" s="2019"/>
      <c r="O6" s="2019"/>
      <c r="P6" s="2019"/>
      <c r="Q6" s="2019"/>
      <c r="R6" s="2019"/>
      <c r="S6" s="2019"/>
    </row>
    <row r="7" spans="1:28" ht="12.2" customHeight="1" x14ac:dyDescent="0.2">
      <c r="I7" s="2013">
        <v>43281</v>
      </c>
      <c r="J7" s="2014"/>
      <c r="K7" s="2014"/>
      <c r="L7" s="2014"/>
      <c r="M7" s="2014"/>
      <c r="N7" s="2014"/>
      <c r="O7" s="2014"/>
      <c r="P7" s="2014"/>
      <c r="Q7" s="2014"/>
      <c r="R7" s="2014"/>
      <c r="S7" s="201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5" t="s">
        <v>695</v>
      </c>
      <c r="J9" s="2016"/>
      <c r="K9" s="2016"/>
      <c r="L9" s="2016"/>
      <c r="M9" s="2016"/>
      <c r="N9" s="2016"/>
      <c r="O9" s="2016"/>
      <c r="P9" s="2016"/>
      <c r="Q9" s="2016"/>
      <c r="R9" s="2016"/>
      <c r="S9" s="2017"/>
      <c r="T9" s="2031" t="s">
        <v>554</v>
      </c>
      <c r="U9" s="2032"/>
      <c r="V9" s="2032"/>
      <c r="W9" s="2032"/>
      <c r="X9" s="2032"/>
      <c r="Y9" s="2032"/>
      <c r="Z9" s="2032"/>
      <c r="AA9" s="2033"/>
    </row>
    <row r="10" spans="1:28" ht="13.5" customHeight="1" x14ac:dyDescent="0.2">
      <c r="A10" s="2038" t="s">
        <v>696</v>
      </c>
      <c r="B10" s="2039"/>
      <c r="C10" s="2039"/>
      <c r="D10" s="2039"/>
      <c r="E10" s="2039"/>
      <c r="F10" s="2039"/>
      <c r="G10" s="2039"/>
      <c r="H10" s="2040"/>
      <c r="I10" s="29"/>
      <c r="J10" s="30"/>
      <c r="K10" s="28"/>
      <c r="R10" s="30"/>
      <c r="S10" s="30"/>
      <c r="T10" s="2034"/>
      <c r="U10" s="2019"/>
      <c r="V10" s="2019"/>
      <c r="W10" s="2019"/>
      <c r="X10" s="2019"/>
      <c r="Y10" s="2019"/>
      <c r="Z10" s="2019"/>
      <c r="AA10" s="2025"/>
    </row>
    <row r="11" spans="1:28" ht="14.25" customHeight="1" x14ac:dyDescent="0.2">
      <c r="A11" s="2041" t="s">
        <v>1012</v>
      </c>
      <c r="B11" s="2042"/>
      <c r="C11" s="2042"/>
      <c r="D11" s="2042"/>
      <c r="E11" s="2042"/>
      <c r="F11" s="2042"/>
      <c r="G11" s="2042"/>
      <c r="H11" s="2043"/>
      <c r="I11" s="27"/>
      <c r="J11" s="74"/>
      <c r="K11" s="27"/>
      <c r="O11" s="148" t="s">
        <v>2077</v>
      </c>
      <c r="P11" s="100" t="s">
        <v>210</v>
      </c>
      <c r="Q11" s="30"/>
      <c r="R11" s="28"/>
      <c r="S11" s="27"/>
      <c r="T11" s="2035"/>
      <c r="U11" s="2036"/>
      <c r="V11" s="2036"/>
      <c r="W11" s="2036"/>
      <c r="X11" s="2036"/>
      <c r="Y11" s="2036"/>
      <c r="Z11" s="2036"/>
      <c r="AA11" s="203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5">
        <v>47071223026</v>
      </c>
      <c r="B13" s="2046"/>
      <c r="C13" s="2046"/>
      <c r="D13" s="2046"/>
      <c r="E13" s="2046"/>
      <c r="F13" s="2046"/>
      <c r="G13" s="2046"/>
      <c r="H13" s="2047"/>
      <c r="I13" s="31"/>
      <c r="J13" s="30"/>
      <c r="K13" s="28"/>
      <c r="L13" s="30"/>
      <c r="M13" s="30"/>
      <c r="N13" s="30"/>
      <c r="O13" s="30"/>
      <c r="P13" s="30"/>
      <c r="Q13" s="30"/>
      <c r="R13" s="30"/>
      <c r="S13" s="30"/>
      <c r="T13" s="2050" t="s">
        <v>2086</v>
      </c>
      <c r="U13" s="2051"/>
      <c r="V13" s="2051"/>
      <c r="W13" s="2051"/>
      <c r="X13" s="2051"/>
      <c r="Y13" s="2052"/>
      <c r="Z13" s="2052"/>
      <c r="AA13" s="205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4" t="s">
        <v>2078</v>
      </c>
      <c r="B15" s="2048"/>
      <c r="C15" s="2048"/>
      <c r="D15" s="2048"/>
      <c r="E15" s="2048"/>
      <c r="F15" s="2048"/>
      <c r="G15" s="2048"/>
      <c r="H15" s="2049"/>
      <c r="T15" s="2054" t="s">
        <v>2085</v>
      </c>
      <c r="U15" s="1998"/>
      <c r="V15" s="1998"/>
      <c r="W15" s="1998"/>
      <c r="X15" s="1998"/>
      <c r="Y15" s="2055"/>
      <c r="Z15" s="2055"/>
      <c r="AA15" s="205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4" t="s">
        <v>2155</v>
      </c>
      <c r="B17" s="2005"/>
      <c r="C17" s="2005"/>
      <c r="D17" s="2005"/>
      <c r="E17" s="2005"/>
      <c r="F17" s="2005"/>
      <c r="G17" s="2005"/>
      <c r="H17" s="2030"/>
      <c r="T17" s="2061" t="s">
        <v>2087</v>
      </c>
      <c r="U17" s="2062"/>
      <c r="V17" s="2062"/>
      <c r="W17" s="2062"/>
      <c r="X17" s="2062"/>
      <c r="Y17" s="2062"/>
      <c r="Z17" s="2062"/>
      <c r="AA17" s="2063"/>
    </row>
    <row r="18" spans="1:27" ht="13.5" customHeight="1" x14ac:dyDescent="0.2">
      <c r="A18" s="85" t="s">
        <v>551</v>
      </c>
      <c r="B18" s="76"/>
      <c r="C18" s="72"/>
      <c r="D18" s="76"/>
      <c r="E18" s="76"/>
      <c r="F18" s="76"/>
      <c r="G18" s="76"/>
      <c r="H18" s="56"/>
      <c r="I18" s="2029" t="s">
        <v>697</v>
      </c>
      <c r="J18" s="1980"/>
      <c r="K18" s="1980"/>
      <c r="L18" s="1980"/>
      <c r="M18" s="1980"/>
      <c r="N18" s="1980"/>
      <c r="O18" s="1980"/>
      <c r="P18" s="1980"/>
      <c r="Q18" s="1980"/>
      <c r="R18" s="1980"/>
      <c r="S18" s="1981"/>
      <c r="T18" s="85" t="s">
        <v>735</v>
      </c>
      <c r="U18" s="51"/>
      <c r="V18" s="72"/>
      <c r="W18" s="50"/>
      <c r="X18" s="85" t="s">
        <v>284</v>
      </c>
      <c r="Y18" s="81"/>
      <c r="Z18" s="159" t="s">
        <v>698</v>
      </c>
      <c r="AA18" s="46"/>
    </row>
    <row r="19" spans="1:27" ht="13.5" customHeight="1" x14ac:dyDescent="0.2">
      <c r="A19" s="2044" t="s">
        <v>2079</v>
      </c>
      <c r="B19" s="1990"/>
      <c r="C19" s="1990"/>
      <c r="D19" s="1990"/>
      <c r="E19" s="1990"/>
      <c r="F19" s="1990"/>
      <c r="G19" s="1990"/>
      <c r="H19" s="1970"/>
      <c r="I19" s="30"/>
      <c r="J19" s="99"/>
      <c r="K19" s="40"/>
      <c r="L19" s="38"/>
      <c r="M19" s="112" t="s">
        <v>333</v>
      </c>
      <c r="P19" s="27"/>
      <c r="Q19" s="27"/>
      <c r="R19" s="27"/>
      <c r="S19" s="31"/>
      <c r="T19" s="2044" t="s">
        <v>2088</v>
      </c>
      <c r="U19" s="1969"/>
      <c r="V19" s="1969"/>
      <c r="W19" s="1970"/>
      <c r="X19" s="2059" t="s">
        <v>2089</v>
      </c>
      <c r="Y19" s="2060"/>
      <c r="Z19" s="2057">
        <v>61032</v>
      </c>
      <c r="AA19" s="205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8" t="s">
        <v>2080</v>
      </c>
      <c r="B21" s="1969"/>
      <c r="C21" s="1969"/>
      <c r="D21" s="1969"/>
      <c r="E21" s="1969"/>
      <c r="F21" s="1969"/>
      <c r="G21" s="1969"/>
      <c r="H21" s="1970"/>
      <c r="I21" s="2024" t="s">
        <v>699</v>
      </c>
      <c r="J21" s="2019"/>
      <c r="K21" s="2019"/>
      <c r="L21" s="2019"/>
      <c r="M21" s="2019"/>
      <c r="N21" s="2019"/>
      <c r="O21" s="2019"/>
      <c r="P21" s="2019"/>
      <c r="Q21" s="2019"/>
      <c r="R21" s="2019"/>
      <c r="S21" s="2025"/>
      <c r="T21" s="2068" t="s">
        <v>2090</v>
      </c>
      <c r="U21" s="2069"/>
      <c r="V21" s="2069"/>
      <c r="W21" s="2069"/>
      <c r="X21" s="2074" t="s">
        <v>2091</v>
      </c>
      <c r="Y21" s="2075"/>
      <c r="Z21" s="2075"/>
      <c r="AA21" s="2076"/>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1"/>
      <c r="B23" s="2022"/>
      <c r="C23" s="2022"/>
      <c r="D23" s="2022"/>
      <c r="E23" s="2022"/>
      <c r="F23" s="2022"/>
      <c r="G23" s="2022"/>
      <c r="H23" s="2023"/>
      <c r="T23" s="2004" t="s">
        <v>2092</v>
      </c>
      <c r="U23" s="2067"/>
      <c r="V23" s="2067"/>
      <c r="W23" s="2067"/>
      <c r="X23" s="2071">
        <v>43434</v>
      </c>
      <c r="Y23" s="2072"/>
      <c r="Z23" s="2072"/>
      <c r="AA23" s="2073"/>
    </row>
    <row r="24" spans="1:27" ht="14.1" customHeight="1" x14ac:dyDescent="0.2">
      <c r="A24" s="88" t="s">
        <v>698</v>
      </c>
      <c r="B24" s="49"/>
      <c r="C24" s="49"/>
      <c r="D24" s="49"/>
      <c r="E24" s="49"/>
      <c r="F24" s="49"/>
      <c r="G24" s="49"/>
      <c r="H24" s="61"/>
      <c r="J24" s="1991">
        <f>IF(B5="x",IF(AUDITCHECK!D29="AFR form Incomplete.","",IF(AUDITCHECK!D29="Deficit reduction plan is required.","School District must complete a deficit reduction plan in the 2018-2019 Budget",)),"")</f>
        <v>0</v>
      </c>
      <c r="K24" s="1991"/>
      <c r="L24" s="1991"/>
      <c r="M24" s="1991"/>
      <c r="N24" s="1991"/>
      <c r="O24" s="1991"/>
      <c r="P24" s="1991"/>
      <c r="Q24" s="1991"/>
      <c r="R24" s="1991"/>
      <c r="S24" s="1992"/>
      <c r="T24" s="105" t="s">
        <v>552</v>
      </c>
      <c r="U24" s="106"/>
      <c r="V24" s="106"/>
      <c r="W24" s="106"/>
      <c r="X24" s="107"/>
      <c r="Y24" s="107"/>
      <c r="Z24" s="107"/>
      <c r="AA24" s="108"/>
    </row>
    <row r="25" spans="1:27" ht="14.1" customHeight="1" x14ac:dyDescent="0.2">
      <c r="A25" s="1968">
        <v>61084</v>
      </c>
      <c r="B25" s="1969"/>
      <c r="C25" s="1969"/>
      <c r="D25" s="1969"/>
      <c r="E25" s="1969"/>
      <c r="F25" s="1969"/>
      <c r="G25" s="1969"/>
      <c r="H25" s="1970"/>
      <c r="I25" s="113"/>
      <c r="J25" s="1993"/>
      <c r="K25" s="1993"/>
      <c r="L25" s="1993"/>
      <c r="M25" s="1993"/>
      <c r="N25" s="1993"/>
      <c r="O25" s="1993"/>
      <c r="P25" s="1993"/>
      <c r="Q25" s="1993"/>
      <c r="R25" s="1993"/>
      <c r="S25" s="1994"/>
      <c r="T25" s="2064" t="s">
        <v>2093</v>
      </c>
      <c r="U25" s="2065"/>
      <c r="V25" s="2065"/>
      <c r="W25" s="2065"/>
      <c r="X25" s="2065"/>
      <c r="Y25" s="2065"/>
      <c r="Z25" s="2065"/>
      <c r="AA25" s="20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9" t="s">
        <v>1591</v>
      </c>
      <c r="J27" s="1980"/>
      <c r="K27" s="1980"/>
      <c r="L27" s="1980"/>
      <c r="M27" s="1980"/>
      <c r="N27" s="1980"/>
      <c r="O27" s="1980"/>
      <c r="P27" s="1980"/>
      <c r="Q27" s="1980"/>
      <c r="R27" s="1980"/>
      <c r="S27" s="198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0"/>
      <c r="Q35" s="1969"/>
      <c r="R35" s="196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4" t="s">
        <v>2081</v>
      </c>
      <c r="B38" s="2005"/>
      <c r="C38" s="2005"/>
      <c r="D38" s="2005"/>
      <c r="E38" s="2005"/>
      <c r="F38" s="1969"/>
      <c r="G38" s="1969"/>
      <c r="H38" s="1970"/>
      <c r="I38" s="1997"/>
      <c r="J38" s="1998"/>
      <c r="K38" s="1998"/>
      <c r="L38" s="1998"/>
      <c r="M38" s="1998"/>
      <c r="N38" s="1998"/>
      <c r="O38" s="1998"/>
      <c r="P38" s="1999"/>
      <c r="Q38" s="1999"/>
      <c r="R38" s="1999"/>
      <c r="S38" s="2000"/>
      <c r="T38" s="2054" t="s">
        <v>2094</v>
      </c>
      <c r="U38" s="1998"/>
      <c r="V38" s="1998"/>
      <c r="W38" s="1998"/>
      <c r="X38" s="1999"/>
      <c r="Y38" s="1999"/>
      <c r="Z38" s="1999"/>
      <c r="AA38" s="2000"/>
    </row>
    <row r="39" spans="1:27" ht="12" customHeight="1" x14ac:dyDescent="0.2">
      <c r="A39" s="1974" t="s">
        <v>552</v>
      </c>
      <c r="B39" s="1975"/>
      <c r="C39" s="72"/>
      <c r="D39" s="69"/>
      <c r="E39" s="69"/>
      <c r="F39" s="79"/>
      <c r="G39" s="69"/>
      <c r="H39" s="56"/>
      <c r="I39" s="1974" t="s">
        <v>552</v>
      </c>
      <c r="J39" s="1975"/>
      <c r="K39" s="1975"/>
      <c r="L39" s="1975"/>
      <c r="M39" s="1975"/>
      <c r="N39" s="67"/>
      <c r="O39" s="72"/>
      <c r="P39" s="72"/>
      <c r="Q39" s="78"/>
      <c r="R39" s="72"/>
      <c r="S39" s="56"/>
      <c r="T39" s="72" t="s">
        <v>552</v>
      </c>
      <c r="U39" s="51"/>
      <c r="V39" s="72"/>
      <c r="W39" s="50"/>
      <c r="X39" s="78"/>
      <c r="Y39" s="45"/>
      <c r="Z39" s="45"/>
      <c r="AA39" s="46"/>
    </row>
    <row r="40" spans="1:27" ht="13.5" customHeight="1" x14ac:dyDescent="0.2">
      <c r="A40" s="1982" t="s">
        <v>2082</v>
      </c>
      <c r="B40" s="1983"/>
      <c r="C40" s="1984"/>
      <c r="D40" s="1984"/>
      <c r="E40" s="1984"/>
      <c r="F40" s="1985"/>
      <c r="G40" s="1985"/>
      <c r="H40" s="1986"/>
      <c r="I40" s="2007"/>
      <c r="J40" s="2008"/>
      <c r="K40" s="2008"/>
      <c r="L40" s="2008"/>
      <c r="M40" s="2008"/>
      <c r="N40" s="2008"/>
      <c r="O40" s="2008"/>
      <c r="P40" s="2008"/>
      <c r="Q40" s="2008"/>
      <c r="R40" s="2008"/>
      <c r="S40" s="2009"/>
      <c r="T40" s="2007" t="s">
        <v>2097</v>
      </c>
      <c r="U40" s="2070"/>
      <c r="V40" s="2008"/>
      <c r="W40" s="2008"/>
      <c r="X40" s="2008"/>
      <c r="Y40" s="2008"/>
      <c r="Z40" s="2008"/>
      <c r="AA40" s="200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6" t="s">
        <v>2083</v>
      </c>
      <c r="B42" s="1988"/>
      <c r="C42" s="1989"/>
      <c r="D42" s="1987" t="s">
        <v>2084</v>
      </c>
      <c r="E42" s="1988"/>
      <c r="F42" s="1988"/>
      <c r="G42" s="1988"/>
      <c r="H42" s="1989"/>
      <c r="I42" s="1971"/>
      <c r="J42" s="1972"/>
      <c r="K42" s="1972"/>
      <c r="L42" s="1972"/>
      <c r="M42" s="1972"/>
      <c r="N42" s="1972"/>
      <c r="O42" s="1973"/>
      <c r="P42" s="2006"/>
      <c r="Q42" s="1972"/>
      <c r="R42" s="1972"/>
      <c r="S42" s="1973"/>
      <c r="T42" s="1971" t="s">
        <v>2095</v>
      </c>
      <c r="U42" s="1972"/>
      <c r="V42" s="1972"/>
      <c r="W42" s="1973"/>
      <c r="X42" s="2006" t="s">
        <v>2096</v>
      </c>
      <c r="Y42" s="1972"/>
      <c r="Z42" s="1972"/>
      <c r="AA42" s="197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1"/>
      <c r="B44" s="2002"/>
      <c r="C44" s="2002"/>
      <c r="D44" s="2002"/>
      <c r="E44" s="2002"/>
      <c r="F44" s="2002"/>
      <c r="G44" s="2002"/>
      <c r="H44" s="2003"/>
      <c r="I44" s="1976"/>
      <c r="J44" s="1977"/>
      <c r="K44" s="1977"/>
      <c r="L44" s="1977"/>
      <c r="M44" s="1977"/>
      <c r="N44" s="1977"/>
      <c r="O44" s="1977"/>
      <c r="P44" s="1977"/>
      <c r="Q44" s="1977"/>
      <c r="R44" s="1977"/>
      <c r="S44" s="1978"/>
      <c r="T44" s="1976"/>
      <c r="U44" s="1995"/>
      <c r="V44" s="1995"/>
      <c r="W44" s="1995"/>
      <c r="X44" s="1995"/>
      <c r="Y44" s="1995"/>
      <c r="Z44" s="1977"/>
      <c r="AA44" s="197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F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0" t="s">
        <v>1905</v>
      </c>
      <c r="B2" s="1549" t="s">
        <v>2037</v>
      </c>
      <c r="C2" s="715" t="s">
        <v>1910</v>
      </c>
      <c r="D2" s="715" t="s">
        <v>1911</v>
      </c>
      <c r="E2" s="715" t="s">
        <v>1912</v>
      </c>
      <c r="F2" s="715" t="s">
        <v>1913</v>
      </c>
    </row>
    <row r="3" spans="1:6" ht="12" customHeight="1" x14ac:dyDescent="0.2">
      <c r="A3" s="2211"/>
      <c r="B3" s="1546"/>
      <c r="C3" s="1547"/>
      <c r="D3" s="1548" t="s">
        <v>274</v>
      </c>
      <c r="E3" s="1547"/>
      <c r="F3" s="1548" t="s">
        <v>275</v>
      </c>
    </row>
    <row r="4" spans="1:6" ht="13.7" customHeight="1" x14ac:dyDescent="0.2">
      <c r="A4" s="716" t="s">
        <v>1217</v>
      </c>
      <c r="B4" s="1770">
        <f>'Revenues 9-14'!C5</f>
        <v>5833588</v>
      </c>
      <c r="C4" s="1545">
        <v>2987301</v>
      </c>
      <c r="D4" s="1773">
        <f>B4-C4</f>
        <v>2846287</v>
      </c>
      <c r="E4" s="1545">
        <v>5947744</v>
      </c>
      <c r="F4" s="1773">
        <f>E4-C4</f>
        <v>2960443</v>
      </c>
    </row>
    <row r="5" spans="1:6" ht="13.7" customHeight="1" x14ac:dyDescent="0.2">
      <c r="A5" s="716" t="s">
        <v>925</v>
      </c>
      <c r="B5" s="1771">
        <f>'Revenues 9-14'!D5</f>
        <v>838161</v>
      </c>
      <c r="C5" s="585">
        <v>429212</v>
      </c>
      <c r="D5" s="1774">
        <f t="shared" ref="D5:D18" si="0">B5-C5</f>
        <v>408949</v>
      </c>
      <c r="E5" s="585">
        <v>854561</v>
      </c>
      <c r="F5" s="1774">
        <f>E5-C5</f>
        <v>425349</v>
      </c>
    </row>
    <row r="6" spans="1:6" ht="13.7" customHeight="1" x14ac:dyDescent="0.2">
      <c r="A6" s="716" t="s">
        <v>431</v>
      </c>
      <c r="B6" s="1771">
        <f>'Revenues 9-14'!E5</f>
        <v>1804423</v>
      </c>
      <c r="C6" s="585">
        <v>913315</v>
      </c>
      <c r="D6" s="1774">
        <f t="shared" si="0"/>
        <v>891108</v>
      </c>
      <c r="E6" s="585">
        <v>1809789</v>
      </c>
      <c r="F6" s="1774">
        <f t="shared" ref="F6:F18" si="1">E6-C6</f>
        <v>896474</v>
      </c>
    </row>
    <row r="7" spans="1:6" ht="13.7" customHeight="1" x14ac:dyDescent="0.2">
      <c r="A7" s="716" t="s">
        <v>157</v>
      </c>
      <c r="B7" s="1771">
        <f>'Revenues 9-14'!F5</f>
        <v>335263</v>
      </c>
      <c r="C7" s="585">
        <v>171685</v>
      </c>
      <c r="D7" s="1774">
        <f t="shared" si="0"/>
        <v>163578</v>
      </c>
      <c r="E7" s="585">
        <v>341824</v>
      </c>
      <c r="F7" s="1774">
        <f t="shared" si="1"/>
        <v>170139</v>
      </c>
    </row>
    <row r="8" spans="1:6" ht="13.7" customHeight="1" x14ac:dyDescent="0.2">
      <c r="A8" s="716" t="s">
        <v>1241</v>
      </c>
      <c r="B8" s="1771">
        <f>'Revenues 9-14'!G5</f>
        <v>118266</v>
      </c>
      <c r="C8" s="585">
        <v>59556</v>
      </c>
      <c r="D8" s="1774">
        <f t="shared" si="0"/>
        <v>58710</v>
      </c>
      <c r="E8" s="585">
        <v>118100</v>
      </c>
      <c r="F8" s="1774">
        <f t="shared" si="1"/>
        <v>58544</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83816</v>
      </c>
      <c r="C10" s="585">
        <v>42921</v>
      </c>
      <c r="D10" s="1774">
        <f t="shared" si="0"/>
        <v>40895</v>
      </c>
      <c r="E10" s="585">
        <v>85456</v>
      </c>
      <c r="F10" s="1774">
        <f t="shared" si="1"/>
        <v>42535</v>
      </c>
    </row>
    <row r="11" spans="1:6" x14ac:dyDescent="0.2">
      <c r="A11" s="716" t="s">
        <v>429</v>
      </c>
      <c r="B11" s="1771">
        <f>'Revenues 9-14'!J5</f>
        <v>521165</v>
      </c>
      <c r="C11" s="585">
        <v>262446</v>
      </c>
      <c r="D11" s="1774">
        <f t="shared" si="0"/>
        <v>258719</v>
      </c>
      <c r="E11" s="585">
        <v>520086</v>
      </c>
      <c r="F11" s="1774">
        <f t="shared" si="1"/>
        <v>257640</v>
      </c>
    </row>
    <row r="12" spans="1:6" ht="13.7" customHeight="1" x14ac:dyDescent="0.2">
      <c r="A12" s="716" t="s">
        <v>159</v>
      </c>
      <c r="B12" s="1771">
        <f>'Revenues 9-14'!K5</f>
        <v>83816</v>
      </c>
      <c r="C12" s="585">
        <v>42921</v>
      </c>
      <c r="D12" s="1774">
        <f t="shared" si="0"/>
        <v>40895</v>
      </c>
      <c r="E12" s="585">
        <v>85456</v>
      </c>
      <c r="F12" s="1774">
        <f t="shared" si="1"/>
        <v>42535</v>
      </c>
    </row>
    <row r="13" spans="1:6" ht="13.7" customHeight="1" x14ac:dyDescent="0.2">
      <c r="A13" s="716" t="s">
        <v>993</v>
      </c>
      <c r="B13" s="1771">
        <f>SUM('Revenues 9-14'!C6:D6)</f>
        <v>83816</v>
      </c>
      <c r="C13" s="585">
        <v>42921</v>
      </c>
      <c r="D13" s="1774">
        <f t="shared" si="0"/>
        <v>40895</v>
      </c>
      <c r="E13" s="585">
        <v>85456</v>
      </c>
      <c r="F13" s="1774">
        <f t="shared" si="1"/>
        <v>42535</v>
      </c>
    </row>
    <row r="14" spans="1:6" ht="13.7" customHeight="1" x14ac:dyDescent="0.2">
      <c r="A14" s="716" t="s">
        <v>430</v>
      </c>
      <c r="B14" s="1771">
        <f>SUM('Revenues 9-14'!C7:D7,'Revenues 9-14'!F7:H7)</f>
        <v>67055</v>
      </c>
      <c r="C14" s="585">
        <v>34339</v>
      </c>
      <c r="D14" s="1774">
        <f t="shared" si="0"/>
        <v>32716</v>
      </c>
      <c r="E14" s="585">
        <v>68365</v>
      </c>
      <c r="F14" s="1774">
        <f t="shared" si="1"/>
        <v>34026</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302667</v>
      </c>
      <c r="C16" s="585">
        <v>152419</v>
      </c>
      <c r="D16" s="1774">
        <f t="shared" si="0"/>
        <v>150248</v>
      </c>
      <c r="E16" s="585">
        <v>302002</v>
      </c>
      <c r="F16" s="1774">
        <f t="shared" si="1"/>
        <v>149583</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10072036</v>
      </c>
      <c r="C19" s="1772">
        <f>SUM(C4:C18)</f>
        <v>5139036</v>
      </c>
      <c r="D19" s="1772">
        <f>SUM(D4:D18)</f>
        <v>4933000</v>
      </c>
      <c r="E19" s="1772">
        <f>SUM(E4:E18)</f>
        <v>10218839</v>
      </c>
      <c r="F19" s="1772">
        <f>SUM(F4:F18)</f>
        <v>5079803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7" colorId="8" zoomScale="110" zoomScaleNormal="11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2" t="s">
        <v>650</v>
      </c>
      <c r="B1" s="2230"/>
      <c r="C1" s="722"/>
    </row>
    <row r="2" spans="1:7" ht="33.75" x14ac:dyDescent="0.2">
      <c r="A2" s="2237" t="s">
        <v>1905</v>
      </c>
      <c r="B2" s="2238"/>
      <c r="C2" s="1908" t="s">
        <v>2038</v>
      </c>
      <c r="D2" s="724" t="s">
        <v>2045</v>
      </c>
      <c r="E2" s="724" t="s">
        <v>2046</v>
      </c>
      <c r="F2" s="1908" t="s">
        <v>2039</v>
      </c>
    </row>
    <row r="3" spans="1:7" ht="15.75" customHeight="1" x14ac:dyDescent="0.2">
      <c r="A3" s="2239" t="s">
        <v>1176</v>
      </c>
      <c r="B3" s="2240"/>
      <c r="C3" s="2233"/>
      <c r="D3" s="2234"/>
      <c r="E3" s="2234"/>
      <c r="F3" s="2235"/>
    </row>
    <row r="4" spans="1:7" ht="12.75" customHeight="1" thickBot="1" x14ac:dyDescent="0.25">
      <c r="A4" s="2227" t="s">
        <v>651</v>
      </c>
      <c r="B4" s="2228"/>
      <c r="C4" s="581"/>
      <c r="D4" s="581"/>
      <c r="E4" s="581"/>
      <c r="F4" s="1776">
        <f>SUM(C4+D4)-E4</f>
        <v>0</v>
      </c>
    </row>
    <row r="5" spans="1:7" ht="15.75" customHeight="1" thickTop="1" x14ac:dyDescent="0.2">
      <c r="A5" s="2231" t="s">
        <v>1172</v>
      </c>
      <c r="B5" s="2226"/>
      <c r="C5" s="2220"/>
      <c r="D5" s="2221"/>
      <c r="E5" s="2221"/>
      <c r="F5" s="2222"/>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3" t="s">
        <v>652</v>
      </c>
      <c r="B15" s="2224"/>
      <c r="C15" s="1776">
        <f>SUM(C6:C14)</f>
        <v>0</v>
      </c>
      <c r="D15" s="1776">
        <f>SUM(D6:D14)</f>
        <v>0</v>
      </c>
      <c r="E15" s="1776">
        <f>SUM(E6:E14)</f>
        <v>0</v>
      </c>
      <c r="F15" s="1776">
        <f>SUM(F6:F14)</f>
        <v>0</v>
      </c>
      <c r="G15" s="552"/>
    </row>
    <row r="16" spans="1:7" s="202" customFormat="1" ht="15.75" customHeight="1" thickTop="1" x14ac:dyDescent="0.2">
      <c r="A16" s="2236" t="s">
        <v>1173</v>
      </c>
      <c r="B16" s="2226"/>
      <c r="C16" s="2220"/>
      <c r="D16" s="2221"/>
      <c r="E16" s="2221"/>
      <c r="F16" s="2222"/>
    </row>
    <row r="17" spans="1:11" ht="12.75" customHeight="1" thickBot="1" x14ac:dyDescent="0.25">
      <c r="A17" s="2218" t="s">
        <v>66</v>
      </c>
      <c r="B17" s="2219"/>
      <c r="C17" s="727"/>
      <c r="D17" s="585"/>
      <c r="E17" s="727"/>
      <c r="F17" s="1776">
        <f>SUM(C17+D17)-E17</f>
        <v>0</v>
      </c>
    </row>
    <row r="18" spans="1:11" ht="12.75" customHeight="1" thickTop="1" thickBot="1" x14ac:dyDescent="0.25">
      <c r="A18" s="2218" t="s">
        <v>6</v>
      </c>
      <c r="B18" s="2219"/>
      <c r="C18" s="727"/>
      <c r="D18" s="585"/>
      <c r="E18" s="727"/>
      <c r="F18" s="1776">
        <f>SUM(C18+D18)-E18</f>
        <v>0</v>
      </c>
    </row>
    <row r="19" spans="1:11" ht="12.75" customHeight="1" thickTop="1" thickBot="1" x14ac:dyDescent="0.25">
      <c r="A19" s="2218" t="s">
        <v>406</v>
      </c>
      <c r="B19" s="2219"/>
      <c r="C19" s="727"/>
      <c r="D19" s="585"/>
      <c r="E19" s="727"/>
      <c r="F19" s="1776">
        <f>SUM(C19+D19)-E19</f>
        <v>0</v>
      </c>
    </row>
    <row r="20" spans="1:11" ht="12.75" customHeight="1" thickTop="1" thickBot="1" x14ac:dyDescent="0.25">
      <c r="A20" s="2218" t="s">
        <v>468</v>
      </c>
      <c r="B20" s="2219"/>
      <c r="C20" s="727"/>
      <c r="D20" s="585"/>
      <c r="E20" s="727"/>
      <c r="F20" s="1776">
        <f>SUM(C20+D20)-E20</f>
        <v>0</v>
      </c>
    </row>
    <row r="21" spans="1:11" ht="14.25" thickTop="1" thickBot="1" x14ac:dyDescent="0.25">
      <c r="A21" s="2223" t="s">
        <v>653</v>
      </c>
      <c r="B21" s="2224"/>
      <c r="C21" s="1776">
        <f>SUM(C17:C20)</f>
        <v>0</v>
      </c>
      <c r="D21" s="1776">
        <f>SUM(D17:D20)</f>
        <v>0</v>
      </c>
      <c r="E21" s="1776">
        <f>SUM(E17:E20)</f>
        <v>0</v>
      </c>
      <c r="F21" s="1776">
        <f>SUM(F17:F20)</f>
        <v>0</v>
      </c>
      <c r="G21" s="552"/>
    </row>
    <row r="22" spans="1:11" ht="15.75" customHeight="1" thickTop="1" x14ac:dyDescent="0.2">
      <c r="A22" s="2225" t="s">
        <v>1174</v>
      </c>
      <c r="B22" s="2226"/>
      <c r="C22" s="2220"/>
      <c r="D22" s="2221"/>
      <c r="E22" s="2221"/>
      <c r="F22" s="2222"/>
    </row>
    <row r="23" spans="1:11" ht="13.5" thickBot="1" x14ac:dyDescent="0.25">
      <c r="A23" s="2227" t="s">
        <v>654</v>
      </c>
      <c r="B23" s="2228"/>
      <c r="C23" s="581"/>
      <c r="D23" s="581"/>
      <c r="E23" s="581"/>
      <c r="F23" s="1776">
        <f>SUM(C23+D23)-E23</f>
        <v>0</v>
      </c>
      <c r="G23" s="552"/>
    </row>
    <row r="24" spans="1:11" ht="15.75" customHeight="1" thickTop="1" x14ac:dyDescent="0.2">
      <c r="A24" s="2225" t="s">
        <v>1175</v>
      </c>
      <c r="B24" s="2226"/>
      <c r="C24" s="2220"/>
      <c r="D24" s="2221"/>
      <c r="E24" s="2221"/>
      <c r="F24" s="2222"/>
    </row>
    <row r="25" spans="1:11" ht="13.5" thickBot="1" x14ac:dyDescent="0.25">
      <c r="A25" s="2227" t="s">
        <v>655</v>
      </c>
      <c r="B25" s="2228"/>
      <c r="C25" s="581"/>
      <c r="D25" s="581"/>
      <c r="E25" s="581"/>
      <c r="F25" s="1776">
        <f>SUM(C25+D25)-E25</f>
        <v>0</v>
      </c>
      <c r="G25" s="552"/>
    </row>
    <row r="26" spans="1:11" ht="15.75" customHeight="1" thickTop="1" x14ac:dyDescent="0.2">
      <c r="A26" s="2231" t="s">
        <v>678</v>
      </c>
      <c r="B26" s="2226"/>
      <c r="C26" s="728"/>
      <c r="D26" s="728"/>
      <c r="E26" s="728"/>
      <c r="F26" s="729"/>
    </row>
    <row r="27" spans="1:11" ht="13.5" thickBot="1" x14ac:dyDescent="0.25">
      <c r="A27" s="2223" t="s">
        <v>1130</v>
      </c>
      <c r="B27" s="2224"/>
      <c r="C27" s="585"/>
      <c r="D27" s="585"/>
      <c r="E27" s="585"/>
      <c r="F27" s="1776">
        <f>SUM(C27+D27)-E27</f>
        <v>0</v>
      </c>
      <c r="G27" s="552"/>
    </row>
    <row r="28" spans="1:11" ht="7.5" customHeight="1" thickTop="1" x14ac:dyDescent="0.2">
      <c r="A28" s="594"/>
    </row>
    <row r="29" spans="1:11" ht="23.25" customHeight="1" x14ac:dyDescent="0.2">
      <c r="A29" s="2229" t="s">
        <v>603</v>
      </c>
      <c r="B29" s="2230"/>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2099</v>
      </c>
      <c r="B31" s="734">
        <v>36692</v>
      </c>
      <c r="C31" s="735">
        <v>9650000</v>
      </c>
      <c r="D31" s="736">
        <v>7</v>
      </c>
      <c r="E31" s="735">
        <v>2454680</v>
      </c>
      <c r="F31" s="735"/>
      <c r="G31" s="735"/>
      <c r="H31" s="735">
        <v>484828</v>
      </c>
      <c r="I31" s="1777">
        <f>((E31+F31)-H31)+G31</f>
        <v>1969852</v>
      </c>
      <c r="J31" s="735">
        <v>944251</v>
      </c>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t="s">
        <v>2100</v>
      </c>
      <c r="B33" s="734">
        <v>37495</v>
      </c>
      <c r="C33" s="735">
        <v>2060000</v>
      </c>
      <c r="D33" s="736">
        <v>2</v>
      </c>
      <c r="E33" s="735">
        <v>1679523</v>
      </c>
      <c r="F33" s="735"/>
      <c r="G33" s="735"/>
      <c r="H33" s="735">
        <v>128692</v>
      </c>
      <c r="I33" s="1777">
        <f t="shared" ref="I33:I48" si="1">((E33+F33)-H33)+G33</f>
        <v>1550831</v>
      </c>
      <c r="J33" s="735">
        <v>1550831</v>
      </c>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t="s">
        <v>2101</v>
      </c>
      <c r="B35" s="734">
        <v>42458</v>
      </c>
      <c r="C35" s="739">
        <v>11095000</v>
      </c>
      <c r="D35" s="736" t="s">
        <v>2103</v>
      </c>
      <c r="E35" s="739">
        <v>11095000</v>
      </c>
      <c r="F35" s="739"/>
      <c r="G35" s="739"/>
      <c r="H35" s="739"/>
      <c r="I35" s="1777">
        <f t="shared" si="1"/>
        <v>11095000</v>
      </c>
      <c r="J35" s="739">
        <v>11095000</v>
      </c>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t="s">
        <v>2102</v>
      </c>
      <c r="B37" s="734">
        <v>42458</v>
      </c>
      <c r="C37" s="467">
        <v>650000</v>
      </c>
      <c r="D37" s="741">
        <v>3</v>
      </c>
      <c r="E37" s="467">
        <v>650000</v>
      </c>
      <c r="F37" s="467"/>
      <c r="G37" s="467"/>
      <c r="H37" s="467">
        <v>650000</v>
      </c>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23455000</v>
      </c>
      <c r="D49" s="746"/>
      <c r="E49" s="1777">
        <f t="shared" ref="E49:J49" si="2">SUM(E31:E48)</f>
        <v>15879203</v>
      </c>
      <c r="F49" s="1777">
        <f t="shared" si="2"/>
        <v>0</v>
      </c>
      <c r="G49" s="1777">
        <f t="shared" si="2"/>
        <v>0</v>
      </c>
      <c r="H49" s="1777">
        <f t="shared" si="2"/>
        <v>1263520</v>
      </c>
      <c r="I49" s="1777">
        <f t="shared" si="2"/>
        <v>14615683</v>
      </c>
      <c r="J49" s="1777">
        <f t="shared" si="2"/>
        <v>13590082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2" t="s">
        <v>605</v>
      </c>
      <c r="C52" s="2213"/>
      <c r="D52" s="2213"/>
      <c r="E52" s="750" t="s">
        <v>900</v>
      </c>
      <c r="F52" s="2214" t="s">
        <v>2098</v>
      </c>
      <c r="G52" s="2215"/>
      <c r="H52" s="737"/>
      <c r="I52" s="737"/>
      <c r="J52" s="747"/>
    </row>
    <row r="53" spans="1:11" ht="11.25" customHeight="1" x14ac:dyDescent="0.2">
      <c r="A53" s="751" t="s">
        <v>969</v>
      </c>
      <c r="B53" s="752" t="s">
        <v>1008</v>
      </c>
      <c r="C53" s="747"/>
      <c r="D53" s="738"/>
      <c r="E53" s="750" t="s">
        <v>518</v>
      </c>
      <c r="F53" s="2216"/>
      <c r="G53" s="2217"/>
      <c r="H53" s="737"/>
      <c r="I53" s="737"/>
      <c r="J53" s="747"/>
    </row>
    <row r="54" spans="1:11" ht="11.25" customHeight="1" x14ac:dyDescent="0.2">
      <c r="A54" s="753" t="s">
        <v>970</v>
      </c>
      <c r="B54" s="748" t="s">
        <v>1009</v>
      </c>
      <c r="C54" s="747"/>
      <c r="D54" s="738"/>
      <c r="E54" s="750" t="s">
        <v>519</v>
      </c>
      <c r="F54" s="2216"/>
      <c r="G54" s="221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911</v>
      </c>
      <c r="B1" s="2242"/>
      <c r="C1" s="2242"/>
      <c r="D1" s="2242"/>
      <c r="E1" s="2242"/>
      <c r="F1" s="2242"/>
      <c r="G1" s="2243"/>
      <c r="H1" s="1551"/>
      <c r="I1" s="761"/>
      <c r="J1" s="433"/>
    </row>
    <row r="2" spans="1:11" ht="26.25" x14ac:dyDescent="0.2">
      <c r="A2" s="2260" t="s">
        <v>1776</v>
      </c>
      <c r="B2" s="2261"/>
      <c r="C2" s="2261"/>
      <c r="D2" s="2261"/>
      <c r="E2" s="2262"/>
      <c r="F2" s="762" t="s">
        <v>960</v>
      </c>
      <c r="G2" s="763" t="s">
        <v>1773</v>
      </c>
      <c r="H2" s="763" t="s">
        <v>430</v>
      </c>
      <c r="I2" s="763" t="s">
        <v>1220</v>
      </c>
      <c r="J2" s="763" t="s">
        <v>1919</v>
      </c>
      <c r="K2" s="763" t="s">
        <v>140</v>
      </c>
    </row>
    <row r="3" spans="1:11" x14ac:dyDescent="0.2">
      <c r="A3" s="2263" t="s">
        <v>1698</v>
      </c>
      <c r="B3" s="2264"/>
      <c r="C3" s="2264"/>
      <c r="D3" s="2264"/>
      <c r="E3" s="2265"/>
      <c r="F3" s="764"/>
      <c r="G3" s="765"/>
      <c r="H3" s="765"/>
      <c r="I3" s="765"/>
      <c r="J3" s="766"/>
      <c r="K3" s="766"/>
    </row>
    <row r="4" spans="1:11" x14ac:dyDescent="0.2">
      <c r="A4" s="2266" t="s">
        <v>387</v>
      </c>
      <c r="B4" s="2267"/>
      <c r="C4" s="2267"/>
      <c r="D4" s="2267"/>
      <c r="E4" s="2213"/>
      <c r="F4" s="767"/>
      <c r="G4" s="768"/>
      <c r="H4" s="769"/>
      <c r="I4" s="768"/>
      <c r="J4" s="770"/>
      <c r="K4" s="770"/>
    </row>
    <row r="5" spans="1:11" x14ac:dyDescent="0.2">
      <c r="A5" s="2244" t="s">
        <v>1129</v>
      </c>
      <c r="B5" s="2245"/>
      <c r="C5" s="2245"/>
      <c r="D5" s="2245"/>
      <c r="E5" s="2246"/>
      <c r="F5" s="771" t="s">
        <v>903</v>
      </c>
      <c r="G5" s="772"/>
      <c r="H5" s="765">
        <v>67055</v>
      </c>
      <c r="I5" s="773"/>
      <c r="J5" s="774"/>
      <c r="K5" s="774"/>
    </row>
    <row r="6" spans="1:11" x14ac:dyDescent="0.2">
      <c r="A6" s="775" t="s">
        <v>744</v>
      </c>
      <c r="B6" s="776"/>
      <c r="C6" s="776"/>
      <c r="D6" s="776"/>
      <c r="E6" s="777"/>
      <c r="F6" s="778" t="s">
        <v>904</v>
      </c>
      <c r="G6" s="765"/>
      <c r="H6" s="765">
        <v>7</v>
      </c>
      <c r="I6" s="765"/>
      <c r="J6" s="766"/>
      <c r="K6" s="766"/>
    </row>
    <row r="7" spans="1:11" x14ac:dyDescent="0.2">
      <c r="A7" s="779" t="s">
        <v>264</v>
      </c>
      <c r="B7" s="780"/>
      <c r="C7" s="780"/>
      <c r="D7" s="780"/>
      <c r="E7" s="781"/>
      <c r="F7" s="771" t="s">
        <v>905</v>
      </c>
      <c r="G7" s="768"/>
      <c r="H7" s="768"/>
      <c r="I7" s="768"/>
      <c r="J7" s="782"/>
      <c r="K7" s="766">
        <v>23257</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24954</v>
      </c>
    </row>
    <row r="10" spans="1:11" x14ac:dyDescent="0.2">
      <c r="A10" s="2244" t="s">
        <v>1920</v>
      </c>
      <c r="B10" s="2245"/>
      <c r="C10" s="2245"/>
      <c r="D10" s="2245"/>
      <c r="E10" s="2247"/>
      <c r="F10" s="784" t="s">
        <v>917</v>
      </c>
      <c r="G10" s="783"/>
      <c r="H10" s="785"/>
      <c r="I10" s="765"/>
      <c r="J10" s="766"/>
      <c r="K10" s="766"/>
    </row>
    <row r="11" spans="1:11" x14ac:dyDescent="0.2">
      <c r="A11" s="2244" t="s">
        <v>162</v>
      </c>
      <c r="B11" s="2245"/>
      <c r="C11" s="2245"/>
      <c r="D11" s="2245"/>
      <c r="E11" s="2246"/>
      <c r="F11" s="771" t="s">
        <v>907</v>
      </c>
      <c r="G11" s="772"/>
      <c r="H11" s="765"/>
      <c r="I11" s="765"/>
      <c r="J11" s="766"/>
      <c r="K11" s="774"/>
    </row>
    <row r="12" spans="1:11" ht="13.5" thickBot="1" x14ac:dyDescent="0.25">
      <c r="A12" s="2271" t="s">
        <v>961</v>
      </c>
      <c r="B12" s="2272"/>
      <c r="C12" s="2272"/>
      <c r="D12" s="2272"/>
      <c r="E12" s="2273"/>
      <c r="F12" s="1778"/>
      <c r="G12" s="1779">
        <f>SUM(G5:G11)</f>
        <v>0</v>
      </c>
      <c r="H12" s="1779">
        <f>SUM(H5:H11)</f>
        <v>67062</v>
      </c>
      <c r="I12" s="1779">
        <f>SUM(I5:I11)</f>
        <v>0</v>
      </c>
      <c r="J12" s="1779">
        <f>SUM(J5:J11)</f>
        <v>0</v>
      </c>
      <c r="K12" s="1779">
        <f>SUM(K5:K11)</f>
        <v>48211</v>
      </c>
    </row>
    <row r="13" spans="1:11" ht="13.5" thickTop="1" x14ac:dyDescent="0.2">
      <c r="A13" s="2268" t="s">
        <v>388</v>
      </c>
      <c r="B13" s="2269"/>
      <c r="C13" s="2269"/>
      <c r="D13" s="2269"/>
      <c r="E13" s="2270"/>
      <c r="F13" s="786"/>
      <c r="G13" s="787"/>
      <c r="H13" s="788"/>
      <c r="I13" s="789"/>
      <c r="J13" s="789"/>
      <c r="K13" s="789"/>
    </row>
    <row r="14" spans="1:11" x14ac:dyDescent="0.2">
      <c r="A14" s="2251" t="s">
        <v>476</v>
      </c>
      <c r="B14" s="2251"/>
      <c r="C14" s="2251"/>
      <c r="D14" s="2251"/>
      <c r="E14" s="2252"/>
      <c r="F14" s="790" t="s">
        <v>909</v>
      </c>
      <c r="G14" s="783"/>
      <c r="H14" s="765">
        <v>67062</v>
      </c>
      <c r="I14" s="772"/>
      <c r="J14" s="774"/>
      <c r="K14" s="766">
        <v>48211</v>
      </c>
    </row>
    <row r="15" spans="1:11" x14ac:dyDescent="0.2">
      <c r="A15" s="2245" t="s">
        <v>4</v>
      </c>
      <c r="B15" s="2245"/>
      <c r="C15" s="2245"/>
      <c r="D15" s="2245"/>
      <c r="E15" s="2246"/>
      <c r="F15" s="790" t="s">
        <v>910</v>
      </c>
      <c r="G15" s="772"/>
      <c r="H15" s="765"/>
      <c r="I15" s="765"/>
      <c r="J15" s="766"/>
      <c r="K15" s="766"/>
    </row>
    <row r="16" spans="1:11" x14ac:dyDescent="0.2">
      <c r="A16" s="2245" t="s">
        <v>316</v>
      </c>
      <c r="B16" s="2245"/>
      <c r="C16" s="2245"/>
      <c r="D16" s="2245"/>
      <c r="E16" s="2246"/>
      <c r="F16" s="790" t="s">
        <v>980</v>
      </c>
      <c r="G16" s="773"/>
      <c r="H16" s="768"/>
      <c r="I16" s="768"/>
      <c r="J16" s="770"/>
      <c r="K16" s="770"/>
    </row>
    <row r="17" spans="1:11" x14ac:dyDescent="0.2">
      <c r="A17" s="2276" t="s">
        <v>992</v>
      </c>
      <c r="B17" s="2276"/>
      <c r="C17" s="2276"/>
      <c r="D17" s="2276"/>
      <c r="E17" s="2277"/>
      <c r="F17" s="791"/>
      <c r="G17" s="792"/>
      <c r="H17" s="793"/>
      <c r="I17" s="793"/>
      <c r="J17" s="794"/>
      <c r="K17" s="795"/>
    </row>
    <row r="18" spans="1:11" x14ac:dyDescent="0.2">
      <c r="A18" s="2255" t="s">
        <v>386</v>
      </c>
      <c r="B18" s="2256"/>
      <c r="C18" s="2256"/>
      <c r="D18" s="2256"/>
      <c r="E18" s="2257"/>
      <c r="F18" s="790" t="s">
        <v>989</v>
      </c>
      <c r="G18" s="783"/>
      <c r="H18" s="783"/>
      <c r="I18" s="783"/>
      <c r="J18" s="766"/>
      <c r="K18" s="796"/>
    </row>
    <row r="19" spans="1:11" ht="21.75" customHeight="1" x14ac:dyDescent="0.2">
      <c r="A19" s="2253" t="s">
        <v>1916</v>
      </c>
      <c r="B19" s="2253"/>
      <c r="C19" s="2253"/>
      <c r="D19" s="2253"/>
      <c r="E19" s="2254"/>
      <c r="F19" s="790" t="s">
        <v>990</v>
      </c>
      <c r="G19" s="783"/>
      <c r="H19" s="783"/>
      <c r="I19" s="783"/>
      <c r="J19" s="766"/>
      <c r="K19" s="796"/>
    </row>
    <row r="20" spans="1:11" x14ac:dyDescent="0.2">
      <c r="A20" s="2255" t="s">
        <v>1921</v>
      </c>
      <c r="B20" s="2256"/>
      <c r="C20" s="2256"/>
      <c r="D20" s="2256"/>
      <c r="E20" s="2257"/>
      <c r="F20" s="790" t="s">
        <v>991</v>
      </c>
      <c r="G20" s="783"/>
      <c r="H20" s="783"/>
      <c r="I20" s="783"/>
      <c r="J20" s="766"/>
      <c r="K20" s="796"/>
    </row>
    <row r="21" spans="1:11" ht="13.5" thickBot="1" x14ac:dyDescent="0.25">
      <c r="A21" s="2274" t="s">
        <v>659</v>
      </c>
      <c r="B21" s="2274"/>
      <c r="C21" s="2274"/>
      <c r="D21" s="2274"/>
      <c r="E21" s="2274"/>
      <c r="F21" s="1780"/>
      <c r="G21" s="793"/>
      <c r="H21" s="797"/>
      <c r="I21" s="797"/>
      <c r="J21" s="1781">
        <f>SUM(J18:J20)</f>
        <v>0</v>
      </c>
      <c r="K21" s="794"/>
    </row>
    <row r="22" spans="1:11" ht="13.5" thickTop="1" x14ac:dyDescent="0.2">
      <c r="A22" s="2245" t="s">
        <v>1922</v>
      </c>
      <c r="B22" s="2245"/>
      <c r="C22" s="2245"/>
      <c r="D22" s="2245"/>
      <c r="E22" s="2246"/>
      <c r="F22" s="790" t="s">
        <v>917</v>
      </c>
      <c r="G22" s="783"/>
      <c r="H22" s="765"/>
      <c r="I22" s="765"/>
      <c r="J22" s="798"/>
      <c r="K22" s="766"/>
    </row>
    <row r="23" spans="1:11" ht="13.5" thickBot="1" x14ac:dyDescent="0.25">
      <c r="A23" s="2275" t="s">
        <v>962</v>
      </c>
      <c r="B23" s="2274"/>
      <c r="C23" s="2274"/>
      <c r="D23" s="2274"/>
      <c r="E23" s="2274"/>
      <c r="F23" s="1782"/>
      <c r="G23" s="1779">
        <f>SUM(G14:G16,G21,G22)</f>
        <v>0</v>
      </c>
      <c r="H23" s="1779">
        <f>SUM(H14:H16,H21,H22)</f>
        <v>67062</v>
      </c>
      <c r="I23" s="1779">
        <f>SUM(I14:I16,I21,I22)</f>
        <v>0</v>
      </c>
      <c r="J23" s="1779">
        <f>SUM(J14:J16,J21,J22)</f>
        <v>0</v>
      </c>
      <c r="K23" s="1779">
        <f>SUM(K14:K16,K21,K22)</f>
        <v>48211</v>
      </c>
    </row>
    <row r="24" spans="1:11" ht="14.25" thickTop="1" thickBot="1" x14ac:dyDescent="0.25">
      <c r="A24" s="2275" t="s">
        <v>2026</v>
      </c>
      <c r="B24" s="2274"/>
      <c r="C24" s="2274"/>
      <c r="D24" s="2274"/>
      <c r="E24" s="2274"/>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8"/>
      <c r="I31" s="2249"/>
      <c r="J31" s="2249"/>
      <c r="K31" s="2249"/>
    </row>
    <row r="32" spans="1:11" x14ac:dyDescent="0.2">
      <c r="A32" s="810"/>
      <c r="B32" s="237"/>
      <c r="C32" s="237"/>
      <c r="D32" s="237"/>
      <c r="E32" s="806"/>
      <c r="F32" s="812" t="s">
        <v>561</v>
      </c>
      <c r="G32" s="765"/>
      <c r="H32" s="2250"/>
      <c r="I32" s="2249"/>
      <c r="J32" s="2249"/>
      <c r="K32" s="2249"/>
    </row>
    <row r="33" spans="1:11" ht="1.5" customHeight="1" x14ac:dyDescent="0.2">
      <c r="A33" s="813" t="s">
        <v>1231</v>
      </c>
      <c r="B33" s="364"/>
      <c r="C33" s="364"/>
      <c r="D33" s="364"/>
      <c r="E33" s="364"/>
      <c r="F33" s="364"/>
      <c r="G33" s="814"/>
      <c r="H33" s="2250"/>
      <c r="I33" s="2249"/>
      <c r="J33" s="2249"/>
      <c r="K33" s="224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5" t="s">
        <v>562</v>
      </c>
      <c r="B41" s="2258"/>
      <c r="C41" s="2258"/>
      <c r="D41" s="2258"/>
      <c r="E41" s="2258"/>
      <c r="F41" s="225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2035</v>
      </c>
      <c r="B1" s="2281"/>
      <c r="C1" s="2282"/>
      <c r="D1" s="827"/>
      <c r="E1" s="828"/>
      <c r="F1" s="828"/>
      <c r="G1" s="829"/>
      <c r="H1" s="830"/>
      <c r="I1" s="831"/>
      <c r="J1" s="2278"/>
      <c r="K1" s="2279"/>
      <c r="L1" s="227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2569982</v>
      </c>
      <c r="D5" s="842"/>
      <c r="E5" s="842"/>
      <c r="F5" s="1781">
        <f>(C5+D5)-E5</f>
        <v>2569982</v>
      </c>
      <c r="G5" s="838"/>
      <c r="H5" s="843"/>
      <c r="I5" s="843"/>
      <c r="J5" s="843"/>
      <c r="K5" s="794"/>
      <c r="L5" s="1790">
        <f>F5-K5</f>
        <v>2569982</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33933389</v>
      </c>
      <c r="D8" s="845">
        <v>203500</v>
      </c>
      <c r="E8" s="845"/>
      <c r="F8" s="1781">
        <f>(C8+D8)-E8</f>
        <v>34136889</v>
      </c>
      <c r="G8" s="844">
        <v>50</v>
      </c>
      <c r="H8" s="766">
        <v>10944635</v>
      </c>
      <c r="I8" s="766">
        <v>639350</v>
      </c>
      <c r="J8" s="766"/>
      <c r="K8" s="1790">
        <f>(H8+I8)-J8</f>
        <v>11583985</v>
      </c>
      <c r="L8" s="1790">
        <f>F8-K8</f>
        <v>22552904</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1100264</v>
      </c>
      <c r="D10" s="847">
        <v>31459</v>
      </c>
      <c r="E10" s="847"/>
      <c r="F10" s="1785">
        <f>(C10+D10)-E10</f>
        <v>1131723</v>
      </c>
      <c r="G10" s="844">
        <v>20</v>
      </c>
      <c r="H10" s="848">
        <v>754777</v>
      </c>
      <c r="I10" s="848">
        <v>42086</v>
      </c>
      <c r="J10" s="848"/>
      <c r="K10" s="1790">
        <f>(H10+I10)-J10</f>
        <v>796863</v>
      </c>
      <c r="L10" s="1790">
        <f>F10-K10</f>
        <v>334860</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3060558</v>
      </c>
      <c r="D12" s="845">
        <v>741401</v>
      </c>
      <c r="E12" s="845">
        <v>301103</v>
      </c>
      <c r="F12" s="1781">
        <f>(C12+D12)-E12</f>
        <v>3500856</v>
      </c>
      <c r="G12" s="844">
        <v>10</v>
      </c>
      <c r="H12" s="766">
        <v>1603850</v>
      </c>
      <c r="I12" s="766">
        <v>284415</v>
      </c>
      <c r="J12" s="766">
        <v>301103</v>
      </c>
      <c r="K12" s="1790">
        <f>(H12+I12)-J12</f>
        <v>1587162</v>
      </c>
      <c r="L12" s="1790">
        <f>F12-K12</f>
        <v>1913694</v>
      </c>
    </row>
    <row r="13" spans="1:14" ht="14.25" thickTop="1" thickBot="1" x14ac:dyDescent="0.25">
      <c r="A13" s="849" t="s">
        <v>1184</v>
      </c>
      <c r="B13" s="841">
        <v>252</v>
      </c>
      <c r="C13" s="845">
        <v>118622</v>
      </c>
      <c r="D13" s="845"/>
      <c r="E13" s="845"/>
      <c r="F13" s="1781">
        <f>(C13+D13)-E13</f>
        <v>118622</v>
      </c>
      <c r="G13" s="844">
        <v>5</v>
      </c>
      <c r="H13" s="766">
        <v>95109</v>
      </c>
      <c r="I13" s="766">
        <v>1308</v>
      </c>
      <c r="J13" s="766"/>
      <c r="K13" s="1790">
        <f>(H13+I13)-J13</f>
        <v>96417</v>
      </c>
      <c r="L13" s="1790">
        <f>F13-K13</f>
        <v>22205</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40782815</v>
      </c>
      <c r="D16" s="1781">
        <f>SUM(D3,D5:D6,D8:D10,D12:D15)</f>
        <v>976360</v>
      </c>
      <c r="E16" s="1781">
        <f>SUM(E3,E5:E6,E8:E10,E12:E15)</f>
        <v>301103</v>
      </c>
      <c r="F16" s="1781">
        <f>SUM(F3,F5:F6,F8:F10,F12:F15)</f>
        <v>41458072</v>
      </c>
      <c r="G16" s="844"/>
      <c r="H16" s="1781">
        <f>SUM(H3,H6,H8:H10,H12:H14,)</f>
        <v>13398371</v>
      </c>
      <c r="I16" s="1781">
        <f>SUM(I3,I6,I8:I10,I12:I14,)</f>
        <v>967159</v>
      </c>
      <c r="J16" s="1781">
        <f>SUM(J3,J6,J8:J10,J12:J14,)</f>
        <v>301103</v>
      </c>
      <c r="K16" s="1781">
        <f>(H16+I16)-J16</f>
        <v>14064427</v>
      </c>
      <c r="L16" s="1781">
        <f>F16-K16</f>
        <v>27393645</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967159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sqref="A1:F1"/>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1699</v>
      </c>
      <c r="B1" s="2287"/>
      <c r="C1" s="2287"/>
      <c r="D1" s="2287"/>
      <c r="E1" s="2287"/>
      <c r="F1" s="2288"/>
      <c r="G1" s="856"/>
    </row>
    <row r="2" spans="1:7" ht="15" customHeight="1" thickBot="1" x14ac:dyDescent="0.25">
      <c r="A2" s="2289" t="s">
        <v>498</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2"/>
      <c r="B5" s="2293"/>
      <c r="C5" s="2293"/>
      <c r="D5" s="2293"/>
      <c r="E5" s="2293"/>
      <c r="F5" s="2293"/>
    </row>
    <row r="6" spans="1:7" ht="13.5" customHeight="1" thickBot="1" x14ac:dyDescent="0.25">
      <c r="A6" s="2283" t="s">
        <v>1166</v>
      </c>
      <c r="B6" s="2284"/>
      <c r="C6" s="2284"/>
      <c r="D6" s="2284"/>
      <c r="E6" s="2284"/>
      <c r="F6" s="228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12430713</v>
      </c>
      <c r="G8" s="866"/>
    </row>
    <row r="9" spans="1:7" x14ac:dyDescent="0.2">
      <c r="A9" s="870" t="s">
        <v>480</v>
      </c>
      <c r="B9" s="871" t="s">
        <v>1989</v>
      </c>
      <c r="C9" s="872"/>
      <c r="D9" s="870" t="s">
        <v>522</v>
      </c>
      <c r="E9" s="869"/>
      <c r="F9" s="1934">
        <f>'Expenditures 15-22'!K151</f>
        <v>1205624</v>
      </c>
      <c r="G9" s="873"/>
    </row>
    <row r="10" spans="1:7" x14ac:dyDescent="0.2">
      <c r="A10" s="870" t="s">
        <v>520</v>
      </c>
      <c r="B10" s="871" t="s">
        <v>1990</v>
      </c>
      <c r="C10" s="872"/>
      <c r="D10" s="870" t="s">
        <v>522</v>
      </c>
      <c r="E10" s="869"/>
      <c r="F10" s="1934">
        <f>'Expenditures 15-22'!K174</f>
        <v>1791567</v>
      </c>
      <c r="G10" s="873"/>
    </row>
    <row r="11" spans="1:7" x14ac:dyDescent="0.2">
      <c r="A11" s="870" t="s">
        <v>481</v>
      </c>
      <c r="B11" s="871" t="s">
        <v>1991</v>
      </c>
      <c r="C11" s="872"/>
      <c r="D11" s="870" t="s">
        <v>522</v>
      </c>
      <c r="E11" s="869"/>
      <c r="F11" s="1934">
        <f>'Expenditures 15-22'!K210</f>
        <v>1542358</v>
      </c>
      <c r="G11" s="873"/>
    </row>
    <row r="12" spans="1:7" x14ac:dyDescent="0.2">
      <c r="A12" s="870" t="s">
        <v>482</v>
      </c>
      <c r="B12" s="871" t="s">
        <v>1992</v>
      </c>
      <c r="C12" s="872"/>
      <c r="D12" s="870" t="s">
        <v>522</v>
      </c>
      <c r="E12" s="869"/>
      <c r="F12" s="1934">
        <f>'Expenditures 15-22'!K295</f>
        <v>457965</v>
      </c>
      <c r="G12" s="873"/>
    </row>
    <row r="13" spans="1:7" x14ac:dyDescent="0.2">
      <c r="A13" s="870" t="s">
        <v>108</v>
      </c>
      <c r="B13" s="871" t="s">
        <v>1993</v>
      </c>
      <c r="C13" s="872"/>
      <c r="D13" s="870" t="s">
        <v>522</v>
      </c>
      <c r="E13" s="869"/>
      <c r="F13" s="1934">
        <f>'Expenditures 15-22'!K342</f>
        <v>469650</v>
      </c>
      <c r="G13" s="874"/>
    </row>
    <row r="14" spans="1:7" ht="12" customHeight="1" thickBot="1" x14ac:dyDescent="0.25">
      <c r="A14" s="1791"/>
      <c r="B14" s="1792"/>
      <c r="C14" s="1793"/>
      <c r="D14" s="1794" t="s">
        <v>522</v>
      </c>
      <c r="E14" s="1795" t="s">
        <v>1015</v>
      </c>
      <c r="F14" s="1796">
        <f>SUM(F8:F13)</f>
        <v>17897877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107862</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4778</v>
      </c>
      <c r="G52" s="866"/>
    </row>
    <row r="53" spans="1:7" x14ac:dyDescent="0.2">
      <c r="A53" s="870" t="s">
        <v>479</v>
      </c>
      <c r="B53" s="870" t="s">
        <v>1551</v>
      </c>
      <c r="C53" s="890">
        <f>'Expenditures 15-22'!B102</f>
        <v>4000</v>
      </c>
      <c r="D53" s="889" t="str">
        <f>'Expenditures 15-22'!A102</f>
        <v>Total Payments to Other Govt Units</v>
      </c>
      <c r="E53" s="869"/>
      <c r="F53" s="1938">
        <f>'Expenditures 15-22'!K102</f>
        <v>476318</v>
      </c>
      <c r="G53" s="866"/>
    </row>
    <row r="54" spans="1:7" x14ac:dyDescent="0.2">
      <c r="A54" s="870" t="s">
        <v>479</v>
      </c>
      <c r="B54" s="870" t="s">
        <v>1552</v>
      </c>
      <c r="C54" s="890" t="s">
        <v>1039</v>
      </c>
      <c r="D54" s="886" t="s">
        <v>1157</v>
      </c>
      <c r="E54" s="869"/>
      <c r="F54" s="1938">
        <f>'Expenditures 15-22'!G114</f>
        <v>652614</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61309</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1263520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36188</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1483</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2</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2604074</v>
      </c>
      <c r="G76" s="866"/>
    </row>
    <row r="77" spans="1:8" s="894" customFormat="1" ht="12" customHeight="1" thickTop="1" thickBot="1" x14ac:dyDescent="0.25">
      <c r="A77" s="1800"/>
      <c r="B77" s="1797"/>
      <c r="C77" s="1793"/>
      <c r="D77" s="1798" t="s">
        <v>2012</v>
      </c>
      <c r="E77" s="1795"/>
      <c r="F77" s="1801">
        <f>(F14-F76)</f>
        <v>15293803</v>
      </c>
      <c r="G77" s="870"/>
    </row>
    <row r="78" spans="1:8" s="894" customFormat="1" ht="12" customHeight="1" thickTop="1" x14ac:dyDescent="0.2">
      <c r="A78" s="1802"/>
      <c r="B78" s="1797"/>
      <c r="C78" s="1793"/>
      <c r="D78" s="1798" t="s">
        <v>2059</v>
      </c>
      <c r="E78" s="1795"/>
      <c r="F78" s="899">
        <v>1681.42</v>
      </c>
      <c r="G78" s="900"/>
      <c r="H78" s="870"/>
    </row>
    <row r="79" spans="1:8" s="894" customFormat="1" ht="12" customHeight="1" thickBot="1" x14ac:dyDescent="0.25">
      <c r="A79" s="1803"/>
      <c r="B79" s="1797"/>
      <c r="C79" s="1793"/>
      <c r="D79" s="1798" t="s">
        <v>2013</v>
      </c>
      <c r="E79" s="1795" t="s">
        <v>1015</v>
      </c>
      <c r="F79" s="1804">
        <f>IF(F78&gt;0,F77/F78," Complete Line 78")</f>
        <v>9095.7660786715987</v>
      </c>
      <c r="G79" s="870"/>
    </row>
    <row r="80" spans="1:8" s="894" customFormat="1" ht="8.25" customHeight="1" thickTop="1" x14ac:dyDescent="0.2">
      <c r="A80" s="901"/>
      <c r="B80" s="870"/>
      <c r="C80" s="872"/>
      <c r="D80" s="902"/>
      <c r="E80" s="869"/>
      <c r="F80" s="903"/>
      <c r="G80" s="870"/>
    </row>
    <row r="81" spans="1:7" s="894" customFormat="1" ht="12" thickBot="1" x14ac:dyDescent="0.25">
      <c r="A81" s="2283" t="s">
        <v>1167</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362301</v>
      </c>
      <c r="G94" s="913"/>
    </row>
    <row r="95" spans="1:7" x14ac:dyDescent="0.2">
      <c r="A95" s="909" t="s">
        <v>142</v>
      </c>
      <c r="B95" s="909" t="s">
        <v>177</v>
      </c>
      <c r="C95" s="911">
        <v>1700</v>
      </c>
      <c r="D95" s="919" t="str">
        <f>'Revenues 9-14'!A82</f>
        <v>Total District/School Activity Income</v>
      </c>
      <c r="E95" s="907"/>
      <c r="F95" s="1810">
        <f>SUM('Revenues 9-14'!C82,'Revenues 9-14'!D82)</f>
        <v>273774</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49401</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233677</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10189</v>
      </c>
      <c r="G106" s="913"/>
    </row>
    <row r="107" spans="1:7" x14ac:dyDescent="0.2">
      <c r="A107" s="922" t="s">
        <v>685</v>
      </c>
      <c r="B107" s="909" t="s">
        <v>843</v>
      </c>
      <c r="C107" s="921">
        <v>3300</v>
      </c>
      <c r="D107" s="912" t="str">
        <f>'Revenues 9-14'!A144</f>
        <v>Total Bilingual Ed</v>
      </c>
      <c r="E107" s="907"/>
      <c r="F107" s="1810">
        <f>SUM('Revenues 9-14'!C144,'Revenues 9-14'!G144)</f>
        <v>31989</v>
      </c>
      <c r="G107" s="913"/>
    </row>
    <row r="108" spans="1:7" x14ac:dyDescent="0.2">
      <c r="A108" s="909" t="s">
        <v>479</v>
      </c>
      <c r="B108" s="909" t="s">
        <v>844</v>
      </c>
      <c r="C108" s="921">
        <f>'Revenues 9-14'!B145</f>
        <v>3360</v>
      </c>
      <c r="D108" s="912" t="str">
        <f>'Revenues 9-14'!A145</f>
        <v>State Free Lunch &amp; Breakfast</v>
      </c>
      <c r="E108" s="907"/>
      <c r="F108" s="1810">
        <f>'Revenues 9-14'!C145</f>
        <v>3362</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24594</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1091958</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2351</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246539</v>
      </c>
      <c r="G129" s="931"/>
    </row>
    <row r="130" spans="1:7" x14ac:dyDescent="0.2">
      <c r="A130" s="928" t="s">
        <v>689</v>
      </c>
      <c r="B130" s="928" t="s">
        <v>804</v>
      </c>
      <c r="C130" s="933">
        <v>4300</v>
      </c>
      <c r="D130" s="934" t="str">
        <f>'Revenues 9-14'!A211</f>
        <v>Total Title I</v>
      </c>
      <c r="E130" s="907"/>
      <c r="F130" s="1810">
        <f>SUM('Revenues 9-14'!C211,'Revenues 9-14'!D211,'Revenues 9-14'!F211,'Revenues 9-14'!G211)</f>
        <v>210071</v>
      </c>
      <c r="G130" s="931"/>
    </row>
    <row r="131" spans="1:7" x14ac:dyDescent="0.2">
      <c r="A131" s="928" t="s">
        <v>689</v>
      </c>
      <c r="B131" s="928" t="s">
        <v>805</v>
      </c>
      <c r="C131" s="933">
        <v>4400</v>
      </c>
      <c r="D131" s="934" t="str">
        <f>'Revenues 9-14'!A216</f>
        <v>Total Title IV</v>
      </c>
      <c r="E131" s="907"/>
      <c r="F131" s="1810">
        <f>SUM('Revenues 9-14'!C216,'Revenues 9-14'!D216,'Revenues 9-14'!F216,'Revenues 9-14'!G216)</f>
        <v>535</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91512</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1659</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7800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62732</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23835</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2728279</v>
      </c>
    </row>
    <row r="179" spans="1:7" ht="12" customHeight="1" x14ac:dyDescent="0.2">
      <c r="A179" s="1791"/>
      <c r="B179" s="1805"/>
      <c r="C179" s="1806"/>
      <c r="D179" s="1807" t="s">
        <v>2015</v>
      </c>
      <c r="E179" s="1808"/>
      <c r="F179" s="1810">
        <f>'PCTC-OEPP 27-28'!F77-F178</f>
        <v>12565524</v>
      </c>
    </row>
    <row r="180" spans="1:7" ht="12" customHeight="1" x14ac:dyDescent="0.2">
      <c r="A180" s="1791"/>
      <c r="B180" s="1805"/>
      <c r="C180" s="1806"/>
      <c r="D180" s="1807" t="s">
        <v>1924</v>
      </c>
      <c r="E180" s="1808"/>
      <c r="F180" s="1810">
        <f>'Cap Outlay Deprec 26'!I18</f>
        <v>967159</v>
      </c>
    </row>
    <row r="181" spans="1:7" ht="12" customHeight="1" x14ac:dyDescent="0.2">
      <c r="A181" s="1791"/>
      <c r="B181" s="1805"/>
      <c r="C181" s="1806"/>
      <c r="D181" s="1807" t="s">
        <v>2016</v>
      </c>
      <c r="E181" s="1808"/>
      <c r="F181" s="1810">
        <f>F179+F180</f>
        <v>13532683</v>
      </c>
    </row>
    <row r="182" spans="1:7" ht="12" customHeight="1" x14ac:dyDescent="0.2">
      <c r="A182" s="1791"/>
      <c r="B182" s="1811"/>
      <c r="C182" s="1806"/>
      <c r="D182" s="1807" t="str">
        <f>D78</f>
        <v>9 Month ADA from District Average Daily Attendance/Prior General State Aid Inquiry 2017-2018</v>
      </c>
      <c r="E182" s="1808"/>
      <c r="F182" s="1812">
        <f>'PCTC-OEPP 27-28'!F78</f>
        <v>1681.42</v>
      </c>
      <c r="G182" s="931"/>
    </row>
    <row r="183" spans="1:7" ht="12" customHeight="1" thickBot="1" x14ac:dyDescent="0.25">
      <c r="A183" s="1791"/>
      <c r="B183" s="1811"/>
      <c r="C183" s="1806"/>
      <c r="D183" s="1807" t="s">
        <v>2017</v>
      </c>
      <c r="E183" s="1808" t="s">
        <v>1626</v>
      </c>
      <c r="F183" s="1813">
        <f>F181/F182</f>
        <v>8048.3656671147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sqref="A1:F1"/>
      <selection pane="bottomLeft" activeCell="B21" sqref="B21"/>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7" t="s">
        <v>1925</v>
      </c>
      <c r="B4" s="2298"/>
      <c r="C4" s="2298"/>
      <c r="D4" s="2298"/>
      <c r="E4" s="2298"/>
      <c r="F4" s="2298"/>
      <c r="G4" s="2299"/>
    </row>
    <row r="5" spans="1:7" x14ac:dyDescent="0.25">
      <c r="A5" s="2300"/>
      <c r="B5" s="2301"/>
      <c r="C5" s="2301"/>
      <c r="D5" s="2301"/>
      <c r="E5" s="2301"/>
      <c r="F5" s="2301"/>
      <c r="G5" s="2302"/>
    </row>
    <row r="6" spans="1:7" ht="18.75" x14ac:dyDescent="0.25">
      <c r="A6" s="1555" t="s">
        <v>1926</v>
      </c>
      <c r="B6" s="1556"/>
      <c r="C6" s="1556"/>
      <c r="D6" s="1556"/>
      <c r="E6" s="1556"/>
      <c r="F6" s="1556"/>
      <c r="G6" s="1557"/>
    </row>
    <row r="7" spans="1:7" ht="30.75" customHeight="1" x14ac:dyDescent="0.25">
      <c r="A7" s="2303" t="s">
        <v>2075</v>
      </c>
      <c r="B7" s="2304"/>
      <c r="C7" s="2304"/>
      <c r="D7" s="2304"/>
      <c r="E7" s="2304"/>
      <c r="F7" s="2304"/>
      <c r="G7" s="2305"/>
    </row>
    <row r="8" spans="1:7" ht="15.75" customHeight="1" x14ac:dyDescent="0.25">
      <c r="A8" s="2306" t="s">
        <v>2024</v>
      </c>
      <c r="B8" s="2307"/>
      <c r="C8" s="2307"/>
      <c r="D8" s="2307"/>
      <c r="E8" s="2307"/>
      <c r="F8" s="2307"/>
      <c r="G8" s="2308"/>
    </row>
    <row r="9" spans="1:7" ht="35.25" customHeight="1" x14ac:dyDescent="0.25">
      <c r="A9" s="2303" t="s">
        <v>2023</v>
      </c>
      <c r="B9" s="2304"/>
      <c r="C9" s="2304"/>
      <c r="D9" s="2304"/>
      <c r="E9" s="2304"/>
      <c r="F9" s="2304"/>
      <c r="G9" s="2305"/>
    </row>
    <row r="10" spans="1:7" ht="15" customHeight="1" x14ac:dyDescent="0.25">
      <c r="A10" s="1558" t="s">
        <v>1927</v>
      </c>
      <c r="B10" s="1559"/>
      <c r="C10" s="1559"/>
      <c r="D10" s="1559"/>
      <c r="E10" s="1559"/>
      <c r="F10" s="1559"/>
      <c r="G10" s="1560"/>
    </row>
    <row r="11" spans="1:7" ht="17.25" customHeight="1" x14ac:dyDescent="0.25">
      <c r="A11" s="2303" t="s">
        <v>1941</v>
      </c>
      <c r="B11" s="2304"/>
      <c r="C11" s="2304"/>
      <c r="D11" s="2304"/>
      <c r="E11" s="2304"/>
      <c r="F11" s="2304"/>
      <c r="G11" s="2305"/>
    </row>
    <row r="12" spans="1:7" ht="15" customHeight="1" x14ac:dyDescent="0.25">
      <c r="A12" s="1558" t="s">
        <v>1932</v>
      </c>
      <c r="B12" s="1559"/>
      <c r="C12" s="1559"/>
      <c r="D12" s="1559"/>
      <c r="E12" s="1559"/>
      <c r="F12" s="1559"/>
      <c r="G12" s="1560"/>
    </row>
    <row r="13" spans="1:7" ht="32.25" customHeight="1" x14ac:dyDescent="0.25">
      <c r="A13" s="2294" t="s">
        <v>1933</v>
      </c>
      <c r="B13" s="2295"/>
      <c r="C13" s="2295"/>
      <c r="D13" s="2295"/>
      <c r="E13" s="2295"/>
      <c r="F13" s="2295"/>
      <c r="G13" s="2296"/>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2" t="s">
        <v>2147</v>
      </c>
      <c r="B17" s="1964" t="s">
        <v>2105</v>
      </c>
      <c r="C17" s="1956" t="s">
        <v>2104</v>
      </c>
      <c r="D17" s="1866">
        <v>41773</v>
      </c>
      <c r="E17" s="1561">
        <f t="shared" ref="E17:E141" si="1">IF(D17&lt;=25000,D17,IF(D17&gt;25000,25000,0))</f>
        <v>25000</v>
      </c>
      <c r="F17" s="1814">
        <f t="shared" si="0"/>
        <v>25000</v>
      </c>
      <c r="G17" s="1815">
        <f>IF(F17=0,0,D17-F17)</f>
        <v>16773</v>
      </c>
      <c r="H17" s="1668"/>
    </row>
    <row r="18" spans="1:8" x14ac:dyDescent="0.25">
      <c r="A18" s="1962" t="s">
        <v>2147</v>
      </c>
      <c r="B18" s="1955" t="s">
        <v>2105</v>
      </c>
      <c r="C18" s="1956" t="s">
        <v>2106</v>
      </c>
      <c r="D18" s="1866">
        <v>26000</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1000</v>
      </c>
    </row>
    <row r="19" spans="1:8" x14ac:dyDescent="0.25">
      <c r="A19" s="1962" t="s">
        <v>2150</v>
      </c>
      <c r="B19" s="1955" t="s">
        <v>2107</v>
      </c>
      <c r="C19" s="1963" t="s">
        <v>2146</v>
      </c>
      <c r="D19" s="1866">
        <v>86766</v>
      </c>
      <c r="E19" s="1561">
        <f t="shared" si="2"/>
        <v>25000</v>
      </c>
      <c r="F19" s="1814">
        <f t="shared" si="3"/>
        <v>25000</v>
      </c>
      <c r="G19" s="1815">
        <f t="shared" si="4"/>
        <v>61766</v>
      </c>
    </row>
    <row r="20" spans="1:8" x14ac:dyDescent="0.25">
      <c r="A20" s="1962" t="s">
        <v>2148</v>
      </c>
      <c r="B20" s="1955" t="s">
        <v>2108</v>
      </c>
      <c r="C20" s="1963" t="s">
        <v>2151</v>
      </c>
      <c r="D20" s="1866">
        <v>708761</v>
      </c>
      <c r="E20" s="1561">
        <f t="shared" si="2"/>
        <v>25000</v>
      </c>
      <c r="F20" s="1814">
        <f t="shared" si="3"/>
        <v>25000</v>
      </c>
      <c r="G20" s="1815">
        <f t="shared" si="4"/>
        <v>683761</v>
      </c>
    </row>
    <row r="21" spans="1:8" x14ac:dyDescent="0.25">
      <c r="A21" s="1962" t="s">
        <v>2149</v>
      </c>
      <c r="B21" s="1955" t="s">
        <v>2109</v>
      </c>
      <c r="C21" s="1963" t="s">
        <v>2151</v>
      </c>
      <c r="D21" s="1866">
        <v>329218</v>
      </c>
      <c r="E21" s="1561">
        <f t="shared" si="2"/>
        <v>25000</v>
      </c>
      <c r="F21" s="1814">
        <f t="shared" si="3"/>
        <v>25000</v>
      </c>
      <c r="G21" s="1815">
        <f t="shared" si="4"/>
        <v>304218</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1192518</v>
      </c>
      <c r="E141" s="1562">
        <f t="shared" si="1"/>
        <v>25000</v>
      </c>
      <c r="F141" s="1816">
        <f>SUM(F17:F140)</f>
        <v>125000</v>
      </c>
      <c r="G141" s="1817">
        <f>SUM(G17:G140)</f>
        <v>1067518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9" t="s">
        <v>1778</v>
      </c>
      <c r="B5" s="2310"/>
      <c r="C5" s="2310"/>
      <c r="D5" s="2310"/>
      <c r="E5" s="2310"/>
      <c r="F5" s="2310"/>
      <c r="G5" s="2311"/>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246539</v>
      </c>
      <c r="F10" s="975"/>
      <c r="G10" s="976"/>
      <c r="H10" s="162"/>
      <c r="I10" s="162"/>
    </row>
    <row r="11" spans="1:9" s="669" customFormat="1" ht="22.5" customHeight="1" x14ac:dyDescent="0.2">
      <c r="A11" s="2314" t="s">
        <v>1945</v>
      </c>
      <c r="B11" s="2315"/>
      <c r="C11" s="2315"/>
      <c r="D11" s="2316"/>
      <c r="E11" s="978">
        <v>36152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8449641</v>
      </c>
      <c r="F19" s="1821"/>
      <c r="G19" s="1823">
        <f>'Expenditures 15-22'!K33-SUM('Expenditures 15-22'!G33,'Expenditures 15-22'!I33)+'Expenditures 15-22'!D229</f>
        <v>8449641</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373620</v>
      </c>
      <c r="F21" s="1824"/>
      <c r="G21" s="1827">
        <f>'Expenditures 15-22'!K42-SUM('Expenditures 15-22'!G42,'Expenditures 15-22'!I42)+'Expenditures 15-22'!K120-SUM('Expenditures 15-22'!G120,'Expenditures 15-22'!I120)+'Expenditures 15-22'!K180-SUM('Expenditures 15-22'!G180,'Expenditures 15-22'!I180)+'Expenditures 15-22'!D238</f>
        <v>373620</v>
      </c>
      <c r="H21" s="988"/>
      <c r="I21" s="162"/>
    </row>
    <row r="22" spans="1:9" s="669" customFormat="1" ht="12" customHeight="1" x14ac:dyDescent="0.2">
      <c r="A22" s="995" t="s">
        <v>585</v>
      </c>
      <c r="B22" s="996"/>
      <c r="C22" s="994">
        <v>2200</v>
      </c>
      <c r="D22" s="1824"/>
      <c r="E22" s="1826">
        <f>'Expenditures 15-22'!K47-SUM('Expenditures 15-22'!G47,'Expenditures 15-22'!I47)+'Expenditures 15-22'!D243</f>
        <v>409057</v>
      </c>
      <c r="F22" s="1824"/>
      <c r="G22" s="1827">
        <f>'Expenditures 15-22'!K47-SUM('Expenditures 15-22'!G47,'Expenditures 15-22'!I47)+'Expenditures 15-22'!D243</f>
        <v>409057</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1047237</v>
      </c>
      <c r="F23" s="1824"/>
      <c r="G23" s="1826">
        <f>'Expenditures 15-22'!K53-SUM('Expenditures 15-22'!G53,'Expenditures 15-22'!I53)+'Expenditures 15-22'!D257+'Expenditures 15-22'!K330-SUM('Expenditures 15-22'!G330,'Expenditures 15-22'!I330)</f>
        <v>1047237</v>
      </c>
      <c r="H23" s="988"/>
      <c r="I23" s="162"/>
    </row>
    <row r="24" spans="1:9" s="669" customFormat="1" ht="12" customHeight="1" x14ac:dyDescent="0.2">
      <c r="A24" s="995" t="s">
        <v>587</v>
      </c>
      <c r="B24" s="996"/>
      <c r="C24" s="994">
        <v>2400</v>
      </c>
      <c r="D24" s="1824"/>
      <c r="E24" s="1826">
        <f>'Expenditures 15-22'!K57-SUM('Expenditures 15-22'!G57,'Expenditures 15-22'!I57)+'Expenditures 15-22'!D261</f>
        <v>888058</v>
      </c>
      <c r="F24" s="1824"/>
      <c r="G24" s="1827">
        <f>'Expenditures 15-22'!K57-SUM('Expenditures 15-22'!G57,'Expenditures 15-22'!I57)+'Expenditures 15-22'!D261</f>
        <v>888058</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71033</v>
      </c>
      <c r="E27" s="1826">
        <f>E8</f>
        <v>0</v>
      </c>
      <c r="F27" s="1826">
        <f>'Expenditures 15-22'!K60-SUM('Expenditures 15-22'!G60,'Expenditures 15-22'!I60)+'Expenditures 15-22'!D264-E8</f>
        <v>71033</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1219886</v>
      </c>
      <c r="F28" s="1828">
        <f>'Expenditures 15-22'!K61-SUM('Expenditures 15-22'!G61,'Expenditures 15-22'!I61)+'Expenditures 15-22'!K124-SUM('Expenditures 15-22'!G124,'Expenditures 15-22'!I124)+'Expenditures 15-22'!D266-E9</f>
        <v>1219886</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1591414</v>
      </c>
      <c r="F29" s="1824"/>
      <c r="G29" s="1827">
        <f>'Expenditures 15-22'!K62-SUM('Expenditures 15-22'!G62,'Expenditures 15-22'!I62)+'Expenditures 15-22'!K125-SUM('Expenditures 15-22'!G125,'Expenditures 15-22'!I125)+'Expenditures 15-22'!K182-SUM('Expenditures 15-22'!G182,'Expenditures 15-22'!I182)+'Expenditures 15-22'!D267</f>
        <v>1591414</v>
      </c>
      <c r="H29" s="986"/>
    </row>
    <row r="30" spans="1:9" ht="12" customHeight="1" x14ac:dyDescent="0.2">
      <c r="A30" s="995" t="s">
        <v>102</v>
      </c>
      <c r="B30" s="998"/>
      <c r="C30" s="994">
        <v>2560</v>
      </c>
      <c r="D30" s="1824"/>
      <c r="E30" s="1826">
        <f>'Expenditures 15-22'!K63-SUM('Expenditures 15-22'!G63,'Expenditures 15-22'!I63)+'Expenditures 15-22'!D268-E10</f>
        <v>277597</v>
      </c>
      <c r="F30" s="1824"/>
      <c r="G30" s="1826">
        <f>'Expenditures 15-22'!K63-SUM('Expenditures 15-22'!G63,'Expenditures 15-22'!I63)+'Expenditures 15-22'!D268-E10</f>
        <v>277597</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266361</v>
      </c>
      <c r="F35" s="1824"/>
      <c r="G35" s="1826">
        <f>'Expenditures 15-22'!K69-SUM('Expenditures 15-22'!G69,'Expenditures 15-22'!I69)+'Expenditures 15-22'!D274</f>
        <v>266361</v>
      </c>
    </row>
    <row r="36" spans="1:7" ht="12" customHeight="1" x14ac:dyDescent="0.2">
      <c r="A36" s="995" t="s">
        <v>423</v>
      </c>
      <c r="B36" s="998"/>
      <c r="C36" s="994">
        <v>2640</v>
      </c>
      <c r="D36" s="1826">
        <f>'Expenditures 15-22'!K70-SUM('Expenditures 15-22'!G70,'Expenditures 15-22'!I70)+'Expenditures 15-22'!D275-E13</f>
        <v>30657</v>
      </c>
      <c r="E36" s="1826">
        <f>E13</f>
        <v>0</v>
      </c>
      <c r="F36" s="1826">
        <f>'Expenditures 15-22'!K70-SUM('Expenditures 15-22'!G70,'Expenditures 15-22'!I70)+'Expenditures 15-22'!D275-E13</f>
        <v>30657</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4001</v>
      </c>
      <c r="F38" s="1824"/>
      <c r="G38" s="1826">
        <f>'Expenditures 15-22'!K73-SUM('Expenditures 15-22'!G73,'Expenditures 15-22'!I73)+'Expenditures 15-22'!K128-SUM('Expenditures 15-22'!G128,'Expenditures 15-22'!I128)+'Expenditures 15-22'!K183-SUM('Expenditures 15-22'!G183,'Expenditures 15-22'!I183)+'Expenditures 15-22'!D278</f>
        <v>4001</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4780</v>
      </c>
      <c r="F39" s="1824"/>
      <c r="G39" s="1826">
        <f>'Expenditures 15-22'!K75-SUM('Expenditures 15-22'!G75,'Expenditures 15-22'!I75)+'Expenditures 15-22'!K130-SUM('Expenditures 15-22'!G130,'Expenditures 15-22'!I130)+'Expenditures 15-22'!K185-SUM('Expenditures 15-22'!G185,'Expenditures 15-22'!I185)+'Expenditures 15-22'!D280</f>
        <v>4780</v>
      </c>
    </row>
    <row r="40" spans="1:7" ht="12" customHeight="1" x14ac:dyDescent="0.2">
      <c r="A40" s="991" t="s">
        <v>1930</v>
      </c>
      <c r="B40" s="992"/>
      <c r="C40" s="994"/>
      <c r="D40" s="1824"/>
      <c r="E40" s="1828">
        <f>-'Contracts Paid in CY 29'!G141</f>
        <v>-1067518</v>
      </c>
      <c r="F40" s="1824"/>
      <c r="G40" s="1828">
        <f>-'Contracts Paid in CY 29'!G141</f>
        <v>-1067518</v>
      </c>
    </row>
    <row r="41" spans="1:7" ht="12" customHeight="1" x14ac:dyDescent="0.2">
      <c r="A41" s="999" t="s">
        <v>158</v>
      </c>
      <c r="B41" s="1000"/>
      <c r="C41" s="1001"/>
      <c r="D41" s="1828">
        <f>SUM(D19:D39)</f>
        <v>101690</v>
      </c>
      <c r="E41" s="1828">
        <f>SUM(E19:E40)</f>
        <v>13464134</v>
      </c>
      <c r="F41" s="1828">
        <f>SUM(F19:F39)</f>
        <v>1321576</v>
      </c>
      <c r="G41" s="1828">
        <f>SUM(G19:G40)</f>
        <v>12244248</v>
      </c>
    </row>
    <row r="42" spans="1:7" x14ac:dyDescent="0.2">
      <c r="A42" s="988"/>
      <c r="B42" s="162"/>
      <c r="C42" s="1002"/>
      <c r="D42" s="2312" t="s">
        <v>543</v>
      </c>
      <c r="E42" s="2313"/>
      <c r="F42" s="1003" t="s">
        <v>544</v>
      </c>
      <c r="G42" s="1004"/>
    </row>
    <row r="43" spans="1:7" ht="12" customHeight="1" x14ac:dyDescent="0.2">
      <c r="A43" s="988"/>
      <c r="B43" s="162"/>
      <c r="C43" s="1002"/>
      <c r="D43" s="1829" t="s">
        <v>493</v>
      </c>
      <c r="E43" s="1830">
        <f>D41</f>
        <v>101690</v>
      </c>
      <c r="F43" s="1829" t="s">
        <v>495</v>
      </c>
      <c r="G43" s="1830">
        <f>F41</f>
        <v>1321576</v>
      </c>
    </row>
    <row r="44" spans="1:7" ht="12" customHeight="1" x14ac:dyDescent="0.2">
      <c r="A44" s="988"/>
      <c r="B44" s="162"/>
      <c r="C44" s="1002"/>
      <c r="D44" s="1829" t="s">
        <v>494</v>
      </c>
      <c r="E44" s="1830">
        <f>E41</f>
        <v>13464134</v>
      </c>
      <c r="F44" s="1829" t="s">
        <v>494</v>
      </c>
      <c r="G44" s="1830">
        <f>G41</f>
        <v>12244248</v>
      </c>
    </row>
    <row r="45" spans="1:7" ht="12" customHeight="1" x14ac:dyDescent="0.2">
      <c r="A45" s="988"/>
      <c r="B45" s="162"/>
      <c r="C45" s="162"/>
      <c r="D45" s="1831" t="s">
        <v>1063</v>
      </c>
      <c r="E45" s="1832">
        <f>(E43/E44)</f>
        <v>7.5526580469267466E-3</v>
      </c>
      <c r="F45" s="1831" t="s">
        <v>1063</v>
      </c>
      <c r="G45" s="1832">
        <f>(G43/G44)</f>
        <v>0.10793443582652033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sqref="A1:F1"/>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31" t="s">
        <v>1446</v>
      </c>
      <c r="B1" s="2331"/>
      <c r="C1" s="2331"/>
      <c r="D1" s="2331"/>
      <c r="E1" s="2331"/>
      <c r="F1" s="2331"/>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2" t="s">
        <v>1627</v>
      </c>
      <c r="B5" s="2333"/>
      <c r="C5" s="2334"/>
      <c r="D5" s="2334"/>
      <c r="E5" s="2334"/>
      <c r="F5" s="2334"/>
    </row>
    <row r="6" spans="1:10" ht="12" customHeight="1" x14ac:dyDescent="0.25">
      <c r="A6" s="1874"/>
      <c r="B6" s="1875"/>
      <c r="C6" s="2335" t="str">
        <f>COVER!A17</f>
        <v>Meridian CUSD 223</v>
      </c>
      <c r="D6" s="2335"/>
      <c r="E6" s="2335"/>
      <c r="F6" s="1876"/>
    </row>
    <row r="7" spans="1:10" ht="11.25" customHeight="1" thickBot="1" x14ac:dyDescent="0.3">
      <c r="A7" s="1874"/>
      <c r="B7" s="1875"/>
      <c r="C7" s="2336">
        <f>COVER!A13</f>
        <v>47071223026</v>
      </c>
      <c r="D7" s="2336"/>
      <c r="E7" s="2336"/>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t="s">
        <v>2077</v>
      </c>
      <c r="D13" s="1889" t="s">
        <v>2077</v>
      </c>
      <c r="E13" s="1892"/>
      <c r="F13" s="1891" t="s">
        <v>2110</v>
      </c>
      <c r="H13" s="1902">
        <f t="shared" si="0"/>
        <v>5</v>
      </c>
      <c r="I13" s="1902">
        <f t="shared" si="1"/>
        <v>5</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2077</v>
      </c>
      <c r="D16" s="1889" t="s">
        <v>2077</v>
      </c>
      <c r="E16" s="1892" t="s">
        <v>2077</v>
      </c>
      <c r="F16" s="1891" t="s">
        <v>2111</v>
      </c>
      <c r="H16" s="1902">
        <f t="shared" si="0"/>
        <v>5</v>
      </c>
      <c r="I16" s="1902">
        <f t="shared" si="1"/>
        <v>5</v>
      </c>
      <c r="J16" s="1902">
        <f t="shared" si="2"/>
        <v>5</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2077</v>
      </c>
      <c r="D19" s="1889" t="s">
        <v>2077</v>
      </c>
      <c r="E19" s="1892" t="s">
        <v>2077</v>
      </c>
      <c r="F19" s="1891" t="s">
        <v>2112</v>
      </c>
      <c r="H19" s="1902">
        <f t="shared" si="0"/>
        <v>5</v>
      </c>
      <c r="I19" s="1902">
        <f t="shared" si="1"/>
        <v>5</v>
      </c>
      <c r="J19" s="1902">
        <f t="shared" si="2"/>
        <v>5</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2077</v>
      </c>
      <c r="D25" s="1889" t="s">
        <v>2077</v>
      </c>
      <c r="E25" s="1892" t="s">
        <v>2077</v>
      </c>
      <c r="F25" s="1891" t="s">
        <v>2144</v>
      </c>
      <c r="H25" s="1902">
        <f t="shared" si="0"/>
        <v>5</v>
      </c>
      <c r="I25" s="1902">
        <f t="shared" si="1"/>
        <v>5</v>
      </c>
      <c r="J25" s="1902">
        <f t="shared" si="2"/>
        <v>5</v>
      </c>
    </row>
    <row r="26" spans="1:12" ht="12" customHeight="1" x14ac:dyDescent="0.2">
      <c r="A26" s="1887" t="s">
        <v>1615</v>
      </c>
      <c r="B26" s="1888"/>
      <c r="C26" s="1889" t="s">
        <v>2077</v>
      </c>
      <c r="D26" s="1889" t="s">
        <v>2077</v>
      </c>
      <c r="E26" s="1892" t="s">
        <v>2077</v>
      </c>
      <c r="F26" s="1891" t="s">
        <v>2113</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2077</v>
      </c>
      <c r="D28" s="1889" t="s">
        <v>2077</v>
      </c>
      <c r="E28" s="1892" t="s">
        <v>2077</v>
      </c>
      <c r="F28" s="1891" t="s">
        <v>2114</v>
      </c>
      <c r="H28" s="1902">
        <f t="shared" si="0"/>
        <v>5</v>
      </c>
      <c r="I28" s="1902">
        <f t="shared" si="1"/>
        <v>5</v>
      </c>
      <c r="J28" s="1902">
        <f t="shared" si="2"/>
        <v>5</v>
      </c>
    </row>
    <row r="29" spans="1:12" ht="12" customHeight="1" x14ac:dyDescent="0.2">
      <c r="A29" s="1887" t="s">
        <v>1618</v>
      </c>
      <c r="B29" s="1888"/>
      <c r="C29" s="1889" t="s">
        <v>2077</v>
      </c>
      <c r="D29" s="1889" t="s">
        <v>2077</v>
      </c>
      <c r="E29" s="1892" t="s">
        <v>2077</v>
      </c>
      <c r="F29" s="1891" t="s">
        <v>2115</v>
      </c>
      <c r="H29" s="1902">
        <f t="shared" si="0"/>
        <v>5</v>
      </c>
      <c r="I29" s="1902">
        <f t="shared" si="1"/>
        <v>5</v>
      </c>
      <c r="J29" s="1902">
        <f t="shared" si="2"/>
        <v>5</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2077</v>
      </c>
      <c r="D31" s="1889" t="s">
        <v>2077</v>
      </c>
      <c r="E31" s="1892" t="s">
        <v>2077</v>
      </c>
      <c r="F31" s="1891" t="s">
        <v>2116</v>
      </c>
      <c r="H31" s="1902">
        <f t="shared" si="0"/>
        <v>5</v>
      </c>
      <c r="I31" s="1902">
        <f t="shared" si="1"/>
        <v>5</v>
      </c>
      <c r="J31" s="1902">
        <f t="shared" si="2"/>
        <v>5</v>
      </c>
      <c r="L31" s="1893"/>
    </row>
    <row r="32" spans="1:12" ht="12" customHeight="1" x14ac:dyDescent="0.2">
      <c r="A32" s="1887" t="s">
        <v>1621</v>
      </c>
      <c r="B32" s="1888"/>
      <c r="C32" s="1889" t="s">
        <v>2077</v>
      </c>
      <c r="D32" s="1889" t="s">
        <v>2077</v>
      </c>
      <c r="E32" s="1892" t="s">
        <v>2077</v>
      </c>
      <c r="F32" s="1891" t="s">
        <v>2117</v>
      </c>
      <c r="H32" s="1902">
        <f t="shared" si="0"/>
        <v>5</v>
      </c>
      <c r="I32" s="1902">
        <f t="shared" si="1"/>
        <v>5</v>
      </c>
      <c r="J32" s="1902">
        <f t="shared" si="2"/>
        <v>5</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45</v>
      </c>
      <c r="I34" s="1902">
        <f>SUM(I11:I32)</f>
        <v>45</v>
      </c>
      <c r="J34" s="1902">
        <f>SUM(J11:J32)</f>
        <v>40</v>
      </c>
      <c r="K34" s="1902">
        <f>SUM(H34:J34)</f>
        <v>130</v>
      </c>
    </row>
    <row r="35" spans="1:11" ht="12" customHeight="1" x14ac:dyDescent="0.2">
      <c r="A35" s="1895" t="s">
        <v>1459</v>
      </c>
      <c r="B35" s="1896"/>
      <c r="C35" s="2337"/>
      <c r="D35" s="2337"/>
      <c r="E35" s="2337"/>
      <c r="F35" s="2338"/>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23"/>
      <c r="B38" s="2324"/>
      <c r="C38" s="2324"/>
      <c r="D38" s="2324"/>
      <c r="E38" s="2324"/>
      <c r="F38" s="2325"/>
    </row>
    <row r="39" spans="1:11" ht="4.5" hidden="1" customHeight="1" x14ac:dyDescent="0.2">
      <c r="A39" s="1897"/>
      <c r="B39" s="1897"/>
      <c r="C39" s="1897"/>
      <c r="D39" s="1897"/>
      <c r="E39" s="1897"/>
      <c r="F39" s="1897"/>
    </row>
    <row r="40" spans="1:11" s="1894" customFormat="1" ht="12" customHeight="1" x14ac:dyDescent="0.25">
      <c r="A40" s="1898" t="s">
        <v>1458</v>
      </c>
      <c r="B40" s="1899"/>
      <c r="C40" s="2326"/>
      <c r="D40" s="2326"/>
      <c r="E40" s="2326"/>
      <c r="F40" s="2327"/>
      <c r="H40" s="1903"/>
      <c r="I40" s="1903"/>
      <c r="J40" s="1903"/>
      <c r="K40" s="1903"/>
    </row>
    <row r="41" spans="1:11" s="1894" customFormat="1" ht="12" customHeight="1" x14ac:dyDescent="0.25">
      <c r="A41" s="2328"/>
      <c r="B41" s="2329"/>
      <c r="C41" s="2329"/>
      <c r="D41" s="2329"/>
      <c r="E41" s="2329"/>
      <c r="F41" s="2330"/>
      <c r="H41" s="1903"/>
      <c r="I41" s="1903"/>
      <c r="J41" s="1903"/>
      <c r="K41" s="1903"/>
    </row>
    <row r="42" spans="1:11" s="1894" customFormat="1" ht="12" customHeight="1" x14ac:dyDescent="0.25">
      <c r="A42" s="2328"/>
      <c r="B42" s="2329"/>
      <c r="C42" s="2329"/>
      <c r="D42" s="2329"/>
      <c r="E42" s="2329"/>
      <c r="F42" s="2330"/>
      <c r="H42" s="1903"/>
      <c r="I42" s="1903"/>
      <c r="J42" s="1903"/>
      <c r="K42" s="1903"/>
    </row>
    <row r="43" spans="1:11" s="1894" customFormat="1" ht="15" x14ac:dyDescent="0.25">
      <c r="A43" s="2317"/>
      <c r="B43" s="2318"/>
      <c r="C43" s="2318"/>
      <c r="D43" s="2318"/>
      <c r="E43" s="2318"/>
      <c r="F43" s="2319"/>
      <c r="H43" s="1903"/>
      <c r="I43" s="1903"/>
      <c r="J43" s="1903"/>
      <c r="K43" s="1903"/>
    </row>
    <row r="44" spans="1:11" s="1894" customFormat="1" ht="12" hidden="1" customHeight="1" x14ac:dyDescent="0.25">
      <c r="A44" s="2317"/>
      <c r="B44" s="2318"/>
      <c r="C44" s="2318"/>
      <c r="D44" s="2318"/>
      <c r="E44" s="2318"/>
      <c r="F44" s="231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4" t="str">
        <f>COVER!A17</f>
        <v>Meridian CUSD 223</v>
      </c>
      <c r="J6" s="2345"/>
      <c r="Q6" s="1685"/>
    </row>
    <row r="7" spans="1:17" x14ac:dyDescent="0.2">
      <c r="A7" s="2346" t="s">
        <v>924</v>
      </c>
      <c r="B7" s="2347"/>
      <c r="C7" s="2347"/>
      <c r="D7" s="2347"/>
      <c r="E7" s="2348"/>
      <c r="F7" s="1018"/>
      <c r="G7" s="1010"/>
      <c r="H7" s="1017" t="s">
        <v>390</v>
      </c>
      <c r="I7" s="2349">
        <f>COVER!A13</f>
        <v>47071223026</v>
      </c>
      <c r="J7" s="2349"/>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0" t="s">
        <v>502</v>
      </c>
      <c r="B11" s="2351"/>
      <c r="C11" s="235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266821</v>
      </c>
      <c r="F12" s="1040"/>
      <c r="G12" s="1833">
        <f t="shared" ref="G12:G18" si="0">SUM(E12:F12)</f>
        <v>266821</v>
      </c>
      <c r="H12" s="1041">
        <v>273075</v>
      </c>
      <c r="I12" s="1040"/>
      <c r="J12" s="1833">
        <f t="shared" ref="J12:J18" si="1">SUM(H12:I12)</f>
        <v>273075</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3" t="s">
        <v>7</v>
      </c>
      <c r="C18" s="2354"/>
      <c r="D18" s="235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266821</v>
      </c>
      <c r="F19" s="1835">
        <f t="shared" si="2"/>
        <v>0</v>
      </c>
      <c r="G19" s="1835">
        <f t="shared" si="2"/>
        <v>266821</v>
      </c>
      <c r="H19" s="1835">
        <f t="shared" si="2"/>
        <v>273075</v>
      </c>
      <c r="I19" s="1835">
        <f t="shared" si="2"/>
        <v>0</v>
      </c>
      <c r="J19" s="1835">
        <f t="shared" si="2"/>
        <v>273075</v>
      </c>
    </row>
    <row r="20" spans="1:10" ht="13.5" thickTop="1" x14ac:dyDescent="0.2">
      <c r="A20" s="1036">
        <v>9</v>
      </c>
      <c r="B20" s="2356" t="s">
        <v>1703</v>
      </c>
      <c r="C20" s="2356"/>
      <c r="D20" s="2357"/>
      <c r="E20" s="1047"/>
      <c r="F20" s="1047"/>
      <c r="G20" s="1047"/>
      <c r="H20" s="1047"/>
      <c r="I20" s="1047"/>
      <c r="J20" s="1836">
        <f>IF(AND(G19&gt;0,J19&gt;0),(((J19-G19)/G19)),"Enter Budget Data")</f>
        <v>2.3438934716532807E-2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1093</v>
      </c>
      <c r="D27" s="1053"/>
      <c r="E27" s="1054"/>
      <c r="F27" s="2358" t="s">
        <v>1589</v>
      </c>
      <c r="G27" s="2358"/>
    </row>
    <row r="28" spans="1:10" ht="28.5" customHeight="1" x14ac:dyDescent="0.2">
      <c r="B28" s="1048"/>
      <c r="C28" s="2360"/>
      <c r="D28" s="2360"/>
      <c r="E28" s="1055"/>
      <c r="F28" s="2360"/>
      <c r="G28" s="2360"/>
    </row>
    <row r="29" spans="1:10" x14ac:dyDescent="0.2">
      <c r="B29" s="1048"/>
      <c r="C29" s="1056" t="s">
        <v>1642</v>
      </c>
      <c r="E29" s="1057"/>
      <c r="F29" s="2359" t="s">
        <v>1590</v>
      </c>
      <c r="G29" s="235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1944</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c r="C39" s="2339" t="s">
        <v>937</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topLeftCell="A13" zoomScale="110" zoomScaleNormal="110" workbookViewId="0">
      <selection sqref="A1:F1"/>
    </sheetView>
  </sheetViews>
  <sheetFormatPr defaultRowHeight="12.75" x14ac:dyDescent="0.2"/>
  <cols>
    <col min="1" max="1" width="3" style="329" customWidth="1"/>
    <col min="2" max="2" width="9.5703125" style="1965" customWidth="1"/>
    <col min="3" max="3" width="6.28515625" style="1965" customWidth="1"/>
    <col min="4" max="4" width="6.5703125" style="1965" customWidth="1"/>
    <col min="5" max="5" width="8" style="1965" customWidth="1"/>
    <col min="6" max="6" width="31.85546875" style="329" customWidth="1"/>
    <col min="7" max="7" width="13.140625" style="329" customWidth="1"/>
    <col min="8" max="16384" width="9.140625" style="329"/>
  </cols>
  <sheetData>
    <row r="2" spans="1:7" x14ac:dyDescent="0.2">
      <c r="A2" s="389" t="s">
        <v>276</v>
      </c>
    </row>
    <row r="3" spans="1:7" x14ac:dyDescent="0.2">
      <c r="A3" s="329" t="s">
        <v>277</v>
      </c>
    </row>
    <row r="5" spans="1:7" x14ac:dyDescent="0.2">
      <c r="A5" s="1069"/>
      <c r="B5" s="1965" t="s">
        <v>2118</v>
      </c>
      <c r="C5" s="1965" t="s">
        <v>2119</v>
      </c>
      <c r="D5" s="1965" t="s">
        <v>1137</v>
      </c>
      <c r="E5" s="1965" t="s">
        <v>2120</v>
      </c>
      <c r="F5" s="329" t="s">
        <v>2121</v>
      </c>
      <c r="G5" s="329" t="s">
        <v>2122</v>
      </c>
    </row>
    <row r="6" spans="1:7" x14ac:dyDescent="0.2">
      <c r="A6" s="1069"/>
      <c r="B6" s="1965">
        <v>1999</v>
      </c>
      <c r="C6" s="1965">
        <v>11</v>
      </c>
      <c r="D6" s="1965" t="s">
        <v>479</v>
      </c>
      <c r="E6" s="1965">
        <v>107</v>
      </c>
      <c r="F6" s="329" t="s">
        <v>2123</v>
      </c>
      <c r="G6" s="1967">
        <v>47209</v>
      </c>
    </row>
    <row r="7" spans="1:7" x14ac:dyDescent="0.2">
      <c r="A7" s="1069"/>
      <c r="F7" s="329" t="s">
        <v>2124</v>
      </c>
      <c r="G7" s="1957">
        <v>17992</v>
      </c>
    </row>
    <row r="8" spans="1:7" x14ac:dyDescent="0.2">
      <c r="A8" s="1069"/>
      <c r="F8" s="329" t="s">
        <v>2125</v>
      </c>
      <c r="G8" s="1957">
        <v>2187</v>
      </c>
    </row>
    <row r="9" spans="1:7" x14ac:dyDescent="0.2">
      <c r="A9" s="1070"/>
      <c r="F9" s="329" t="s">
        <v>2126</v>
      </c>
      <c r="G9" s="1957">
        <v>2541</v>
      </c>
    </row>
    <row r="10" spans="1:7" x14ac:dyDescent="0.2">
      <c r="A10" s="1070"/>
      <c r="F10" s="329" t="s">
        <v>2127</v>
      </c>
      <c r="G10" s="1957">
        <v>3028</v>
      </c>
    </row>
    <row r="11" spans="1:7" x14ac:dyDescent="0.2">
      <c r="A11" s="1070"/>
      <c r="F11" s="329" t="s">
        <v>2128</v>
      </c>
      <c r="G11" s="1957">
        <v>8712</v>
      </c>
    </row>
    <row r="12" spans="1:7" x14ac:dyDescent="0.2">
      <c r="A12" s="1070"/>
      <c r="F12" s="329" t="s">
        <v>2129</v>
      </c>
      <c r="G12" s="1957">
        <v>7439</v>
      </c>
    </row>
    <row r="13" spans="1:7" x14ac:dyDescent="0.2">
      <c r="A13" s="1070"/>
      <c r="F13" s="329" t="s">
        <v>2130</v>
      </c>
      <c r="G13" s="1957">
        <v>1229</v>
      </c>
    </row>
    <row r="14" spans="1:7" x14ac:dyDescent="0.2">
      <c r="A14" s="1070"/>
      <c r="F14" s="329" t="s">
        <v>2131</v>
      </c>
      <c r="G14" s="1957">
        <v>1224</v>
      </c>
    </row>
    <row r="15" spans="1:7" x14ac:dyDescent="0.2">
      <c r="A15" s="1070"/>
      <c r="F15" s="329" t="s">
        <v>2132</v>
      </c>
      <c r="G15" s="1957">
        <v>1252</v>
      </c>
    </row>
    <row r="16" spans="1:7" x14ac:dyDescent="0.2">
      <c r="A16" s="1070"/>
      <c r="F16" s="329" t="s">
        <v>2133</v>
      </c>
      <c r="G16" s="1958">
        <v>1632</v>
      </c>
    </row>
    <row r="17" spans="1:7" ht="13.5" thickBot="1" x14ac:dyDescent="0.25">
      <c r="A17" s="1070"/>
      <c r="G17" s="1959">
        <f>SUM(G6:G16)</f>
        <v>94445</v>
      </c>
    </row>
    <row r="18" spans="1:7" ht="13.5" thickTop="1" x14ac:dyDescent="0.2">
      <c r="A18" s="1070"/>
    </row>
    <row r="19" spans="1:7" x14ac:dyDescent="0.2">
      <c r="A19" s="1070"/>
      <c r="B19" s="1965">
        <v>1999</v>
      </c>
      <c r="C19" s="1965">
        <v>11</v>
      </c>
      <c r="D19" s="1965" t="s">
        <v>480</v>
      </c>
      <c r="E19" s="1965">
        <v>107</v>
      </c>
      <c r="F19" s="329" t="s">
        <v>2152</v>
      </c>
      <c r="G19" s="1967">
        <v>10601</v>
      </c>
    </row>
    <row r="20" spans="1:7" x14ac:dyDescent="0.2">
      <c r="A20" s="1070"/>
      <c r="F20" s="329" t="s">
        <v>2153</v>
      </c>
      <c r="G20" s="1957">
        <v>1009</v>
      </c>
    </row>
    <row r="21" spans="1:7" x14ac:dyDescent="0.2">
      <c r="A21" s="1070"/>
      <c r="F21" s="329" t="s">
        <v>2134</v>
      </c>
      <c r="G21" s="1957">
        <v>1008</v>
      </c>
    </row>
    <row r="22" spans="1:7" x14ac:dyDescent="0.2">
      <c r="A22" s="1070"/>
      <c r="F22" s="329" t="s">
        <v>2135</v>
      </c>
      <c r="G22" s="1958">
        <v>2152</v>
      </c>
    </row>
    <row r="23" spans="1:7" ht="13.5" thickBot="1" x14ac:dyDescent="0.25">
      <c r="A23" s="1070"/>
      <c r="G23" s="1960">
        <f>SUM(G19:G22)</f>
        <v>14770</v>
      </c>
    </row>
    <row r="24" spans="1:7" ht="13.5" thickTop="1" x14ac:dyDescent="0.2">
      <c r="A24" s="1070"/>
    </row>
    <row r="25" spans="1:7" x14ac:dyDescent="0.2">
      <c r="A25" s="1070"/>
      <c r="B25" s="1965">
        <v>1999</v>
      </c>
      <c r="C25" s="1965">
        <v>11</v>
      </c>
      <c r="D25" s="1965" t="s">
        <v>2136</v>
      </c>
      <c r="E25" s="1965">
        <v>107</v>
      </c>
      <c r="F25" s="329" t="s">
        <v>2137</v>
      </c>
      <c r="G25" s="1967">
        <v>10000</v>
      </c>
    </row>
    <row r="26" spans="1:7" x14ac:dyDescent="0.2">
      <c r="A26" s="1070"/>
      <c r="F26" s="329" t="s">
        <v>2138</v>
      </c>
      <c r="G26" s="1958">
        <v>266</v>
      </c>
    </row>
    <row r="27" spans="1:7" x14ac:dyDescent="0.2">
      <c r="A27" s="1070"/>
      <c r="G27" s="1961">
        <f>G25+G26</f>
        <v>10266</v>
      </c>
    </row>
    <row r="28" spans="1:7" x14ac:dyDescent="0.2">
      <c r="A28" s="1070"/>
    </row>
    <row r="29" spans="1:7" ht="13.5" thickBot="1" x14ac:dyDescent="0.25">
      <c r="A29" s="1070"/>
      <c r="B29" s="1965">
        <v>1999</v>
      </c>
      <c r="C29" s="1965">
        <v>11</v>
      </c>
      <c r="D29" s="1965" t="s">
        <v>2139</v>
      </c>
      <c r="E29" s="1965">
        <v>107</v>
      </c>
      <c r="F29" s="329" t="s">
        <v>2152</v>
      </c>
      <c r="G29" s="1960">
        <v>562</v>
      </c>
    </row>
    <row r="30" spans="1:7" ht="13.5" thickTop="1" x14ac:dyDescent="0.2">
      <c r="A30" s="1070"/>
    </row>
    <row r="31" spans="1:7" ht="13.5" thickBot="1" x14ac:dyDescent="0.25">
      <c r="A31" s="1070"/>
      <c r="B31" s="1965">
        <v>1999</v>
      </c>
      <c r="C31" s="1965">
        <v>11</v>
      </c>
      <c r="D31" s="1965" t="s">
        <v>2140</v>
      </c>
      <c r="E31" s="1965">
        <v>107</v>
      </c>
      <c r="F31" s="329" t="s">
        <v>2135</v>
      </c>
      <c r="G31" s="1960">
        <v>33</v>
      </c>
    </row>
    <row r="32" spans="1:7" ht="13.5" thickTop="1" x14ac:dyDescent="0.2">
      <c r="A32" s="1070"/>
    </row>
    <row r="33" spans="1:7" ht="13.5" thickBot="1" x14ac:dyDescent="0.25">
      <c r="A33" s="1070"/>
      <c r="B33" s="1965">
        <v>3999</v>
      </c>
      <c r="C33" s="1965">
        <v>12</v>
      </c>
      <c r="D33" s="1965" t="s">
        <v>479</v>
      </c>
      <c r="E33" s="1965">
        <v>171</v>
      </c>
      <c r="F33" s="329" t="s">
        <v>2141</v>
      </c>
      <c r="G33" s="1960">
        <v>2351</v>
      </c>
    </row>
    <row r="34" spans="1:7" ht="13.5" thickTop="1" x14ac:dyDescent="0.2">
      <c r="A34" s="1070"/>
    </row>
    <row r="35" spans="1:7" ht="13.5" thickBot="1" x14ac:dyDescent="0.25">
      <c r="A35" s="1070"/>
      <c r="B35" s="1965">
        <v>2900</v>
      </c>
      <c r="C35" s="1965">
        <v>16</v>
      </c>
      <c r="D35" s="1965" t="s">
        <v>479</v>
      </c>
      <c r="E35" s="1965">
        <v>63</v>
      </c>
      <c r="F35" s="329" t="s">
        <v>2142</v>
      </c>
      <c r="G35" s="1960">
        <v>4001</v>
      </c>
    </row>
    <row r="36" spans="1:7" ht="13.5" thickTop="1" x14ac:dyDescent="0.2">
      <c r="A36" s="1070"/>
    </row>
    <row r="37" spans="1:7" ht="13.5" thickBot="1" x14ac:dyDescent="0.25">
      <c r="A37" s="1070"/>
      <c r="B37" s="1965">
        <v>4190</v>
      </c>
      <c r="C37" s="1965">
        <v>16</v>
      </c>
      <c r="D37" s="1965" t="s">
        <v>479</v>
      </c>
      <c r="E37" s="1965">
        <v>83</v>
      </c>
      <c r="F37" s="329" t="s">
        <v>2143</v>
      </c>
      <c r="G37" s="1960">
        <v>20250</v>
      </c>
    </row>
    <row r="38" spans="1:7" ht="13.5" thickTop="1" x14ac:dyDescent="0.2">
      <c r="A38" s="1070"/>
    </row>
    <row r="39" spans="1:7" ht="13.5" thickBot="1" x14ac:dyDescent="0.25">
      <c r="A39" s="1070"/>
      <c r="B39" s="1965">
        <v>5400</v>
      </c>
      <c r="C39" s="1965">
        <v>18</v>
      </c>
      <c r="D39" s="1965" t="s">
        <v>520</v>
      </c>
      <c r="E39" s="1965">
        <v>171</v>
      </c>
      <c r="F39" s="329" t="s">
        <v>2154</v>
      </c>
      <c r="G39" s="1960">
        <v>449</v>
      </c>
    </row>
    <row r="40" spans="1:7" ht="13.5" thickTop="1" x14ac:dyDescent="0.2">
      <c r="A40" s="1070"/>
    </row>
    <row r="41" spans="1:7" x14ac:dyDescent="0.2">
      <c r="A41" s="1070"/>
    </row>
    <row r="42" spans="1:7" x14ac:dyDescent="0.2">
      <c r="A42" s="1070"/>
    </row>
    <row r="43" spans="1:7" x14ac:dyDescent="0.2">
      <c r="A43" s="1070"/>
    </row>
    <row r="44" spans="1:7" x14ac:dyDescent="0.2">
      <c r="A44" s="1070"/>
    </row>
    <row r="45" spans="1:7" x14ac:dyDescent="0.2">
      <c r="A45" s="1070"/>
    </row>
    <row r="46" spans="1:7" x14ac:dyDescent="0.2">
      <c r="A46" s="1070"/>
    </row>
    <row r="47" spans="1:7" x14ac:dyDescent="0.2">
      <c r="A47" s="1070"/>
    </row>
    <row r="48" spans="1:7"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Meridian CUSD 223</v>
      </c>
    </row>
    <row r="64" spans="1:2" x14ac:dyDescent="0.2">
      <c r="B64" s="1966">
        <f>COVER!A13</f>
        <v>47071223026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0" t="s">
        <v>1125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715</v>
      </c>
      <c r="B40" s="2077"/>
      <c r="C40" s="2077"/>
      <c r="D40" s="2077"/>
      <c r="E40" s="2077"/>
    </row>
    <row r="41" spans="1:5" x14ac:dyDescent="0.2">
      <c r="A41" s="2078" t="s">
        <v>1706</v>
      </c>
      <c r="B41" s="2078"/>
      <c r="C41" s="2078"/>
      <c r="D41" s="2078"/>
      <c r="E41" s="2078"/>
    </row>
    <row r="42" spans="1:5" ht="12.75" customHeight="1" x14ac:dyDescent="0.2">
      <c r="A42" s="2079" t="s">
        <v>1080</v>
      </c>
      <c r="B42" s="2079"/>
      <c r="C42" s="2079"/>
      <c r="D42" s="2079"/>
      <c r="E42" s="207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8" sqref="B2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3" t="s">
        <v>1784</v>
      </c>
      <c r="B18" s="236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3067050</xdr:colOff>
                <xdr:row>3</xdr:row>
                <xdr:rowOff>66675</xdr:rowOff>
              </from>
              <to>
                <xdr:col>1</xdr:col>
                <xdr:colOff>3981450</xdr:colOff>
                <xdr:row>8</xdr:row>
                <xdr:rowOff>28575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1790</v>
      </c>
      <c r="B1" s="2365"/>
      <c r="C1" s="2365"/>
      <c r="D1" s="2365"/>
      <c r="E1" s="2365"/>
      <c r="F1" s="2366"/>
    </row>
    <row r="2" spans="1:8" ht="45" customHeight="1" x14ac:dyDescent="0.2">
      <c r="A2" s="2374" t="s">
        <v>1791</v>
      </c>
      <c r="B2" s="2375"/>
      <c r="C2" s="2375"/>
      <c r="D2" s="2375"/>
      <c r="E2" s="2375"/>
      <c r="F2" s="2376"/>
      <c r="G2" s="1074"/>
      <c r="H2" s="1074"/>
    </row>
    <row r="3" spans="1:8" ht="57" customHeight="1" x14ac:dyDescent="0.2">
      <c r="A3" s="2377" t="s">
        <v>1786</v>
      </c>
      <c r="B3" s="2378"/>
      <c r="C3" s="2378"/>
      <c r="D3" s="2378"/>
      <c r="E3" s="2378"/>
      <c r="F3" s="2379"/>
      <c r="G3" s="1074"/>
      <c r="H3" s="1074"/>
    </row>
    <row r="4" spans="1:8" ht="14.25" customHeight="1" x14ac:dyDescent="0.2">
      <c r="A4" s="2383" t="s">
        <v>2056</v>
      </c>
      <c r="B4" s="2384"/>
      <c r="C4" s="2384"/>
      <c r="D4" s="2384"/>
      <c r="E4" s="2384"/>
      <c r="F4" s="2385"/>
      <c r="G4" s="1074"/>
      <c r="H4" s="1074"/>
    </row>
    <row r="5" spans="1:8" ht="14.25" customHeight="1" x14ac:dyDescent="0.2">
      <c r="A5" s="2386" t="s">
        <v>2057</v>
      </c>
      <c r="B5" s="2387"/>
      <c r="C5" s="2387"/>
      <c r="D5" s="2387"/>
      <c r="E5" s="2387"/>
      <c r="F5" s="2388"/>
      <c r="G5" s="1074"/>
      <c r="H5" s="1074"/>
    </row>
    <row r="6" spans="1:8" s="1075" customFormat="1" ht="41.25" customHeight="1" x14ac:dyDescent="0.2">
      <c r="A6" s="2380" t="s">
        <v>1792</v>
      </c>
      <c r="B6" s="2381"/>
      <c r="C6" s="2381"/>
      <c r="D6" s="2381"/>
      <c r="E6" s="2381"/>
      <c r="F6" s="2382"/>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13896694</v>
      </c>
      <c r="C8" s="1837">
        <f>'Acct Summary 7-8'!D8</f>
        <v>1243909</v>
      </c>
      <c r="D8" s="1837">
        <f>'Acct Summary 7-8'!F8</f>
        <v>1605482</v>
      </c>
      <c r="E8" s="1837">
        <f>'Acct Summary 7-8'!I8</f>
        <v>87009</v>
      </c>
      <c r="F8" s="1837">
        <f>SUM(B8:E8)</f>
        <v>16833094</v>
      </c>
    </row>
    <row r="9" spans="1:8" s="1079" customFormat="1" ht="14.25" customHeight="1" thickBot="1" x14ac:dyDescent="0.25">
      <c r="A9" s="1078" t="s">
        <v>1436</v>
      </c>
      <c r="B9" s="1838">
        <f>'Acct Summary 7-8'!C17</f>
        <v>12430713</v>
      </c>
      <c r="C9" s="1838">
        <f>'Acct Summary 7-8'!D17</f>
        <v>1205624</v>
      </c>
      <c r="D9" s="1838">
        <f>'Acct Summary 7-8'!F17</f>
        <v>1542358</v>
      </c>
      <c r="E9" s="1837"/>
      <c r="F9" s="1837">
        <f>SUM(B9:E9)</f>
        <v>15178695</v>
      </c>
    </row>
    <row r="10" spans="1:8" s="1079" customFormat="1" ht="14.25" thickTop="1" thickBot="1" x14ac:dyDescent="0.25">
      <c r="A10" s="1080" t="s">
        <v>1437</v>
      </c>
      <c r="B10" s="1839">
        <f>(B8-B9)</f>
        <v>1465981</v>
      </c>
      <c r="C10" s="1839">
        <f>(C8-C9)</f>
        <v>38285</v>
      </c>
      <c r="D10" s="1839">
        <f>(D8-D9)</f>
        <v>63124</v>
      </c>
      <c r="E10" s="1838">
        <f>(E8-E9)</f>
        <v>87009</v>
      </c>
      <c r="F10" s="1840">
        <f>SUM(F8-F9)</f>
        <v>1654399</v>
      </c>
    </row>
    <row r="11" spans="1:8" s="1079" customFormat="1" ht="14.25" thickTop="1" thickBot="1" x14ac:dyDescent="0.25">
      <c r="A11" s="1081" t="s">
        <v>1785</v>
      </c>
      <c r="B11" s="1841">
        <f>'Acct Summary 7-8'!C81</f>
        <v>9529472</v>
      </c>
      <c r="C11" s="1841">
        <f>'Acct Summary 7-8'!D81</f>
        <v>342365</v>
      </c>
      <c r="D11" s="1841">
        <f>'Acct Summary 7-8'!F81</f>
        <v>1742914</v>
      </c>
      <c r="E11" s="1841">
        <f>'Acct Summary 7-8'!I81</f>
        <v>511046</v>
      </c>
      <c r="F11" s="1842">
        <f>SUM(B11:E11)</f>
        <v>12125797</v>
      </c>
    </row>
    <row r="12" spans="1:8" ht="16.5" customHeight="1" thickTop="1" x14ac:dyDescent="0.2">
      <c r="A12" s="1082"/>
      <c r="B12" s="1083"/>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4"/>
      <c r="B13" s="1085"/>
      <c r="C13" s="2368"/>
      <c r="D13" s="2369"/>
      <c r="E13" s="2369"/>
      <c r="F13" s="2370"/>
      <c r="H13" s="1074"/>
    </row>
    <row r="14" spans="1:8" ht="19.5" customHeight="1" x14ac:dyDescent="0.2">
      <c r="A14" s="1084"/>
      <c r="B14" s="1085"/>
      <c r="C14" s="2368"/>
      <c r="D14" s="2369"/>
      <c r="E14" s="2369"/>
      <c r="F14" s="2370"/>
      <c r="H14" s="1074"/>
    </row>
    <row r="15" spans="1:8" ht="17.25" customHeight="1" x14ac:dyDescent="0.2">
      <c r="A15" s="1084"/>
      <c r="B15" s="1085"/>
      <c r="C15" s="2371"/>
      <c r="D15" s="2372"/>
      <c r="E15" s="2372"/>
      <c r="F15" s="2373"/>
      <c r="H15" s="1074"/>
    </row>
    <row r="16" spans="1:8" s="310" customFormat="1" ht="51.75" hidden="1" customHeight="1" x14ac:dyDescent="0.2">
      <c r="A16" s="2367" t="s">
        <v>1787</v>
      </c>
      <c r="B16" s="2367"/>
      <c r="C16" s="2367"/>
      <c r="D16" s="2367"/>
      <c r="E16" s="2367"/>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B33" sqref="B3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9" t="s">
        <v>686</v>
      </c>
      <c r="B3" s="2390"/>
      <c r="C3" s="2390"/>
      <c r="D3" s="2391"/>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0" t="s">
        <v>1584</v>
      </c>
      <c r="D7" s="2401"/>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2" t="s">
        <v>1065</v>
      </c>
      <c r="B15" s="2393"/>
      <c r="C15" s="2393"/>
      <c r="D15" s="2394"/>
    </row>
    <row r="16" spans="1:4" s="669" customFormat="1" ht="24" customHeight="1" x14ac:dyDescent="0.2">
      <c r="A16" s="2395" t="s">
        <v>684</v>
      </c>
      <c r="B16" s="2396"/>
      <c r="C16" s="2396"/>
      <c r="D16" s="2397"/>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4" t="s">
        <v>332</v>
      </c>
      <c r="D21" s="2405"/>
    </row>
    <row r="22" spans="1:10" ht="12.75" x14ac:dyDescent="0.2">
      <c r="A22" s="1139"/>
      <c r="B22" s="1140">
        <v>2</v>
      </c>
      <c r="C22" s="2402" t="s">
        <v>1605</v>
      </c>
      <c r="D22" s="2403"/>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6" t="s">
        <v>557</v>
      </c>
      <c r="D43" s="2407"/>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8" t="s">
        <v>817</v>
      </c>
      <c r="D56" s="2399"/>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8" t="s">
        <v>1797</v>
      </c>
      <c r="D70" s="2399"/>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47071223026</v>
      </c>
    </row>
    <row r="3" spans="1:2" x14ac:dyDescent="0.2">
      <c r="A3" t="s">
        <v>1013</v>
      </c>
      <c r="B3" s="138" t="str">
        <f>COVER!A15</f>
        <v>OGLE</v>
      </c>
    </row>
    <row r="4" spans="1:2" x14ac:dyDescent="0.2">
      <c r="A4" t="s">
        <v>1064</v>
      </c>
      <c r="B4" s="138" t="str">
        <f>COVER!A17</f>
        <v>Meridian CUSD 223</v>
      </c>
    </row>
    <row r="5" spans="1:2" x14ac:dyDescent="0.2">
      <c r="A5" t="s">
        <v>728</v>
      </c>
      <c r="B5" s="138" t="str">
        <f>COVER!A38</f>
        <v xml:space="preserve">PHILLIP J CAPOSEY </v>
      </c>
    </row>
    <row r="6" spans="1:2" x14ac:dyDescent="0.2">
      <c r="A6" t="s">
        <v>733</v>
      </c>
      <c r="B6" s="138">
        <f>COVER!P35</f>
        <v>0</v>
      </c>
    </row>
    <row r="7" spans="1:2" x14ac:dyDescent="0.2">
      <c r="A7" t="s">
        <v>729</v>
      </c>
      <c r="B7" s="138">
        <f>COVER!I38</f>
        <v>0</v>
      </c>
    </row>
    <row r="8" spans="1:2" x14ac:dyDescent="0.2">
      <c r="A8" t="s">
        <v>730</v>
      </c>
      <c r="B8" s="138" t="str">
        <f>COVER!T38</f>
        <v xml:space="preserve">ROBERT SONDGEROTH </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 xml:space="preserve">BENNING GROUP, LLC </v>
      </c>
    </row>
    <row r="17" spans="1:2" x14ac:dyDescent="0.2">
      <c r="A17" t="s">
        <v>939</v>
      </c>
      <c r="B17" s="138" t="str">
        <f>COVER!T15</f>
        <v xml:space="preserve">JENNY L. BLOCKER </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 xml:space="preserve">FREEPORT </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1018875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9529473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v>
      </c>
      <c r="C91" s="2" t="s">
        <v>594</v>
      </c>
      <c r="D91" s="2" t="str">
        <f t="shared" si="0"/>
        <v>Error?</v>
      </c>
    </row>
    <row r="92" spans="1:4" x14ac:dyDescent="0.2">
      <c r="A92" s="5">
        <v>31</v>
      </c>
      <c r="B92" s="138">
        <f>'Assets-Liab 5-6'!C39</f>
        <v>9529472</v>
      </c>
      <c r="D92" s="2" t="str">
        <f t="shared" si="0"/>
        <v>Error?</v>
      </c>
    </row>
    <row r="93" spans="1:4" x14ac:dyDescent="0.2">
      <c r="A93" s="5">
        <v>32</v>
      </c>
      <c r="B93" s="138">
        <f>'Assets-Liab 5-6'!C41</f>
        <v>9529473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342360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v>
      </c>
      <c r="C122" s="2" t="s">
        <v>594</v>
      </c>
      <c r="D122" s="2" t="str">
        <f t="shared" si="0"/>
        <v>Error?</v>
      </c>
    </row>
    <row r="123" spans="1:4" x14ac:dyDescent="0.2">
      <c r="A123" s="5">
        <v>62</v>
      </c>
      <c r="B123" s="138">
        <f>'Assets-Liab 5-6'!D39</f>
        <v>342365</v>
      </c>
      <c r="D123" s="2" t="str">
        <f t="shared" si="0"/>
        <v>Error?</v>
      </c>
    </row>
    <row r="124" spans="1:4" x14ac:dyDescent="0.2">
      <c r="A124" s="5">
        <v>63</v>
      </c>
      <c r="B124" s="138">
        <f>'Assets-Liab 5-6'!D41</f>
        <v>342360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1025601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1025601</v>
      </c>
      <c r="D140" s="2" t="str">
        <f t="shared" si="1"/>
        <v>Error?</v>
      </c>
    </row>
    <row r="141" spans="1:4" x14ac:dyDescent="0.2">
      <c r="A141" s="5">
        <v>80</v>
      </c>
      <c r="B141" s="138">
        <f>'Assets-Liab 5-6'!E41</f>
        <v>1025601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1742914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1742914</v>
      </c>
      <c r="D170" s="2" t="str">
        <f t="shared" si="1"/>
        <v>Error?</v>
      </c>
    </row>
    <row r="171" spans="1:4" x14ac:dyDescent="0.2">
      <c r="A171" s="5">
        <v>110</v>
      </c>
      <c r="B171" s="138">
        <f>'Assets-Liab 5-6'!F41</f>
        <v>1742914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392165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8540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8540</v>
      </c>
      <c r="C188" s="2" t="s">
        <v>594</v>
      </c>
      <c r="D188" s="2" t="str">
        <f t="shared" si="1"/>
        <v>Error?</v>
      </c>
    </row>
    <row r="189" spans="1:4" x14ac:dyDescent="0.2">
      <c r="A189" s="5">
        <v>128</v>
      </c>
      <c r="B189" s="138">
        <f>'Assets-Liab 5-6'!G39</f>
        <v>285068</v>
      </c>
      <c r="D189" s="2" t="str">
        <f t="shared" si="1"/>
        <v>Error?</v>
      </c>
    </row>
    <row r="190" spans="1:4" x14ac:dyDescent="0.2">
      <c r="A190" s="5">
        <v>129</v>
      </c>
      <c r="B190" s="138">
        <f>'Assets-Liab 5-6'!G41</f>
        <v>392165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112535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112535</v>
      </c>
      <c r="D212" s="2" t="str">
        <f t="shared" si="2"/>
        <v>Error?</v>
      </c>
    </row>
    <row r="213" spans="1:4" x14ac:dyDescent="0.2">
      <c r="A213" s="12">
        <v>152</v>
      </c>
      <c r="B213" s="138">
        <f>'Assets-Liab 5-6'!H41</f>
        <v>112535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2569982</v>
      </c>
      <c r="D273" s="2" t="str">
        <f t="shared" si="3"/>
        <v>Error?</v>
      </c>
    </row>
    <row r="274" spans="1:4" x14ac:dyDescent="0.2">
      <c r="A274" s="5">
        <v>213</v>
      </c>
      <c r="B274" s="138">
        <f>'Assets-Liab 5-6'!M17</f>
        <v>34136889</v>
      </c>
      <c r="D274" s="2" t="str">
        <f t="shared" si="3"/>
        <v>Error?</v>
      </c>
    </row>
    <row r="275" spans="1:4" x14ac:dyDescent="0.2">
      <c r="A275" s="5">
        <v>214</v>
      </c>
      <c r="B275" s="138">
        <f>'Assets-Liab 5-6'!M18</f>
        <v>1131723</v>
      </c>
      <c r="D275" s="2" t="str">
        <f t="shared" si="3"/>
        <v>Error?</v>
      </c>
    </row>
    <row r="276" spans="1:4" x14ac:dyDescent="0.2">
      <c r="A276" s="5">
        <v>215</v>
      </c>
      <c r="B276" s="138">
        <f>'Assets-Liab 5-6'!M19</f>
        <v>3619478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41458072</v>
      </c>
      <c r="C279" s="2" t="s">
        <v>594</v>
      </c>
      <c r="D279" s="2" t="str">
        <f t="shared" si="3"/>
        <v>Error?</v>
      </c>
    </row>
    <row r="280" spans="1:4" x14ac:dyDescent="0.2">
      <c r="A280" s="5">
        <v>219</v>
      </c>
      <c r="B280" s="138">
        <f>'Assets-Liab 5-6'!M40</f>
        <v>41458072</v>
      </c>
      <c r="D280" s="2" t="str">
        <f t="shared" si="3"/>
        <v>Error?</v>
      </c>
    </row>
    <row r="281" spans="1:4" x14ac:dyDescent="0.2">
      <c r="A281" s="5">
        <v>220</v>
      </c>
      <c r="B281" s="138">
        <f>'Assets-Liab 5-6'!M41</f>
        <v>41458072</v>
      </c>
      <c r="C281" s="2" t="s">
        <v>594</v>
      </c>
      <c r="D281" s="2" t="str">
        <f t="shared" si="3"/>
        <v>Error?</v>
      </c>
    </row>
    <row r="282" spans="1:4" x14ac:dyDescent="0.2">
      <c r="A282" s="5">
        <v>221</v>
      </c>
      <c r="B282" s="138">
        <f>'Assets-Liab 5-6'!N21</f>
        <v>1025601</v>
      </c>
      <c r="D282" s="2" t="str">
        <f t="shared" si="3"/>
        <v>Error?</v>
      </c>
    </row>
    <row r="283" spans="1:4" x14ac:dyDescent="0.2">
      <c r="A283" s="5">
        <v>222</v>
      </c>
      <c r="B283" s="138">
        <f>'Assets-Liab 5-6'!N22</f>
        <v>13590082</v>
      </c>
      <c r="D283" s="2" t="str">
        <f t="shared" si="3"/>
        <v>Error?</v>
      </c>
    </row>
    <row r="284" spans="1:4" x14ac:dyDescent="0.2">
      <c r="A284" s="5">
        <v>223</v>
      </c>
      <c r="B284" s="138">
        <f>'Assets-Liab 5-6'!N23</f>
        <v>14615683</v>
      </c>
      <c r="C284" s="2" t="s">
        <v>594</v>
      </c>
      <c r="D284" s="2" t="str">
        <f t="shared" si="3"/>
        <v>Error?</v>
      </c>
    </row>
    <row r="285" spans="1:4" x14ac:dyDescent="0.2">
      <c r="A285" s="5">
        <v>224</v>
      </c>
      <c r="B285" s="138">
        <f>'Assets-Liab 5-6'!N36</f>
        <v>14615683</v>
      </c>
      <c r="D285" s="2" t="str">
        <f t="shared" si="3"/>
        <v>Error?</v>
      </c>
    </row>
    <row r="286" spans="1:4" x14ac:dyDescent="0.2">
      <c r="A286" s="10">
        <v>225</v>
      </c>
      <c r="D286" s="2" t="str">
        <f t="shared" si="3"/>
        <v>OK</v>
      </c>
    </row>
    <row r="287" spans="1:4" x14ac:dyDescent="0.2">
      <c r="A287" s="5">
        <v>226</v>
      </c>
      <c r="B287" s="138">
        <f>'Assets-Liab 5-6'!N37</f>
        <v>14615683</v>
      </c>
      <c r="C287" s="2" t="s">
        <v>594</v>
      </c>
      <c r="D287" s="2" t="str">
        <f t="shared" si="3"/>
        <v>Error?</v>
      </c>
    </row>
    <row r="288" spans="1:4" x14ac:dyDescent="0.2">
      <c r="A288" s="5">
        <v>227</v>
      </c>
      <c r="B288" s="138">
        <f>'Assets-Liab 5-6'!N41</f>
        <v>14615683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4521303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42956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290669</v>
      </c>
      <c r="D717" s="2" t="str">
        <f t="shared" si="10"/>
        <v>Error?</v>
      </c>
    </row>
    <row r="718" spans="1:4" x14ac:dyDescent="0.2">
      <c r="A718" s="5">
        <v>657</v>
      </c>
      <c r="B718" s="138">
        <f>'Expenditures 15-22'!C14</f>
        <v>338991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6463677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196319</v>
      </c>
      <c r="D722" s="2" t="str">
        <f t="shared" si="10"/>
        <v>Error?</v>
      </c>
    </row>
    <row r="723" spans="1:4" x14ac:dyDescent="0.2">
      <c r="A723" s="5">
        <v>662</v>
      </c>
      <c r="B723" s="138">
        <f>'Expenditures 15-22'!C38</f>
        <v>99634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7195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303148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198775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198775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210625</v>
      </c>
      <c r="D733" s="2" t="str">
        <f t="shared" si="10"/>
        <v>Error?</v>
      </c>
    </row>
    <row r="734" spans="1:4" x14ac:dyDescent="0.2">
      <c r="A734" s="5">
        <v>673</v>
      </c>
      <c r="B734" s="138">
        <f>'Expenditures 15-22'!C53</f>
        <v>210625</v>
      </c>
      <c r="C734" s="2" t="s">
        <v>594</v>
      </c>
      <c r="D734" s="2" t="str">
        <f t="shared" si="10"/>
        <v>Error?</v>
      </c>
    </row>
    <row r="735" spans="1:4" x14ac:dyDescent="0.2">
      <c r="A735" s="5">
        <v>674</v>
      </c>
      <c r="B735" s="138">
        <f>'Expenditures 15-22'!C55</f>
        <v>685133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685133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52394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180059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232453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68074</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68074</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1698208</v>
      </c>
      <c r="C755" s="2" t="s">
        <v>594</v>
      </c>
      <c r="D755" s="2" t="str">
        <f t="shared" si="10"/>
        <v>Error?</v>
      </c>
    </row>
    <row r="756" spans="1:4" x14ac:dyDescent="0.2">
      <c r="A756" s="5">
        <v>695</v>
      </c>
      <c r="B756" s="138">
        <f>'Expenditures 15-22'!C75</f>
        <v>131</v>
      </c>
      <c r="D756" s="2" t="str">
        <f t="shared" si="10"/>
        <v>Error?</v>
      </c>
    </row>
    <row r="757" spans="1:4" x14ac:dyDescent="0.2">
      <c r="A757" s="5">
        <v>696</v>
      </c>
      <c r="B757" s="138">
        <f>'Expenditures 15-22'!C114</f>
        <v>8162016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1058715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8496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73413</v>
      </c>
      <c r="D775" s="2" t="str">
        <f t="shared" si="11"/>
        <v>Error?</v>
      </c>
    </row>
    <row r="776" spans="1:4" x14ac:dyDescent="0.2">
      <c r="A776" s="5">
        <v>715</v>
      </c>
      <c r="B776" s="138">
        <f>'Expenditures 15-22'!D14</f>
        <v>31491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1415927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39045</v>
      </c>
      <c r="D780" s="2" t="str">
        <f t="shared" si="11"/>
        <v>Error?</v>
      </c>
    </row>
    <row r="781" spans="1:4" x14ac:dyDescent="0.2">
      <c r="A781" s="5">
        <v>720</v>
      </c>
      <c r="B781" s="138">
        <f>'Expenditures 15-22'!D38</f>
        <v>5974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1641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46660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32612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32612</v>
      </c>
      <c r="C789" s="2" t="s">
        <v>594</v>
      </c>
      <c r="D789" s="2" t="str">
        <f t="shared" si="11"/>
        <v>Error?</v>
      </c>
    </row>
    <row r="790" spans="1:4" x14ac:dyDescent="0.2">
      <c r="A790" s="5">
        <v>729</v>
      </c>
      <c r="B790" s="138">
        <f>'Expenditures 15-22'!D49</f>
        <v>4483</v>
      </c>
      <c r="D790" s="2" t="str">
        <f t="shared" si="11"/>
        <v>Error?</v>
      </c>
    </row>
    <row r="791" spans="1:4" x14ac:dyDescent="0.2">
      <c r="A791" s="5">
        <v>730</v>
      </c>
      <c r="B791" s="138">
        <f>'Expenditures 15-22'!D50</f>
        <v>40818</v>
      </c>
      <c r="D791" s="2" t="str">
        <f t="shared" si="11"/>
        <v>Error?</v>
      </c>
    </row>
    <row r="792" spans="1:4" x14ac:dyDescent="0.2">
      <c r="A792" s="5">
        <v>731</v>
      </c>
      <c r="B792" s="138">
        <f>'Expenditures 15-22'!D53</f>
        <v>45301</v>
      </c>
      <c r="C792" s="2" t="s">
        <v>594</v>
      </c>
      <c r="D792" s="2" t="str">
        <f t="shared" si="11"/>
        <v>Error?</v>
      </c>
    </row>
    <row r="793" spans="1:4" x14ac:dyDescent="0.2">
      <c r="A793" s="5">
        <v>732</v>
      </c>
      <c r="B793" s="138">
        <f>'Expenditures 15-22'!D55</f>
        <v>137547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137547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8824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8853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14424</v>
      </c>
      <c r="D806" s="2" t="str">
        <f t="shared" si="11"/>
        <v>Error?</v>
      </c>
    </row>
    <row r="807" spans="1:4" x14ac:dyDescent="0.2">
      <c r="A807" s="5">
        <v>746</v>
      </c>
      <c r="B807" s="138">
        <f>'Expenditures 15-22'!D70</f>
        <v>16094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30518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301491</v>
      </c>
      <c r="C813" s="2" t="s">
        <v>594</v>
      </c>
      <c r="D813" s="2" t="str">
        <f t="shared" si="11"/>
        <v>Error?</v>
      </c>
    </row>
    <row r="814" spans="1:4" x14ac:dyDescent="0.2">
      <c r="A814" s="5">
        <v>753</v>
      </c>
      <c r="B814" s="138">
        <f>'Expenditures 15-22'!D75</f>
        <v>20</v>
      </c>
      <c r="D814" s="2" t="str">
        <f t="shared" si="11"/>
        <v>Error?</v>
      </c>
    </row>
    <row r="815" spans="1:4" x14ac:dyDescent="0.2">
      <c r="A815" s="5">
        <v>754</v>
      </c>
      <c r="B815" s="138">
        <f>'Expenditures 15-22'!D114</f>
        <v>1717438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6413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107701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115393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168</v>
      </c>
      <c r="D838" s="2" t="str">
        <f t="shared" si="12"/>
        <v>Error?</v>
      </c>
    </row>
    <row r="839" spans="1:4" x14ac:dyDescent="0.2">
      <c r="A839" s="5">
        <v>778</v>
      </c>
      <c r="B839" s="138">
        <f>'Expenditures 15-22'!E38</f>
        <v>3367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3535</v>
      </c>
      <c r="C843" s="2" t="s">
        <v>594</v>
      </c>
      <c r="D843" s="2" t="str">
        <f t="shared" si="12"/>
        <v>Error?</v>
      </c>
    </row>
    <row r="844" spans="1:4" x14ac:dyDescent="0.2">
      <c r="A844" s="5">
        <v>783</v>
      </c>
      <c r="B844" s="138">
        <f>'Expenditures 15-22'!E44</f>
        <v>84175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18647</v>
      </c>
      <c r="D846" s="2" t="str">
        <f t="shared" si="12"/>
        <v>Error?</v>
      </c>
    </row>
    <row r="847" spans="1:4" x14ac:dyDescent="0.2">
      <c r="A847" s="5">
        <v>786</v>
      </c>
      <c r="B847" s="138">
        <f>'Expenditures 15-22'!E47</f>
        <v>102822</v>
      </c>
      <c r="C847" s="2" t="s">
        <v>594</v>
      </c>
      <c r="D847" s="2" t="str">
        <f t="shared" si="12"/>
        <v>Error?</v>
      </c>
    </row>
    <row r="848" spans="1:4" x14ac:dyDescent="0.2">
      <c r="A848" s="5">
        <v>787</v>
      </c>
      <c r="B848" s="138">
        <f>'Expenditures 15-22'!E49</f>
        <v>157422</v>
      </c>
      <c r="D848" s="2" t="str">
        <f t="shared" si="12"/>
        <v>Error?</v>
      </c>
    </row>
    <row r="849" spans="1:4" x14ac:dyDescent="0.2">
      <c r="A849" s="5">
        <v>788</v>
      </c>
      <c r="B849" s="138">
        <f>'Expenditures 15-22'!E50</f>
        <v>7957</v>
      </c>
      <c r="D849" s="2" t="str">
        <f t="shared" si="12"/>
        <v>Error?</v>
      </c>
    </row>
    <row r="850" spans="1:4" x14ac:dyDescent="0.2">
      <c r="A850" s="5">
        <v>789</v>
      </c>
      <c r="B850" s="138">
        <f>'Expenditures 15-22'!E53</f>
        <v>273350</v>
      </c>
      <c r="C850" s="2" t="s">
        <v>594</v>
      </c>
      <c r="D850" s="2" t="str">
        <f t="shared" si="12"/>
        <v>Error?</v>
      </c>
    </row>
    <row r="851" spans="1:4" x14ac:dyDescent="0.2">
      <c r="A851" s="5">
        <v>790</v>
      </c>
      <c r="B851" s="138">
        <f>'Expenditures 15-22'!E55</f>
        <v>4525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4525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5470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10000</v>
      </c>
      <c r="D857" s="2" t="str">
        <f t="shared" si="12"/>
        <v>Error?</v>
      </c>
    </row>
    <row r="858" spans="1:4" x14ac:dyDescent="0.2">
      <c r="A858" s="5">
        <v>797</v>
      </c>
      <c r="B858" s="138">
        <f>'Expenditures 15-22'!E63</f>
        <v>852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16322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133827</v>
      </c>
      <c r="D864" s="2" t="str">
        <f t="shared" si="12"/>
        <v>Error?</v>
      </c>
    </row>
    <row r="865" spans="1:4" x14ac:dyDescent="0.2">
      <c r="A865" s="5">
        <v>804</v>
      </c>
      <c r="B865" s="138">
        <f>'Expenditures 15-22'!E70</f>
        <v>14563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148390</v>
      </c>
      <c r="C869" s="2" t="s">
        <v>594</v>
      </c>
      <c r="D869" s="2" t="str">
        <f t="shared" si="12"/>
        <v>Error?</v>
      </c>
    </row>
    <row r="870" spans="1:4" x14ac:dyDescent="0.2">
      <c r="A870" s="5">
        <v>809</v>
      </c>
      <c r="B870" s="138">
        <f>'Expenditures 15-22'!E73</f>
        <v>4001</v>
      </c>
      <c r="D870" s="2" t="str">
        <f t="shared" si="12"/>
        <v>Error?</v>
      </c>
    </row>
    <row r="871" spans="1:4" x14ac:dyDescent="0.2">
      <c r="A871" s="5">
        <v>810</v>
      </c>
      <c r="B871" s="138">
        <f>'Expenditures 15-22'!E74</f>
        <v>552945</v>
      </c>
      <c r="C871" s="2" t="s">
        <v>594</v>
      </c>
      <c r="D871" s="2" t="str">
        <f t="shared" si="12"/>
        <v>Error?</v>
      </c>
    </row>
    <row r="872" spans="1:4" x14ac:dyDescent="0.2">
      <c r="A872" s="5">
        <v>811</v>
      </c>
      <c r="B872" s="138">
        <f>'Expenditures 15-22'!E75</f>
        <v>500</v>
      </c>
      <c r="D872" s="2" t="str">
        <f t="shared" si="12"/>
        <v>Error?</v>
      </c>
    </row>
    <row r="873" spans="1:4" x14ac:dyDescent="0.2">
      <c r="A873" s="5">
        <v>812</v>
      </c>
      <c r="B873" s="138">
        <f>'Expenditures 15-22'!E114</f>
        <v>689088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210438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214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5651</v>
      </c>
      <c r="D891" s="2" t="str">
        <f t="shared" si="12"/>
        <v>Error?</v>
      </c>
    </row>
    <row r="892" spans="1:4" x14ac:dyDescent="0.2">
      <c r="A892" s="5">
        <v>831</v>
      </c>
      <c r="B892" s="138">
        <f>'Expenditures 15-22'!F14</f>
        <v>46196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279192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3454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3454</v>
      </c>
      <c r="C901" s="2" t="s">
        <v>594</v>
      </c>
      <c r="D901" s="2" t="str">
        <f t="shared" si="13"/>
        <v>Error?</v>
      </c>
    </row>
    <row r="902" spans="1:4" x14ac:dyDescent="0.2">
      <c r="A902" s="5">
        <v>841</v>
      </c>
      <c r="B902" s="138">
        <f>'Expenditures 15-22'!F44</f>
        <v>260</v>
      </c>
      <c r="D902" s="2" t="str">
        <f t="shared" si="13"/>
        <v>Error?</v>
      </c>
    </row>
    <row r="903" spans="1:4" x14ac:dyDescent="0.2">
      <c r="A903" s="5">
        <v>842</v>
      </c>
      <c r="B903" s="138">
        <f>'Expenditures 15-22'!F45</f>
        <v>21461</v>
      </c>
      <c r="D903" s="2" t="str">
        <f t="shared" si="13"/>
        <v>Error?</v>
      </c>
    </row>
    <row r="904" spans="1:4" x14ac:dyDescent="0.2">
      <c r="A904" s="5">
        <v>843</v>
      </c>
      <c r="B904" s="138">
        <f>'Expenditures 15-22'!F46</f>
        <v>41433</v>
      </c>
      <c r="D904" s="2" t="str">
        <f t="shared" si="13"/>
        <v>Error?</v>
      </c>
    </row>
    <row r="905" spans="1:4" x14ac:dyDescent="0.2">
      <c r="A905" s="5">
        <v>844</v>
      </c>
      <c r="B905" s="138">
        <f>'Expenditures 15-22'!F47</f>
        <v>63154</v>
      </c>
      <c r="C905" s="2" t="s">
        <v>594</v>
      </c>
      <c r="D905" s="2" t="str">
        <f t="shared" si="13"/>
        <v>Error?</v>
      </c>
    </row>
    <row r="906" spans="1:4" x14ac:dyDescent="0.2">
      <c r="A906" s="5">
        <v>845</v>
      </c>
      <c r="B906" s="138">
        <f>'Expenditures 15-22'!F49</f>
        <v>15480</v>
      </c>
      <c r="D906" s="2" t="str">
        <f t="shared" si="13"/>
        <v>Error?</v>
      </c>
    </row>
    <row r="907" spans="1:4" x14ac:dyDescent="0.2">
      <c r="A907" s="5">
        <v>846</v>
      </c>
      <c r="B907" s="138">
        <f>'Expenditures 15-22'!F50</f>
        <v>761</v>
      </c>
      <c r="D907" s="2" t="str">
        <f t="shared" si="13"/>
        <v>Error?</v>
      </c>
    </row>
    <row r="908" spans="1:4" x14ac:dyDescent="0.2">
      <c r="A908" s="5">
        <v>847</v>
      </c>
      <c r="B908" s="138">
        <f>'Expenditures 15-22'!F53</f>
        <v>16241</v>
      </c>
      <c r="C908" s="2" t="s">
        <v>594</v>
      </c>
      <c r="D908" s="2" t="str">
        <f t="shared" si="13"/>
        <v>Error?</v>
      </c>
    </row>
    <row r="909" spans="1:4" x14ac:dyDescent="0.2">
      <c r="A909" s="5">
        <v>848</v>
      </c>
      <c r="B909" s="138">
        <f>'Expenditures 15-22'!F55</f>
        <v>15507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15507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3596</v>
      </c>
      <c r="D913" s="2" t="str">
        <f t="shared" si="13"/>
        <v>Error?</v>
      </c>
    </row>
    <row r="914" spans="1:4" x14ac:dyDescent="0.2">
      <c r="A914" s="5">
        <v>853</v>
      </c>
      <c r="B914" s="138">
        <f>'Expenditures 15-22'!F61</f>
        <v>1186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306192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310974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40169</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40169</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449499</v>
      </c>
      <c r="C929" s="2" t="s">
        <v>594</v>
      </c>
      <c r="D929" s="2" t="str">
        <f t="shared" si="13"/>
        <v>Error?</v>
      </c>
    </row>
    <row r="930" spans="1:4" x14ac:dyDescent="0.2">
      <c r="A930" s="5">
        <v>869</v>
      </c>
      <c r="B930" s="138">
        <f>'Expenditures 15-22'!F75</f>
        <v>4127</v>
      </c>
      <c r="D930" s="2" t="str">
        <f t="shared" si="13"/>
        <v>Error?</v>
      </c>
    </row>
    <row r="931" spans="1:4" x14ac:dyDescent="0.2">
      <c r="A931" s="5">
        <v>870</v>
      </c>
      <c r="B931" s="138">
        <f>'Expenditures 15-22'!F114</f>
        <v>732818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11478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11478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641136</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641136</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641136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652614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2055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8878</v>
      </c>
      <c r="D1022" s="2" t="str">
        <f t="shared" si="14"/>
        <v>Error?</v>
      </c>
    </row>
    <row r="1023" spans="1:4" x14ac:dyDescent="0.2">
      <c r="A1023" s="5">
        <v>962</v>
      </c>
      <c r="B1023" s="138">
        <f>'Expenditures 15-22'!H50</f>
        <v>6660</v>
      </c>
      <c r="D1023" s="2" t="str">
        <f t="shared" ref="D1023:D1086" si="15">IF(ISBLANK(B1023),"OK",IF(A1023-B1023=0,"OK","Error?"))</f>
        <v>Error?</v>
      </c>
    </row>
    <row r="1024" spans="1:4" x14ac:dyDescent="0.2">
      <c r="A1024" s="5">
        <v>963</v>
      </c>
      <c r="B1024" s="138">
        <f>'Expenditures 15-22'!H53</f>
        <v>15538</v>
      </c>
      <c r="C1024" s="2" t="s">
        <v>594</v>
      </c>
      <c r="D1024" s="2" t="str">
        <f t="shared" si="15"/>
        <v>Error?</v>
      </c>
    </row>
    <row r="1025" spans="1:4" x14ac:dyDescent="0.2">
      <c r="A1025" s="5">
        <v>964</v>
      </c>
      <c r="B1025" s="138">
        <f>'Expenditures 15-22'!H55</f>
        <v>3058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3058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18616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456068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476739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5796869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51666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369733</v>
      </c>
      <c r="C1105" s="2" t="s">
        <v>594</v>
      </c>
      <c r="D1105" s="2" t="str">
        <f t="shared" si="16"/>
        <v>Error?</v>
      </c>
    </row>
    <row r="1106" spans="1:4" x14ac:dyDescent="0.2">
      <c r="A1106" s="5">
        <v>1045</v>
      </c>
      <c r="B1106" s="138">
        <f>'Expenditures 15-22'!K14</f>
        <v>537912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8287722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235532</v>
      </c>
      <c r="C1110" s="2" t="s">
        <v>594</v>
      </c>
      <c r="D1110" s="2" t="str">
        <f t="shared" si="16"/>
        <v>Error?</v>
      </c>
    </row>
    <row r="1111" spans="1:4" x14ac:dyDescent="0.2">
      <c r="A1111" s="5">
        <v>1050</v>
      </c>
      <c r="B1111" s="138">
        <f>'Expenditures 15-22'!K38</f>
        <v>112429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8836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356797</v>
      </c>
      <c r="C1115" s="2" t="s">
        <v>594</v>
      </c>
      <c r="D1115" s="2" t="str">
        <f t="shared" si="16"/>
        <v>Error?</v>
      </c>
    </row>
    <row r="1116" spans="1:4" x14ac:dyDescent="0.2">
      <c r="A1116" s="5">
        <v>1055</v>
      </c>
      <c r="B1116" s="138">
        <f>'Expenditures 15-22'!K44</f>
        <v>84435</v>
      </c>
      <c r="C1116" s="2" t="s">
        <v>594</v>
      </c>
      <c r="D1116" s="2" t="str">
        <f t="shared" si="16"/>
        <v>Error?</v>
      </c>
    </row>
    <row r="1117" spans="1:4" x14ac:dyDescent="0.2">
      <c r="A1117" s="5">
        <v>1056</v>
      </c>
      <c r="B1117" s="138">
        <f>'Expenditures 15-22'!K45</f>
        <v>252848</v>
      </c>
      <c r="C1117" s="2" t="s">
        <v>594</v>
      </c>
      <c r="D1117" s="2" t="str">
        <f t="shared" si="16"/>
        <v>Error?</v>
      </c>
    </row>
    <row r="1118" spans="1:4" x14ac:dyDescent="0.2">
      <c r="A1118" s="5">
        <v>1057</v>
      </c>
      <c r="B1118" s="138">
        <f>'Expenditures 15-22'!K46</f>
        <v>60080</v>
      </c>
      <c r="C1118" s="2" t="s">
        <v>594</v>
      </c>
      <c r="D1118" s="2" t="str">
        <f t="shared" si="16"/>
        <v>Error?</v>
      </c>
    </row>
    <row r="1119" spans="1:4" x14ac:dyDescent="0.2">
      <c r="A1119" s="5">
        <v>1058</v>
      </c>
      <c r="B1119" s="138">
        <f>'Expenditures 15-22'!K47</f>
        <v>397363</v>
      </c>
      <c r="C1119" s="2" t="s">
        <v>594</v>
      </c>
      <c r="D1119" s="2" t="str">
        <f t="shared" si="16"/>
        <v>Error?</v>
      </c>
    </row>
    <row r="1120" spans="1:4" x14ac:dyDescent="0.2">
      <c r="A1120" s="5">
        <v>1059</v>
      </c>
      <c r="B1120" s="138">
        <f>'Expenditures 15-22'!K49</f>
        <v>186263</v>
      </c>
      <c r="C1120" s="2" t="s">
        <v>594</v>
      </c>
      <c r="D1120" s="2" t="str">
        <f t="shared" si="16"/>
        <v>Error?</v>
      </c>
    </row>
    <row r="1121" spans="1:4" x14ac:dyDescent="0.2">
      <c r="A1121" s="5">
        <v>1060</v>
      </c>
      <c r="B1121" s="138">
        <f>'Expenditures 15-22'!K50</f>
        <v>266821</v>
      </c>
      <c r="C1121" s="2" t="s">
        <v>594</v>
      </c>
      <c r="D1121" s="2" t="str">
        <f t="shared" si="16"/>
        <v>Error?</v>
      </c>
    </row>
    <row r="1122" spans="1:4" x14ac:dyDescent="0.2">
      <c r="A1122" s="5">
        <v>1061</v>
      </c>
      <c r="B1122" s="138">
        <f>'Expenditures 15-22'!K53</f>
        <v>561055</v>
      </c>
      <c r="C1122" s="2" t="s">
        <v>594</v>
      </c>
      <c r="D1122" s="2" t="str">
        <f t="shared" si="16"/>
        <v>Error?</v>
      </c>
    </row>
    <row r="1123" spans="1:4" x14ac:dyDescent="0.2">
      <c r="A1123" s="5">
        <v>1062</v>
      </c>
      <c r="B1123" s="138">
        <f>'Expenditures 15-22'!K55</f>
        <v>845770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845770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61489</v>
      </c>
      <c r="C1127" s="2" t="s">
        <v>594</v>
      </c>
      <c r="D1127" s="2" t="str">
        <f t="shared" si="16"/>
        <v>Error?</v>
      </c>
    </row>
    <row r="1128" spans="1:4" x14ac:dyDescent="0.2">
      <c r="A1128" s="5">
        <v>1067</v>
      </c>
      <c r="B1128" s="138">
        <f>'Expenditures 15-22'!K61</f>
        <v>1186</v>
      </c>
      <c r="C1128" s="2" t="s">
        <v>594</v>
      </c>
      <c r="D1128" s="2" t="str">
        <f t="shared" si="16"/>
        <v>Error?</v>
      </c>
    </row>
    <row r="1129" spans="1:4" x14ac:dyDescent="0.2">
      <c r="A1129" s="5">
        <v>1068</v>
      </c>
      <c r="B1129" s="138">
        <f>'Expenditures 15-22'!K62</f>
        <v>10000</v>
      </c>
      <c r="C1129" s="2" t="s">
        <v>594</v>
      </c>
      <c r="D1129" s="2" t="str">
        <f t="shared" si="16"/>
        <v>Error?</v>
      </c>
    </row>
    <row r="1130" spans="1:4" x14ac:dyDescent="0.2">
      <c r="A1130" s="5">
        <v>1069</v>
      </c>
      <c r="B1130" s="138">
        <f>'Expenditures 15-22'!K63</f>
        <v>495947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568622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897630</v>
      </c>
      <c r="C1136" s="2" t="s">
        <v>594</v>
      </c>
      <c r="D1136" s="2" t="str">
        <f t="shared" si="16"/>
        <v>Error?</v>
      </c>
    </row>
    <row r="1137" spans="1:4" x14ac:dyDescent="0.2">
      <c r="A1137" s="5">
        <v>1076</v>
      </c>
      <c r="B1137" s="138">
        <f>'Expenditures 15-22'!K70</f>
        <v>30657</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928287</v>
      </c>
      <c r="C1141" s="2" t="s">
        <v>594</v>
      </c>
      <c r="D1141" s="2" t="str">
        <f t="shared" si="16"/>
        <v>Error?</v>
      </c>
    </row>
    <row r="1142" spans="1:4" x14ac:dyDescent="0.2">
      <c r="A1142" s="5">
        <v>1081</v>
      </c>
      <c r="B1142" s="138">
        <f>'Expenditures 15-22'!K73</f>
        <v>4001</v>
      </c>
      <c r="C1142" s="2" t="s">
        <v>594</v>
      </c>
      <c r="D1142" s="2" t="str">
        <f t="shared" si="16"/>
        <v>Error?</v>
      </c>
    </row>
    <row r="1143" spans="1:4" x14ac:dyDescent="0.2">
      <c r="A1143" s="5">
        <v>1082</v>
      </c>
      <c r="B1143" s="138">
        <f>'Expenditures 15-22'!K74</f>
        <v>3661895</v>
      </c>
      <c r="C1143" s="2" t="s">
        <v>594</v>
      </c>
      <c r="D1143" s="2" t="str">
        <f t="shared" si="16"/>
        <v>Error?</v>
      </c>
    </row>
    <row r="1144" spans="1:4" x14ac:dyDescent="0.2">
      <c r="A1144" s="5">
        <v>1083</v>
      </c>
      <c r="B1144" s="138">
        <f>'Expenditures 15-22'!K75</f>
        <v>4778</v>
      </c>
      <c r="C1144" s="2" t="s">
        <v>594</v>
      </c>
      <c r="D1144" s="2" t="str">
        <f t="shared" si="16"/>
        <v>Error?</v>
      </c>
    </row>
    <row r="1145" spans="1:4" x14ac:dyDescent="0.2">
      <c r="A1145" s="5">
        <v>1084</v>
      </c>
      <c r="B1145" s="138">
        <f>'Expenditures 15-22'!K102</f>
        <v>476318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12430713</v>
      </c>
      <c r="C1152" s="2" t="s">
        <v>594</v>
      </c>
      <c r="D1152" s="2" t="str">
        <f t="shared" si="17"/>
        <v>Error?</v>
      </c>
    </row>
    <row r="1153" spans="1:4" x14ac:dyDescent="0.2">
      <c r="A1153" s="5">
        <v>1092</v>
      </c>
      <c r="B1153" s="138">
        <f>'Expenditures 15-22'!K115</f>
        <v>1465981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424205</v>
      </c>
      <c r="D1221" s="2" t="str">
        <f t="shared" si="18"/>
        <v>Error?</v>
      </c>
    </row>
    <row r="1222" spans="1:4" x14ac:dyDescent="0.2">
      <c r="A1222" s="10">
        <v>1161</v>
      </c>
      <c r="D1222" s="2" t="str">
        <f t="shared" si="18"/>
        <v>OK</v>
      </c>
    </row>
    <row r="1223" spans="1:4" x14ac:dyDescent="0.2">
      <c r="A1223" s="5">
        <v>1162</v>
      </c>
      <c r="B1223" s="138">
        <f>'Expenditures 15-22'!C127</f>
        <v>424205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424205</v>
      </c>
      <c r="C1225" s="2" t="s">
        <v>594</v>
      </c>
      <c r="D1225" s="2" t="str">
        <f t="shared" si="18"/>
        <v>Error?</v>
      </c>
    </row>
    <row r="1226" spans="1:4" x14ac:dyDescent="0.2">
      <c r="A1226" s="5">
        <v>1165</v>
      </c>
      <c r="B1226" s="138">
        <f>'Expenditures 15-22'!C151</f>
        <v>424205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88402</v>
      </c>
      <c r="D1229" s="2" t="str">
        <f t="shared" si="18"/>
        <v>Error?</v>
      </c>
    </row>
    <row r="1230" spans="1:4" x14ac:dyDescent="0.2">
      <c r="A1230" s="10">
        <v>1169</v>
      </c>
      <c r="D1230" s="2" t="str">
        <f t="shared" si="18"/>
        <v>OK</v>
      </c>
    </row>
    <row r="1231" spans="1:4" x14ac:dyDescent="0.2">
      <c r="A1231" s="5">
        <v>1170</v>
      </c>
      <c r="B1231" s="138">
        <f>'Expenditures 15-22'!D127</f>
        <v>88402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88402</v>
      </c>
      <c r="C1233" s="2" t="s">
        <v>594</v>
      </c>
      <c r="D1233" s="2" t="str">
        <f t="shared" si="18"/>
        <v>Error?</v>
      </c>
    </row>
    <row r="1234" spans="1:4" x14ac:dyDescent="0.2">
      <c r="A1234" s="5">
        <v>1173</v>
      </c>
      <c r="B1234" s="138">
        <f>'Expenditures 15-22'!D151</f>
        <v>88402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245624</v>
      </c>
      <c r="D1237" s="2" t="str">
        <f t="shared" si="18"/>
        <v>Error?</v>
      </c>
    </row>
    <row r="1238" spans="1:4" x14ac:dyDescent="0.2">
      <c r="A1238" s="10">
        <v>1177</v>
      </c>
      <c r="D1238" s="2" t="str">
        <f t="shared" si="18"/>
        <v>OK</v>
      </c>
    </row>
    <row r="1239" spans="1:4" x14ac:dyDescent="0.2">
      <c r="A1239" s="5">
        <v>1178</v>
      </c>
      <c r="B1239" s="138">
        <f>'Expenditures 15-22'!E127</f>
        <v>245624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245624</v>
      </c>
      <c r="C1241" s="2" t="s">
        <v>594</v>
      </c>
      <c r="D1241" s="2" t="str">
        <f t="shared" si="18"/>
        <v>Error?</v>
      </c>
    </row>
    <row r="1242" spans="1:4" x14ac:dyDescent="0.2">
      <c r="A1242" s="5">
        <v>1181</v>
      </c>
      <c r="B1242" s="138">
        <f>'Expenditures 15-22'!E151</f>
        <v>245624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386084</v>
      </c>
      <c r="D1245" s="2" t="str">
        <f t="shared" si="18"/>
        <v>Error?</v>
      </c>
    </row>
    <row r="1246" spans="1:4" x14ac:dyDescent="0.2">
      <c r="A1246" s="10">
        <v>1185</v>
      </c>
      <c r="D1246" s="2" t="str">
        <f t="shared" si="18"/>
        <v>OK</v>
      </c>
    </row>
    <row r="1247" spans="1:4" x14ac:dyDescent="0.2">
      <c r="A1247" s="5">
        <v>1186</v>
      </c>
      <c r="B1247" s="138">
        <f>'Expenditures 15-22'!F127</f>
        <v>386084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386084</v>
      </c>
      <c r="C1249" s="2" t="s">
        <v>594</v>
      </c>
      <c r="D1249" s="2" t="str">
        <f t="shared" si="18"/>
        <v>Error?</v>
      </c>
    </row>
    <row r="1250" spans="1:4" x14ac:dyDescent="0.2">
      <c r="A1250" s="5">
        <v>1189</v>
      </c>
      <c r="B1250" s="138">
        <f>'Expenditures 15-22'!F151</f>
        <v>386084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61309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61309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61309</v>
      </c>
      <c r="C1258" s="2" t="s">
        <v>594</v>
      </c>
      <c r="D1258" s="2" t="str">
        <f t="shared" si="18"/>
        <v>Error?</v>
      </c>
    </row>
    <row r="1259" spans="1:4" x14ac:dyDescent="0.2">
      <c r="A1259" s="5">
        <v>1198</v>
      </c>
      <c r="B1259" s="138">
        <f>'Expenditures 15-22'!G151</f>
        <v>61309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1205624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1205624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1205624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1205624</v>
      </c>
      <c r="C1288" s="2" t="s">
        <v>594</v>
      </c>
      <c r="D1288" s="2" t="str">
        <f t="shared" si="19"/>
        <v>Error?</v>
      </c>
    </row>
    <row r="1289" spans="1:4" x14ac:dyDescent="0.2">
      <c r="A1289" s="5">
        <v>1228</v>
      </c>
      <c r="B1289" s="138">
        <f>'Expenditures 15-22'!K152</f>
        <v>38285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527598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1263520</v>
      </c>
      <c r="D1315" s="2" t="str">
        <f t="shared" si="19"/>
        <v>Error?</v>
      </c>
    </row>
    <row r="1316" spans="1:4" x14ac:dyDescent="0.2">
      <c r="A1316" s="5">
        <v>1255</v>
      </c>
      <c r="B1316" s="138">
        <f>'Expenditures 15-22'!H171</f>
        <v>449</v>
      </c>
      <c r="D1316" s="2" t="str">
        <f t="shared" si="19"/>
        <v>Error?</v>
      </c>
    </row>
    <row r="1317" spans="1:4" x14ac:dyDescent="0.2">
      <c r="A1317" s="5">
        <v>1256</v>
      </c>
      <c r="B1317" s="138">
        <f>'Expenditures 15-22'!H172</f>
        <v>1791567</v>
      </c>
      <c r="C1317" s="2" t="s">
        <v>594</v>
      </c>
      <c r="D1317" s="2" t="str">
        <f t="shared" si="19"/>
        <v>Error?</v>
      </c>
    </row>
    <row r="1318" spans="1:4" x14ac:dyDescent="0.2">
      <c r="A1318" s="5">
        <v>1257</v>
      </c>
      <c r="B1318" s="138">
        <f>'Expenditures 15-22'!H174</f>
        <v>1791567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527598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1263520</v>
      </c>
      <c r="C1329" s="2" t="s">
        <v>594</v>
      </c>
      <c r="D1329" s="2" t="str">
        <f t="shared" si="19"/>
        <v>Error?</v>
      </c>
    </row>
    <row r="1330" spans="1:4" x14ac:dyDescent="0.2">
      <c r="A1330" s="5">
        <v>1269</v>
      </c>
      <c r="B1330" s="138">
        <f>'Expenditures 15-22'!K171</f>
        <v>449</v>
      </c>
      <c r="C1330" s="2" t="s">
        <v>594</v>
      </c>
      <c r="D1330" s="2" t="str">
        <f t="shared" si="19"/>
        <v>Error?</v>
      </c>
    </row>
    <row r="1331" spans="1:4" x14ac:dyDescent="0.2">
      <c r="A1331" s="5">
        <v>1270</v>
      </c>
      <c r="B1331" s="138">
        <f>'Expenditures 15-22'!K172</f>
        <v>1791567</v>
      </c>
      <c r="C1331" s="2" t="s">
        <v>594</v>
      </c>
      <c r="D1331" s="2" t="str">
        <f t="shared" si="19"/>
        <v>Error?</v>
      </c>
    </row>
    <row r="1332" spans="1:4" x14ac:dyDescent="0.2">
      <c r="A1332" s="5">
        <v>1271</v>
      </c>
      <c r="B1332" s="138">
        <f>'Expenditures 15-22'!K174</f>
        <v>1791567</v>
      </c>
      <c r="C1332" s="2" t="s">
        <v>594</v>
      </c>
      <c r="D1332" s="2" t="str">
        <f t="shared" si="19"/>
        <v>Error?</v>
      </c>
    </row>
    <row r="1333" spans="1:4" x14ac:dyDescent="0.2">
      <c r="A1333" s="5">
        <v>1272</v>
      </c>
      <c r="B1333" s="138">
        <f>'Expenditures 15-22'!K175</f>
        <v>20477</v>
      </c>
      <c r="C1333" s="2" t="s">
        <v>594</v>
      </c>
      <c r="D1333" s="2" t="str">
        <f t="shared" si="19"/>
        <v>Error?</v>
      </c>
    </row>
    <row r="1334" spans="1:4" x14ac:dyDescent="0.2">
      <c r="A1334" s="10">
        <v>1273</v>
      </c>
      <c r="D1334" s="2" t="str">
        <f t="shared" si="19"/>
        <v>OK</v>
      </c>
    </row>
    <row r="1335" spans="1:4" x14ac:dyDescent="0.2">
      <c r="A1335" s="5">
        <v>1274</v>
      </c>
      <c r="B1335" s="138">
        <f>'Expenditures 15-22'!C182</f>
        <v>497172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497172</v>
      </c>
      <c r="C1339" s="2" t="s">
        <v>594</v>
      </c>
      <c r="D1339" s="2" t="str">
        <f t="shared" si="19"/>
        <v>Error?</v>
      </c>
    </row>
    <row r="1340" spans="1:4" x14ac:dyDescent="0.2">
      <c r="A1340" s="5">
        <v>1279</v>
      </c>
      <c r="B1340" s="138">
        <f>'Expenditures 15-22'!C210</f>
        <v>497172</v>
      </c>
      <c r="C1340" s="2" t="s">
        <v>594</v>
      </c>
      <c r="D1340" s="2" t="str">
        <f t="shared" si="19"/>
        <v>Error?</v>
      </c>
    </row>
    <row r="1341" spans="1:4" x14ac:dyDescent="0.2">
      <c r="A1341" s="5">
        <v>1280</v>
      </c>
      <c r="B1341" s="138">
        <f>'Expenditures 15-22'!D182</f>
        <v>158657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158657</v>
      </c>
      <c r="C1345" s="2" t="s">
        <v>594</v>
      </c>
      <c r="D1345" s="2" t="str">
        <f t="shared" si="20"/>
        <v>Error?</v>
      </c>
    </row>
    <row r="1346" spans="1:4" x14ac:dyDescent="0.2">
      <c r="A1346" s="5">
        <v>1285</v>
      </c>
      <c r="B1346" s="138">
        <f>'Expenditures 15-22'!D210</f>
        <v>158657</v>
      </c>
      <c r="C1346" s="2" t="s">
        <v>594</v>
      </c>
      <c r="D1346" s="2" t="str">
        <f t="shared" si="20"/>
        <v>Error?</v>
      </c>
    </row>
    <row r="1347" spans="1:4" x14ac:dyDescent="0.2">
      <c r="A1347" s="5">
        <v>1286</v>
      </c>
      <c r="B1347" s="138">
        <f>'Expenditures 15-22'!E182</f>
        <v>752890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752890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752890</v>
      </c>
      <c r="C1353" s="2" t="s">
        <v>594</v>
      </c>
      <c r="D1353" s="2" t="str">
        <f t="shared" si="20"/>
        <v>Error?</v>
      </c>
    </row>
    <row r="1354" spans="1:4" x14ac:dyDescent="0.2">
      <c r="A1354" s="5">
        <v>1293</v>
      </c>
      <c r="B1354" s="138">
        <f>'Expenditures 15-22'!F182</f>
        <v>97321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97321</v>
      </c>
      <c r="C1358" s="2" t="s">
        <v>594</v>
      </c>
      <c r="D1358" s="2" t="str">
        <f t="shared" si="20"/>
        <v>Error?</v>
      </c>
    </row>
    <row r="1359" spans="1:4" x14ac:dyDescent="0.2">
      <c r="A1359" s="5">
        <v>1298</v>
      </c>
      <c r="B1359" s="138">
        <f>'Expenditures 15-22'!F210</f>
        <v>97321</v>
      </c>
      <c r="C1359" s="2" t="s">
        <v>594</v>
      </c>
      <c r="D1359" s="2" t="str">
        <f t="shared" si="20"/>
        <v>Error?</v>
      </c>
    </row>
    <row r="1360" spans="1:4" x14ac:dyDescent="0.2">
      <c r="A1360" s="5">
        <v>1299</v>
      </c>
      <c r="B1360" s="138">
        <f>'Expenditures 15-22'!G182</f>
        <v>36188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36188</v>
      </c>
      <c r="C1364" s="2" t="s">
        <v>594</v>
      </c>
      <c r="D1364" s="2" t="str">
        <f t="shared" si="20"/>
        <v>Error?</v>
      </c>
    </row>
    <row r="1365" spans="1:4" x14ac:dyDescent="0.2">
      <c r="A1365" s="5">
        <v>1304</v>
      </c>
      <c r="B1365" s="138">
        <f>'Expenditures 15-22'!G210</f>
        <v>36188</v>
      </c>
      <c r="C1365" s="2" t="s">
        <v>594</v>
      </c>
      <c r="D1365" s="2" t="str">
        <f t="shared" si="20"/>
        <v>Error?</v>
      </c>
    </row>
    <row r="1366" spans="1:4" x14ac:dyDescent="0.2">
      <c r="A1366" s="5">
        <v>1305</v>
      </c>
      <c r="B1366" s="138">
        <f>'Expenditures 15-22'!H182</f>
        <v>130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130</v>
      </c>
      <c r="C1376" s="2" t="s">
        <v>594</v>
      </c>
      <c r="D1376" s="2" t="str">
        <f t="shared" si="20"/>
        <v>Error?</v>
      </c>
    </row>
    <row r="1377" spans="1:4" x14ac:dyDescent="0.2">
      <c r="A1377" s="5">
        <v>1316</v>
      </c>
      <c r="B1377" s="138">
        <f>'Expenditures 15-22'!K182</f>
        <v>1542358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1542358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1542358</v>
      </c>
      <c r="C1388" s="2" t="s">
        <v>594</v>
      </c>
      <c r="D1388" s="2" t="str">
        <f t="shared" si="20"/>
        <v>Error?</v>
      </c>
    </row>
    <row r="1389" spans="1:4" x14ac:dyDescent="0.2">
      <c r="A1389" s="5">
        <v>1328</v>
      </c>
      <c r="B1389" s="138">
        <f>'Expenditures 15-22'!K211</f>
        <v>63124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1729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3995</v>
      </c>
      <c r="D1407" s="2" t="str">
        <f t="shared" ref="D1407:D1470" si="21">IF(ISBLANK(B1407),"OK",IF(A1407-B1407=0,"OK","Error?"))</f>
        <v>Error?</v>
      </c>
    </row>
    <row r="1408" spans="1:4" x14ac:dyDescent="0.2">
      <c r="A1408" s="5">
        <v>1347</v>
      </c>
      <c r="B1408" s="138">
        <f>'Expenditures 15-22'!D223</f>
        <v>17772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173397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2847</v>
      </c>
      <c r="D1412" s="2" t="str">
        <f t="shared" si="21"/>
        <v>Error?</v>
      </c>
    </row>
    <row r="1413" spans="1:4" x14ac:dyDescent="0.2">
      <c r="A1413" s="5">
        <v>1352</v>
      </c>
      <c r="B1413" s="138">
        <f>'Expenditures 15-22'!D234</f>
        <v>13880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16823</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11694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11694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15282</v>
      </c>
      <c r="D1423" s="2" t="str">
        <f t="shared" si="21"/>
        <v>Error?</v>
      </c>
    </row>
    <row r="1424" spans="1:4" x14ac:dyDescent="0.2">
      <c r="A1424" s="5">
        <v>1363</v>
      </c>
      <c r="B1424" s="138">
        <f>'Expenditures 15-22'!D257</f>
        <v>16532</v>
      </c>
      <c r="C1424" s="2" t="s">
        <v>594</v>
      </c>
      <c r="D1424" s="2" t="str">
        <f t="shared" si="21"/>
        <v>Error?</v>
      </c>
    </row>
    <row r="1425" spans="1:4" x14ac:dyDescent="0.2">
      <c r="A1425" s="5">
        <v>1364</v>
      </c>
      <c r="B1425" s="138">
        <f>'Expenditures 15-22'!D259</f>
        <v>42288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42288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9544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74385</v>
      </c>
      <c r="D1431" s="2" t="str">
        <f t="shared" si="21"/>
        <v>Error?</v>
      </c>
    </row>
    <row r="1432" spans="1:4" x14ac:dyDescent="0.2">
      <c r="A1432" s="5">
        <v>1371</v>
      </c>
      <c r="B1432" s="138">
        <f>'Expenditures 15-22'!D267</f>
        <v>75244</v>
      </c>
      <c r="D1432" s="2" t="str">
        <f t="shared" si="21"/>
        <v>Error?</v>
      </c>
    </row>
    <row r="1433" spans="1:4" x14ac:dyDescent="0.2">
      <c r="A1433" s="5">
        <v>1372</v>
      </c>
      <c r="B1433" s="138">
        <f>'Expenditures 15-22'!D268</f>
        <v>28189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187362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9867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9867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284566</v>
      </c>
      <c r="C1446" s="2" t="s">
        <v>594</v>
      </c>
      <c r="D1446" s="2" t="str">
        <f t="shared" si="21"/>
        <v>Error?</v>
      </c>
    </row>
    <row r="1447" spans="1:4" x14ac:dyDescent="0.2">
      <c r="A1447" s="5">
        <v>1386</v>
      </c>
      <c r="B1447" s="138">
        <f>'Expenditures 15-22'!D280</f>
        <v>2</v>
      </c>
      <c r="D1447" s="2" t="str">
        <f t="shared" si="21"/>
        <v>Error?</v>
      </c>
    </row>
    <row r="1448" spans="1:4" x14ac:dyDescent="0.2">
      <c r="A1448" s="5">
        <v>1387</v>
      </c>
      <c r="B1448" s="138">
        <f>'Expenditures 15-22'!D295</f>
        <v>457965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1729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3995</v>
      </c>
      <c r="C1471" s="2" t="s">
        <v>594</v>
      </c>
      <c r="D1471" s="2" t="str">
        <f t="shared" ref="D1471:D1534" si="22">IF(ISBLANK(B1471),"OK",IF(A1471-B1471=0,"OK","Error?"))</f>
        <v>Error?</v>
      </c>
    </row>
    <row r="1472" spans="1:4" x14ac:dyDescent="0.2">
      <c r="A1472" s="5">
        <v>1411</v>
      </c>
      <c r="B1472" s="138">
        <f>'Expenditures 15-22'!K223</f>
        <v>17772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173397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2847</v>
      </c>
      <c r="C1476" s="2" t="s">
        <v>594</v>
      </c>
      <c r="D1476" s="2" t="str">
        <f t="shared" si="22"/>
        <v>Error?</v>
      </c>
    </row>
    <row r="1477" spans="1:4" x14ac:dyDescent="0.2">
      <c r="A1477" s="5">
        <v>1416</v>
      </c>
      <c r="B1477" s="138">
        <f>'Expenditures 15-22'!K234</f>
        <v>13880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16823</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11694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11694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15282</v>
      </c>
      <c r="C1487" s="2" t="s">
        <v>594</v>
      </c>
      <c r="D1487" s="2" t="str">
        <f t="shared" si="22"/>
        <v>Error?</v>
      </c>
    </row>
    <row r="1488" spans="1:4" x14ac:dyDescent="0.2">
      <c r="A1488" s="5">
        <v>1427</v>
      </c>
      <c r="B1488" s="138">
        <f>'Expenditures 15-22'!K257</f>
        <v>16532</v>
      </c>
      <c r="C1488" s="2" t="s">
        <v>594</v>
      </c>
      <c r="D1488" s="2" t="str">
        <f t="shared" si="22"/>
        <v>Error?</v>
      </c>
    </row>
    <row r="1489" spans="1:4" x14ac:dyDescent="0.2">
      <c r="A1489" s="5">
        <v>1428</v>
      </c>
      <c r="B1489" s="138">
        <f>'Expenditures 15-22'!K259</f>
        <v>42288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42288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9544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74385</v>
      </c>
      <c r="C1495" s="2" t="s">
        <v>594</v>
      </c>
      <c r="D1495" s="2" t="str">
        <f t="shared" si="22"/>
        <v>Error?</v>
      </c>
    </row>
    <row r="1496" spans="1:4" x14ac:dyDescent="0.2">
      <c r="A1496" s="5">
        <v>1435</v>
      </c>
      <c r="B1496" s="138">
        <f>'Expenditures 15-22'!K267</f>
        <v>75244</v>
      </c>
      <c r="C1496" s="2" t="s">
        <v>594</v>
      </c>
      <c r="D1496" s="2" t="str">
        <f t="shared" si="22"/>
        <v>Error?</v>
      </c>
    </row>
    <row r="1497" spans="1:4" x14ac:dyDescent="0.2">
      <c r="A1497" s="5">
        <v>1436</v>
      </c>
      <c r="B1497" s="138">
        <f>'Expenditures 15-22'!K268</f>
        <v>28189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187362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9867</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9867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284566</v>
      </c>
      <c r="C1510" s="2" t="s">
        <v>594</v>
      </c>
      <c r="D1510" s="2" t="str">
        <f t="shared" si="22"/>
        <v>Error?</v>
      </c>
    </row>
    <row r="1511" spans="1:4" x14ac:dyDescent="0.2">
      <c r="A1511" s="5">
        <v>1450</v>
      </c>
      <c r="B1511" s="138">
        <f>'Expenditures 15-22'!K280</f>
        <v>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457965</v>
      </c>
      <c r="C1517" s="2" t="s">
        <v>594</v>
      </c>
      <c r="D1517" s="2" t="str">
        <f t="shared" si="22"/>
        <v>Error?</v>
      </c>
    </row>
    <row r="1518" spans="1:4" x14ac:dyDescent="0.2">
      <c r="A1518" s="5">
        <v>1457</v>
      </c>
      <c r="B1518" s="138">
        <f>'Expenditures 15-22'!K296</f>
        <v>-5833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226250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226250</v>
      </c>
      <c r="C1547" s="2" t="s">
        <v>594</v>
      </c>
      <c r="D1547" s="2" t="str">
        <f t="shared" si="23"/>
        <v>Error?</v>
      </c>
    </row>
    <row r="1548" spans="1:4" x14ac:dyDescent="0.2">
      <c r="A1548" s="5">
        <v>1487</v>
      </c>
      <c r="B1548" s="138">
        <f>'Expenditures 15-22'!G312</f>
        <v>226250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226250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226250</v>
      </c>
      <c r="C1559" s="2" t="s">
        <v>594</v>
      </c>
      <c r="D1559" s="2" t="str">
        <f t="shared" si="23"/>
        <v>Error?</v>
      </c>
    </row>
    <row r="1560" spans="1:4" x14ac:dyDescent="0.2">
      <c r="A1560" s="5">
        <v>1499</v>
      </c>
      <c r="B1560" s="138">
        <f>'Expenditures 15-22'!K312</f>
        <v>226250</v>
      </c>
      <c r="C1560" s="2" t="s">
        <v>594</v>
      </c>
      <c r="D1560" s="2" t="str">
        <f t="shared" si="23"/>
        <v>Error?</v>
      </c>
    </row>
    <row r="1561" spans="1:4" x14ac:dyDescent="0.2">
      <c r="A1561" s="5">
        <v>1500</v>
      </c>
      <c r="B1561" s="138">
        <f>'Expenditures 15-22'!K313</f>
        <v>-203573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8063491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9529472</v>
      </c>
      <c r="C1630" s="2" t="s">
        <v>594</v>
      </c>
      <c r="D1630" s="2" t="str">
        <f t="shared" si="24"/>
        <v>Error?</v>
      </c>
    </row>
    <row r="1631" spans="1:4" x14ac:dyDescent="0.2">
      <c r="A1631" s="5">
        <v>1570</v>
      </c>
      <c r="B1631" s="138">
        <f>'Acct Summary 7-8'!D79</f>
        <v>304080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342365</v>
      </c>
      <c r="C1644" s="2" t="s">
        <v>594</v>
      </c>
      <c r="D1644" s="2" t="str">
        <f t="shared" si="24"/>
        <v>Error?</v>
      </c>
    </row>
    <row r="1645" spans="1:4" x14ac:dyDescent="0.2">
      <c r="A1645" s="5">
        <v>1584</v>
      </c>
      <c r="B1645" s="138">
        <f>'Acct Summary 7-8'!E79</f>
        <v>1005124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1025601</v>
      </c>
      <c r="C1658" s="2" t="s">
        <v>594</v>
      </c>
      <c r="D1658" s="2" t="str">
        <f t="shared" si="24"/>
        <v>Error?</v>
      </c>
    </row>
    <row r="1659" spans="1:4" x14ac:dyDescent="0.2">
      <c r="A1659" s="5">
        <v>1598</v>
      </c>
      <c r="B1659" s="138">
        <f>'Acct Summary 7-8'!F79</f>
        <v>1679790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1742914</v>
      </c>
      <c r="C1672" s="2" t="s">
        <v>594</v>
      </c>
      <c r="D1672" s="2" t="str">
        <f t="shared" si="25"/>
        <v>Error?</v>
      </c>
    </row>
    <row r="1673" spans="1:4" x14ac:dyDescent="0.2">
      <c r="A1673" s="5">
        <v>1612</v>
      </c>
      <c r="B1673" s="138">
        <f>'Acct Summary 7-8'!G79</f>
        <v>389458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383625</v>
      </c>
      <c r="C1686" s="2" t="s">
        <v>594</v>
      </c>
      <c r="D1686" s="2" t="str">
        <f t="shared" si="25"/>
        <v>Error?</v>
      </c>
    </row>
    <row r="1687" spans="1:4" x14ac:dyDescent="0.2">
      <c r="A1687" s="5">
        <v>1626</v>
      </c>
      <c r="B1687" s="138">
        <f>'Acct Summary 7-8'!H79</f>
        <v>316108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112535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5833588</v>
      </c>
      <c r="C1744" s="2" t="s">
        <v>594</v>
      </c>
      <c r="D1744" s="2" t="str">
        <f t="shared" si="26"/>
        <v>Error?</v>
      </c>
    </row>
    <row r="1745" spans="1:5" x14ac:dyDescent="0.2">
      <c r="A1745" s="5">
        <v>1684</v>
      </c>
      <c r="B1745" s="138">
        <f>'Tax Sched 23'!B5</f>
        <v>838161</v>
      </c>
      <c r="C1745" s="2" t="s">
        <v>594</v>
      </c>
      <c r="D1745" s="2" t="str">
        <f t="shared" si="26"/>
        <v>Error?</v>
      </c>
    </row>
    <row r="1746" spans="1:5" x14ac:dyDescent="0.2">
      <c r="A1746" s="5">
        <v>1685</v>
      </c>
      <c r="B1746" s="138">
        <f>'Tax Sched 23'!B6</f>
        <v>1804423</v>
      </c>
      <c r="C1746" s="2" t="s">
        <v>594</v>
      </c>
      <c r="D1746" s="2" t="str">
        <f t="shared" si="26"/>
        <v>Error?</v>
      </c>
    </row>
    <row r="1747" spans="1:5" x14ac:dyDescent="0.2">
      <c r="A1747" s="5">
        <v>1686</v>
      </c>
      <c r="B1747" s="138">
        <f>'Tax Sched 23'!B7</f>
        <v>335263</v>
      </c>
      <c r="C1747" s="2" t="s">
        <v>594</v>
      </c>
      <c r="D1747" s="2" t="str">
        <f t="shared" si="26"/>
        <v>Error?</v>
      </c>
    </row>
    <row r="1748" spans="1:5" x14ac:dyDescent="0.2">
      <c r="A1748" s="5">
        <v>1687</v>
      </c>
      <c r="B1748" s="138">
        <f>'Tax Sched 23'!B8</f>
        <v>118266</v>
      </c>
      <c r="C1748" s="2" t="s">
        <v>594</v>
      </c>
      <c r="D1748" s="2" t="str">
        <f t="shared" si="26"/>
        <v>Error?</v>
      </c>
    </row>
    <row r="1749" spans="1:5" x14ac:dyDescent="0.2">
      <c r="A1749" s="5">
        <v>1688</v>
      </c>
      <c r="B1749" s="138">
        <f>'Tax Sched 23'!B10</f>
        <v>83816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521165</v>
      </c>
      <c r="C1752" s="2" t="s">
        <v>594</v>
      </c>
      <c r="D1752" s="2" t="str">
        <f t="shared" si="26"/>
        <v>Error?</v>
      </c>
    </row>
    <row r="1753" spans="1:5" x14ac:dyDescent="0.2">
      <c r="A1753" s="5">
        <v>1692</v>
      </c>
      <c r="B1753" s="138">
        <f>'Tax Sched 23'!B12</f>
        <v>83816</v>
      </c>
      <c r="C1753" s="2" t="s">
        <v>594</v>
      </c>
      <c r="D1753" s="2" t="str">
        <f t="shared" si="26"/>
        <v>Error?</v>
      </c>
    </row>
    <row r="1754" spans="1:5" x14ac:dyDescent="0.2">
      <c r="A1754" s="5">
        <v>1693</v>
      </c>
      <c r="B1754" s="138">
        <f>'Tax Sched 23'!B14</f>
        <v>67055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10072036</v>
      </c>
      <c r="C1759" s="2" t="s">
        <v>594</v>
      </c>
      <c r="D1759" s="2" t="str">
        <f t="shared" si="26"/>
        <v>Error?</v>
      </c>
    </row>
    <row r="1760" spans="1:5" x14ac:dyDescent="0.2">
      <c r="A1760" s="5">
        <v>1699</v>
      </c>
      <c r="B1760" s="138">
        <f>'Tax Sched 23'!D4</f>
        <v>2846287</v>
      </c>
      <c r="C1760" s="2" t="s">
        <v>594</v>
      </c>
      <c r="D1760" s="2" t="str">
        <f t="shared" si="26"/>
        <v>Error?</v>
      </c>
    </row>
    <row r="1761" spans="1:5" x14ac:dyDescent="0.2">
      <c r="A1761" s="5">
        <v>1700</v>
      </c>
      <c r="B1761" s="138">
        <f>'Tax Sched 23'!D5</f>
        <v>408949</v>
      </c>
      <c r="C1761" s="2" t="s">
        <v>594</v>
      </c>
      <c r="D1761" s="2" t="str">
        <f t="shared" si="26"/>
        <v>Error?</v>
      </c>
    </row>
    <row r="1762" spans="1:5" s="8" customFormat="1" x14ac:dyDescent="0.2">
      <c r="A1762" s="5">
        <v>1701</v>
      </c>
      <c r="B1762" s="138">
        <f>'Tax Sched 23'!D6</f>
        <v>891108</v>
      </c>
      <c r="C1762" s="2" t="s">
        <v>594</v>
      </c>
      <c r="D1762" s="2" t="str">
        <f t="shared" si="26"/>
        <v>Error?</v>
      </c>
      <c r="E1762" s="9"/>
    </row>
    <row r="1763" spans="1:5" x14ac:dyDescent="0.2">
      <c r="A1763" s="5">
        <v>1702</v>
      </c>
      <c r="B1763" s="138">
        <f>'Tax Sched 23'!D7</f>
        <v>163578</v>
      </c>
      <c r="C1763" s="2" t="s">
        <v>594</v>
      </c>
      <c r="D1763" s="2" t="str">
        <f t="shared" si="26"/>
        <v>Error?</v>
      </c>
    </row>
    <row r="1764" spans="1:5" x14ac:dyDescent="0.2">
      <c r="A1764" s="5">
        <v>1703</v>
      </c>
      <c r="B1764" s="138">
        <f>'Tax Sched 23'!D8</f>
        <v>58710</v>
      </c>
      <c r="C1764" s="2" t="s">
        <v>594</v>
      </c>
      <c r="D1764" s="2" t="str">
        <f t="shared" si="26"/>
        <v>Error?</v>
      </c>
    </row>
    <row r="1765" spans="1:5" x14ac:dyDescent="0.2">
      <c r="A1765" s="5">
        <v>1704</v>
      </c>
      <c r="B1765" s="138">
        <f>'Tax Sched 23'!D10</f>
        <v>40895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258719</v>
      </c>
      <c r="C1768" s="2" t="s">
        <v>594</v>
      </c>
      <c r="D1768" s="2" t="str">
        <f t="shared" si="26"/>
        <v>Error?</v>
      </c>
    </row>
    <row r="1769" spans="1:5" x14ac:dyDescent="0.2">
      <c r="A1769" s="5">
        <v>1708</v>
      </c>
      <c r="B1769" s="138">
        <f>'Tax Sched 23'!D12</f>
        <v>40895</v>
      </c>
      <c r="C1769" s="2" t="s">
        <v>594</v>
      </c>
      <c r="D1769" s="2" t="str">
        <f t="shared" si="26"/>
        <v>Error?</v>
      </c>
    </row>
    <row r="1770" spans="1:5" x14ac:dyDescent="0.2">
      <c r="A1770" s="5">
        <v>1709</v>
      </c>
      <c r="B1770" s="138">
        <f>'Tax Sched 23'!D14</f>
        <v>32716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4933000</v>
      </c>
      <c r="C1775" s="2" t="s">
        <v>594</v>
      </c>
      <c r="D1775" s="2" t="str">
        <f t="shared" si="26"/>
        <v>Error?</v>
      </c>
    </row>
    <row r="1776" spans="1:5" x14ac:dyDescent="0.2">
      <c r="A1776" s="5">
        <v>1715</v>
      </c>
      <c r="B1776" s="138">
        <f>'Tax Sched 23'!C4</f>
        <v>2987301</v>
      </c>
      <c r="D1776" s="2" t="str">
        <f t="shared" si="26"/>
        <v>Error?</v>
      </c>
    </row>
    <row r="1777" spans="1:4" x14ac:dyDescent="0.2">
      <c r="A1777" s="5">
        <v>1716</v>
      </c>
      <c r="B1777" s="138">
        <f>'Tax Sched 23'!C5</f>
        <v>429212</v>
      </c>
      <c r="D1777" s="2" t="str">
        <f t="shared" si="26"/>
        <v>Error?</v>
      </c>
    </row>
    <row r="1778" spans="1:4" x14ac:dyDescent="0.2">
      <c r="A1778" s="5">
        <v>1717</v>
      </c>
      <c r="B1778" s="138">
        <f>'Tax Sched 23'!C6</f>
        <v>913315</v>
      </c>
      <c r="D1778" s="2" t="str">
        <f t="shared" si="26"/>
        <v>Error?</v>
      </c>
    </row>
    <row r="1779" spans="1:4" x14ac:dyDescent="0.2">
      <c r="A1779" s="5">
        <v>1718</v>
      </c>
      <c r="B1779" s="138">
        <f>'Tax Sched 23'!C7</f>
        <v>171685</v>
      </c>
      <c r="D1779" s="2" t="str">
        <f t="shared" si="26"/>
        <v>Error?</v>
      </c>
    </row>
    <row r="1780" spans="1:4" x14ac:dyDescent="0.2">
      <c r="A1780" s="5">
        <v>1719</v>
      </c>
      <c r="B1780" s="138">
        <f>'Tax Sched 23'!C8</f>
        <v>59556</v>
      </c>
      <c r="D1780" s="2" t="str">
        <f t="shared" si="26"/>
        <v>Error?</v>
      </c>
    </row>
    <row r="1781" spans="1:4" x14ac:dyDescent="0.2">
      <c r="A1781" s="5">
        <v>1720</v>
      </c>
      <c r="B1781" s="138">
        <f>'Tax Sched 23'!C10</f>
        <v>42921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262446</v>
      </c>
      <c r="D1784" s="2" t="str">
        <f t="shared" si="26"/>
        <v>Error?</v>
      </c>
    </row>
    <row r="1785" spans="1:4" x14ac:dyDescent="0.2">
      <c r="A1785" s="5">
        <v>1724</v>
      </c>
      <c r="B1785" s="138">
        <f>'Tax Sched 23'!C12</f>
        <v>42921</v>
      </c>
      <c r="D1785" s="2" t="str">
        <f t="shared" si="26"/>
        <v>Error?</v>
      </c>
    </row>
    <row r="1786" spans="1:4" x14ac:dyDescent="0.2">
      <c r="A1786" s="5">
        <v>1725</v>
      </c>
      <c r="B1786" s="138">
        <f>'Tax Sched 23'!C14</f>
        <v>34339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5139036</v>
      </c>
      <c r="C1791" s="2" t="s">
        <v>594</v>
      </c>
      <c r="D1791" s="2" t="str">
        <f t="shared" ref="D1791:D1854" si="27">IF(ISBLANK(B1791),"OK",IF(A1791-B1791=0,"OK","Error?"))</f>
        <v>Error?</v>
      </c>
    </row>
    <row r="1792" spans="1:4" x14ac:dyDescent="0.2">
      <c r="A1792" s="5">
        <v>1731</v>
      </c>
      <c r="B1792" s="138">
        <f>'Tax Sched 23'!F4</f>
        <v>2960443</v>
      </c>
      <c r="C1792" s="2" t="s">
        <v>594</v>
      </c>
      <c r="D1792" s="2" t="str">
        <f t="shared" si="27"/>
        <v>Error?</v>
      </c>
    </row>
    <row r="1793" spans="1:4" x14ac:dyDescent="0.2">
      <c r="A1793" s="5">
        <v>1732</v>
      </c>
      <c r="B1793" s="138">
        <f>'Tax Sched 23'!F5</f>
        <v>425349</v>
      </c>
      <c r="C1793" s="2" t="s">
        <v>594</v>
      </c>
      <c r="D1793" s="2" t="str">
        <f t="shared" si="27"/>
        <v>Error?</v>
      </c>
    </row>
    <row r="1794" spans="1:4" x14ac:dyDescent="0.2">
      <c r="A1794" s="5">
        <v>1733</v>
      </c>
      <c r="B1794" s="138">
        <f>'Tax Sched 23'!F6</f>
        <v>896474</v>
      </c>
      <c r="C1794" s="2" t="s">
        <v>594</v>
      </c>
      <c r="D1794" s="2" t="str">
        <f t="shared" si="27"/>
        <v>Error?</v>
      </c>
    </row>
    <row r="1795" spans="1:4" x14ac:dyDescent="0.2">
      <c r="A1795" s="5">
        <v>1734</v>
      </c>
      <c r="B1795" s="138">
        <f>'Tax Sched 23'!F7</f>
        <v>170139</v>
      </c>
      <c r="C1795" s="2" t="s">
        <v>594</v>
      </c>
      <c r="D1795" s="2" t="str">
        <f t="shared" si="27"/>
        <v>Error?</v>
      </c>
    </row>
    <row r="1796" spans="1:4" x14ac:dyDescent="0.2">
      <c r="A1796" s="5">
        <v>1735</v>
      </c>
      <c r="B1796" s="138">
        <f>'Tax Sched 23'!F8</f>
        <v>58544</v>
      </c>
      <c r="C1796" s="2" t="s">
        <v>594</v>
      </c>
      <c r="D1796" s="2" t="str">
        <f t="shared" si="27"/>
        <v>Error?</v>
      </c>
    </row>
    <row r="1797" spans="1:4" x14ac:dyDescent="0.2">
      <c r="A1797" s="5">
        <v>1736</v>
      </c>
      <c r="B1797" s="138">
        <f>'Tax Sched 23'!F10</f>
        <v>42535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257640</v>
      </c>
      <c r="C1800" s="2" t="s">
        <v>594</v>
      </c>
      <c r="D1800" s="2" t="str">
        <f t="shared" si="27"/>
        <v>Error?</v>
      </c>
    </row>
    <row r="1801" spans="1:4" x14ac:dyDescent="0.2">
      <c r="A1801" s="5">
        <v>1740</v>
      </c>
      <c r="B1801" s="138">
        <f>'Tax Sched 23'!F12</f>
        <v>42535</v>
      </c>
      <c r="C1801" s="2" t="s">
        <v>594</v>
      </c>
      <c r="D1801" s="2" t="str">
        <f t="shared" si="27"/>
        <v>Error?</v>
      </c>
    </row>
    <row r="1802" spans="1:4" x14ac:dyDescent="0.2">
      <c r="A1802" s="5">
        <v>1741</v>
      </c>
      <c r="B1802" s="138">
        <f>'Tax Sched 23'!F14</f>
        <v>34026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5079803</v>
      </c>
      <c r="C1807" s="2" t="s">
        <v>594</v>
      </c>
      <c r="D1807" s="2" t="str">
        <f t="shared" si="27"/>
        <v>Error?</v>
      </c>
    </row>
    <row r="1808" spans="1:4" x14ac:dyDescent="0.2">
      <c r="A1808" s="5">
        <v>1747</v>
      </c>
      <c r="B1808" s="138">
        <f>'Tax Sched 23'!E4</f>
        <v>5947744</v>
      </c>
      <c r="D1808" s="2" t="str">
        <f t="shared" si="27"/>
        <v>Error?</v>
      </c>
    </row>
    <row r="1809" spans="1:4" x14ac:dyDescent="0.2">
      <c r="A1809" s="5">
        <v>1748</v>
      </c>
      <c r="B1809" s="138">
        <f>'Tax Sched 23'!E5</f>
        <v>854561</v>
      </c>
      <c r="D1809" s="2" t="str">
        <f t="shared" si="27"/>
        <v>Error?</v>
      </c>
    </row>
    <row r="1810" spans="1:4" x14ac:dyDescent="0.2">
      <c r="A1810" s="5">
        <v>1749</v>
      </c>
      <c r="B1810" s="138">
        <f>'Tax Sched 23'!E6</f>
        <v>1809789</v>
      </c>
      <c r="D1810" s="2" t="str">
        <f t="shared" si="27"/>
        <v>Error?</v>
      </c>
    </row>
    <row r="1811" spans="1:4" x14ac:dyDescent="0.2">
      <c r="A1811" s="5">
        <v>1750</v>
      </c>
      <c r="B1811" s="138">
        <f>'Tax Sched 23'!E7</f>
        <v>341824</v>
      </c>
      <c r="D1811" s="2" t="str">
        <f t="shared" si="27"/>
        <v>Error?</v>
      </c>
    </row>
    <row r="1812" spans="1:4" x14ac:dyDescent="0.2">
      <c r="A1812" s="5">
        <v>1751</v>
      </c>
      <c r="B1812" s="138">
        <f>'Tax Sched 23'!E8</f>
        <v>118100</v>
      </c>
      <c r="D1812" s="2" t="str">
        <f t="shared" si="27"/>
        <v>Error?</v>
      </c>
    </row>
    <row r="1813" spans="1:4" x14ac:dyDescent="0.2">
      <c r="A1813" s="5">
        <v>1752</v>
      </c>
      <c r="B1813" s="138">
        <f>'Tax Sched 23'!E10</f>
        <v>85456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520086</v>
      </c>
      <c r="D1816" s="2" t="str">
        <f t="shared" si="27"/>
        <v>Error?</v>
      </c>
    </row>
    <row r="1817" spans="1:4" x14ac:dyDescent="0.2">
      <c r="A1817" s="5">
        <v>1756</v>
      </c>
      <c r="B1817" s="138">
        <f>'Tax Sched 23'!E12</f>
        <v>85456</v>
      </c>
      <c r="D1817" s="2" t="str">
        <f t="shared" si="27"/>
        <v>Error?</v>
      </c>
    </row>
    <row r="1818" spans="1:4" x14ac:dyDescent="0.2">
      <c r="A1818" s="5">
        <v>1757</v>
      </c>
      <c r="B1818" s="138">
        <f>'Tax Sched 23'!E14</f>
        <v>68365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10218839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15879203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67055</v>
      </c>
      <c r="D1972" s="2" t="str">
        <f t="shared" si="29"/>
        <v>Error?</v>
      </c>
    </row>
    <row r="1973" spans="1:5" x14ac:dyDescent="0.2">
      <c r="A1973" s="5">
        <v>1912</v>
      </c>
      <c r="B1973" s="138">
        <f>'Rest Tax Levies-Tort Im 25'!H6</f>
        <v>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67062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67062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2569982</v>
      </c>
      <c r="D2008" s="2" t="str">
        <f t="shared" si="30"/>
        <v>Error?</v>
      </c>
    </row>
    <row r="2009" spans="1:4" x14ac:dyDescent="0.2">
      <c r="A2009" s="5">
        <v>1948</v>
      </c>
      <c r="B2009" s="138">
        <f>'Cap Outlay Deprec 26'!C8</f>
        <v>33933389</v>
      </c>
      <c r="D2009" s="2" t="str">
        <f t="shared" si="30"/>
        <v>Error?</v>
      </c>
    </row>
    <row r="2010" spans="1:4" x14ac:dyDescent="0.2">
      <c r="A2010" s="5">
        <v>1949</v>
      </c>
      <c r="B2010" s="138">
        <f>'Cap Outlay Deprec 26'!C10</f>
        <v>1100264</v>
      </c>
      <c r="D2010" s="2" t="str">
        <f t="shared" si="30"/>
        <v>Error?</v>
      </c>
    </row>
    <row r="2011" spans="1:4" x14ac:dyDescent="0.2">
      <c r="A2011" s="5">
        <v>1950</v>
      </c>
      <c r="B2011" s="138">
        <f>'Cap Outlay Deprec 26'!C12</f>
        <v>3060558</v>
      </c>
      <c r="D2011" s="2" t="str">
        <f t="shared" si="30"/>
        <v>Error?</v>
      </c>
    </row>
    <row r="2012" spans="1:4" x14ac:dyDescent="0.2">
      <c r="A2012" s="5">
        <v>1951</v>
      </c>
      <c r="B2012" s="138">
        <f>'Cap Outlay Deprec 26'!C13</f>
        <v>118622</v>
      </c>
      <c r="D2012" s="2" t="str">
        <f t="shared" si="30"/>
        <v>Error?</v>
      </c>
    </row>
    <row r="2013" spans="1:4" x14ac:dyDescent="0.2">
      <c r="A2013" s="5">
        <v>1952</v>
      </c>
      <c r="B2013" s="138">
        <f>'Cap Outlay Deprec 26'!C16</f>
        <v>40782815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203500</v>
      </c>
      <c r="D2015" s="2" t="str">
        <f t="shared" si="30"/>
        <v>Error?</v>
      </c>
    </row>
    <row r="2016" spans="1:4" x14ac:dyDescent="0.2">
      <c r="A2016" s="5">
        <v>1955</v>
      </c>
      <c r="B2016" s="138">
        <f>'Cap Outlay Deprec 26'!D10</f>
        <v>31459</v>
      </c>
      <c r="D2016" s="2" t="str">
        <f t="shared" si="30"/>
        <v>Error?</v>
      </c>
    </row>
    <row r="2017" spans="1:4" x14ac:dyDescent="0.2">
      <c r="A2017" s="5">
        <v>1956</v>
      </c>
      <c r="B2017" s="138">
        <f>'Cap Outlay Deprec 26'!D12</f>
        <v>741401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976360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301103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301103</v>
      </c>
      <c r="C2025" s="2" t="s">
        <v>594</v>
      </c>
      <c r="D2025" s="2" t="str">
        <f t="shared" si="30"/>
        <v>Error?</v>
      </c>
    </row>
    <row r="2026" spans="1:4" x14ac:dyDescent="0.2">
      <c r="A2026" s="5">
        <v>1965</v>
      </c>
      <c r="B2026" s="138">
        <f>'Cap Outlay Deprec 26'!F5</f>
        <v>2569982</v>
      </c>
      <c r="C2026" s="2" t="s">
        <v>594</v>
      </c>
      <c r="D2026" s="2" t="str">
        <f t="shared" si="30"/>
        <v>Error?</v>
      </c>
    </row>
    <row r="2027" spans="1:4" x14ac:dyDescent="0.2">
      <c r="A2027" s="5">
        <v>1966</v>
      </c>
      <c r="B2027" s="138">
        <f>'Cap Outlay Deprec 26'!F8</f>
        <v>34136889</v>
      </c>
      <c r="C2027" s="2" t="s">
        <v>594</v>
      </c>
      <c r="D2027" s="2" t="str">
        <f t="shared" si="30"/>
        <v>Error?</v>
      </c>
    </row>
    <row r="2028" spans="1:4" x14ac:dyDescent="0.2">
      <c r="A2028" s="5">
        <v>1967</v>
      </c>
      <c r="B2028" s="138">
        <f>'Cap Outlay Deprec 26'!F10</f>
        <v>1131723</v>
      </c>
      <c r="C2028" s="2" t="s">
        <v>594</v>
      </c>
      <c r="D2028" s="2" t="str">
        <f t="shared" si="30"/>
        <v>Error?</v>
      </c>
    </row>
    <row r="2029" spans="1:4" x14ac:dyDescent="0.2">
      <c r="A2029" s="5">
        <v>1968</v>
      </c>
      <c r="B2029" s="138">
        <f>'Cap Outlay Deprec 26'!F12</f>
        <v>3500856</v>
      </c>
      <c r="C2029" s="2" t="s">
        <v>594</v>
      </c>
      <c r="D2029" s="2" t="str">
        <f t="shared" si="30"/>
        <v>Error?</v>
      </c>
    </row>
    <row r="2030" spans="1:4" x14ac:dyDescent="0.2">
      <c r="A2030" s="5">
        <v>1969</v>
      </c>
      <c r="B2030" s="138">
        <f>'Cap Outlay Deprec 26'!F13</f>
        <v>118622</v>
      </c>
      <c r="C2030" s="2" t="s">
        <v>594</v>
      </c>
      <c r="D2030" s="2" t="str">
        <f t="shared" si="30"/>
        <v>Error?</v>
      </c>
    </row>
    <row r="2031" spans="1:4" x14ac:dyDescent="0.2">
      <c r="A2031" s="5">
        <v>1970</v>
      </c>
      <c r="B2031" s="138">
        <f>'Cap Outlay Deprec 26'!F16</f>
        <v>41458072</v>
      </c>
      <c r="C2031" s="2" t="s">
        <v>594</v>
      </c>
      <c r="D2031" s="2" t="str">
        <f t="shared" si="30"/>
        <v>Error?</v>
      </c>
    </row>
    <row r="2032" spans="1:4" x14ac:dyDescent="0.2">
      <c r="A2032" s="10">
        <v>1971</v>
      </c>
      <c r="D2032" s="2" t="str">
        <f t="shared" si="30"/>
        <v>OK</v>
      </c>
    </row>
    <row r="2033" spans="1:4" x14ac:dyDescent="0.2">
      <c r="A2033" s="5">
        <v>1972</v>
      </c>
      <c r="B2033" s="138">
        <f>'Cap Outlay Deprec 26'!H8</f>
        <v>10944635</v>
      </c>
      <c r="D2033" s="2" t="str">
        <f t="shared" si="30"/>
        <v>Error?</v>
      </c>
    </row>
    <row r="2034" spans="1:4" x14ac:dyDescent="0.2">
      <c r="A2034" s="5">
        <v>1973</v>
      </c>
      <c r="B2034" s="138">
        <f>'Cap Outlay Deprec 26'!H10</f>
        <v>754777</v>
      </c>
      <c r="D2034" s="2" t="str">
        <f t="shared" si="30"/>
        <v>Error?</v>
      </c>
    </row>
    <row r="2035" spans="1:4" x14ac:dyDescent="0.2">
      <c r="A2035" s="5">
        <v>1974</v>
      </c>
      <c r="B2035" s="138">
        <f>'Cap Outlay Deprec 26'!H12</f>
        <v>1603850</v>
      </c>
      <c r="D2035" s="2" t="str">
        <f t="shared" si="30"/>
        <v>Error?</v>
      </c>
    </row>
    <row r="2036" spans="1:4" x14ac:dyDescent="0.2">
      <c r="A2036" s="5">
        <v>1975</v>
      </c>
      <c r="B2036" s="138">
        <f>'Cap Outlay Deprec 26'!H13</f>
        <v>95109</v>
      </c>
      <c r="D2036" s="2" t="str">
        <f t="shared" si="30"/>
        <v>Error?</v>
      </c>
    </row>
    <row r="2037" spans="1:4" x14ac:dyDescent="0.2">
      <c r="A2037" s="5">
        <v>1976</v>
      </c>
      <c r="B2037" s="138">
        <f>'Cap Outlay Deprec 26'!H16</f>
        <v>13398371</v>
      </c>
      <c r="C2037" s="2" t="s">
        <v>594</v>
      </c>
      <c r="D2037" s="2" t="str">
        <f t="shared" si="30"/>
        <v>Error?</v>
      </c>
    </row>
    <row r="2038" spans="1:4" x14ac:dyDescent="0.2">
      <c r="A2038" s="10">
        <v>1977</v>
      </c>
      <c r="D2038" s="2" t="str">
        <f t="shared" si="30"/>
        <v>OK</v>
      </c>
    </row>
    <row r="2039" spans="1:4" x14ac:dyDescent="0.2">
      <c r="A2039" s="5">
        <v>1978</v>
      </c>
      <c r="B2039" s="138">
        <f>'Cap Outlay Deprec 26'!I8</f>
        <v>639350</v>
      </c>
      <c r="D2039" s="2" t="str">
        <f t="shared" si="30"/>
        <v>Error?</v>
      </c>
    </row>
    <row r="2040" spans="1:4" x14ac:dyDescent="0.2">
      <c r="A2040" s="5">
        <v>1979</v>
      </c>
      <c r="B2040" s="138">
        <f>'Cap Outlay Deprec 26'!I10</f>
        <v>42086</v>
      </c>
      <c r="D2040" s="2" t="str">
        <f t="shared" si="30"/>
        <v>Error?</v>
      </c>
    </row>
    <row r="2041" spans="1:4" x14ac:dyDescent="0.2">
      <c r="A2041" s="5">
        <v>1980</v>
      </c>
      <c r="B2041" s="138">
        <f>'Cap Outlay Deprec 26'!I12</f>
        <v>284415</v>
      </c>
      <c r="D2041" s="2" t="str">
        <f t="shared" si="30"/>
        <v>Error?</v>
      </c>
    </row>
    <row r="2042" spans="1:4" x14ac:dyDescent="0.2">
      <c r="A2042" s="5">
        <v>1981</v>
      </c>
      <c r="B2042" s="138">
        <f>'Cap Outlay Deprec 26'!I13</f>
        <v>1308</v>
      </c>
      <c r="D2042" s="2" t="str">
        <f t="shared" si="30"/>
        <v>Error?</v>
      </c>
    </row>
    <row r="2043" spans="1:4" x14ac:dyDescent="0.2">
      <c r="A2043" s="5">
        <v>1982</v>
      </c>
      <c r="B2043" s="138">
        <f>'Cap Outlay Deprec 26'!I16</f>
        <v>967159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301103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301103</v>
      </c>
      <c r="C2049" s="2" t="s">
        <v>594</v>
      </c>
      <c r="D2049" s="2" t="str">
        <f t="shared" si="31"/>
        <v>Error?</v>
      </c>
    </row>
    <row r="2050" spans="1:4" x14ac:dyDescent="0.2">
      <c r="A2050" s="10">
        <v>1989</v>
      </c>
      <c r="D2050" s="2" t="str">
        <f t="shared" si="31"/>
        <v>OK</v>
      </c>
    </row>
    <row r="2051" spans="1:4" x14ac:dyDescent="0.2">
      <c r="A2051" s="5">
        <v>1990</v>
      </c>
      <c r="B2051" s="138">
        <f>'Cap Outlay Deprec 26'!K8</f>
        <v>11583985</v>
      </c>
      <c r="C2051" s="2" t="s">
        <v>594</v>
      </c>
      <c r="D2051" s="2" t="str">
        <f t="shared" si="31"/>
        <v>Error?</v>
      </c>
    </row>
    <row r="2052" spans="1:4" x14ac:dyDescent="0.2">
      <c r="A2052" s="5">
        <v>1991</v>
      </c>
      <c r="B2052" s="138">
        <f>'Cap Outlay Deprec 26'!K10</f>
        <v>796863</v>
      </c>
      <c r="C2052" s="2" t="s">
        <v>594</v>
      </c>
      <c r="D2052" s="2" t="str">
        <f t="shared" si="31"/>
        <v>Error?</v>
      </c>
    </row>
    <row r="2053" spans="1:4" x14ac:dyDescent="0.2">
      <c r="A2053" s="5">
        <v>1992</v>
      </c>
      <c r="B2053" s="138">
        <f>'Cap Outlay Deprec 26'!K12</f>
        <v>1587162</v>
      </c>
      <c r="C2053" s="2" t="s">
        <v>594</v>
      </c>
      <c r="D2053" s="2" t="str">
        <f t="shared" si="31"/>
        <v>Error?</v>
      </c>
    </row>
    <row r="2054" spans="1:4" x14ac:dyDescent="0.2">
      <c r="A2054" s="5">
        <v>1993</v>
      </c>
      <c r="B2054" s="138">
        <f>'Cap Outlay Deprec 26'!K13</f>
        <v>96417</v>
      </c>
      <c r="C2054" s="2" t="s">
        <v>594</v>
      </c>
      <c r="D2054" s="2" t="str">
        <f t="shared" si="31"/>
        <v>Error?</v>
      </c>
    </row>
    <row r="2055" spans="1:4" x14ac:dyDescent="0.2">
      <c r="A2055" s="5">
        <v>1994</v>
      </c>
      <c r="B2055" s="138">
        <f>'Cap Outlay Deprec 26'!K16</f>
        <v>14064427</v>
      </c>
      <c r="C2055" s="2" t="s">
        <v>594</v>
      </c>
      <c r="D2055" s="2" t="str">
        <f t="shared" si="31"/>
        <v>Error?</v>
      </c>
    </row>
    <row r="2056" spans="1:4" x14ac:dyDescent="0.2">
      <c r="A2056" s="5">
        <v>1995</v>
      </c>
      <c r="B2056" s="138">
        <f>'Cap Outlay Deprec 26'!L5</f>
        <v>2569982</v>
      </c>
      <c r="C2056" s="2" t="s">
        <v>594</v>
      </c>
      <c r="D2056" s="2" t="str">
        <f t="shared" si="31"/>
        <v>Error?</v>
      </c>
    </row>
    <row r="2057" spans="1:4" x14ac:dyDescent="0.2">
      <c r="A2057" s="5">
        <v>1996</v>
      </c>
      <c r="B2057" s="138">
        <f>'Cap Outlay Deprec 26'!L8</f>
        <v>22552904</v>
      </c>
      <c r="C2057" s="2" t="s">
        <v>594</v>
      </c>
      <c r="D2057" s="2" t="str">
        <f t="shared" si="31"/>
        <v>Error?</v>
      </c>
    </row>
    <row r="2058" spans="1:4" x14ac:dyDescent="0.2">
      <c r="A2058" s="5">
        <v>1997</v>
      </c>
      <c r="B2058" s="138">
        <f>'Cap Outlay Deprec 26'!L10</f>
        <v>334860</v>
      </c>
      <c r="C2058" s="2" t="s">
        <v>594</v>
      </c>
      <c r="D2058" s="2" t="str">
        <f t="shared" si="31"/>
        <v>Error?</v>
      </c>
    </row>
    <row r="2059" spans="1:4" x14ac:dyDescent="0.2">
      <c r="A2059" s="5">
        <v>1998</v>
      </c>
      <c r="B2059" s="138">
        <f>'Cap Outlay Deprec 26'!L12</f>
        <v>1913694</v>
      </c>
      <c r="C2059" s="2" t="s">
        <v>594</v>
      </c>
      <c r="D2059" s="2" t="str">
        <f t="shared" si="31"/>
        <v>Error?</v>
      </c>
    </row>
    <row r="2060" spans="1:4" x14ac:dyDescent="0.2">
      <c r="A2060" s="5">
        <v>1999</v>
      </c>
      <c r="B2060" s="138">
        <f>'Cap Outlay Deprec 26'!L13</f>
        <v>22205</v>
      </c>
      <c r="C2060" s="2" t="s">
        <v>594</v>
      </c>
      <c r="D2060" s="2" t="str">
        <f t="shared" si="31"/>
        <v>Error?</v>
      </c>
    </row>
    <row r="2061" spans="1:4" x14ac:dyDescent="0.2">
      <c r="A2061" s="5">
        <v>2000</v>
      </c>
      <c r="B2061" s="138">
        <f>'Cap Outlay Deprec 26'!L16</f>
        <v>27393645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20250</v>
      </c>
      <c r="C2088" s="2" t="s">
        <v>594</v>
      </c>
      <c r="D2088" s="2" t="str">
        <f t="shared" si="31"/>
        <v>Error?</v>
      </c>
    </row>
    <row r="2089" spans="1:4" x14ac:dyDescent="0.2">
      <c r="A2089" s="5">
        <v>2028</v>
      </c>
      <c r="B2089" s="138">
        <f>'Expenditures 15-22'!K92</f>
        <v>456068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98557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6810229</v>
      </c>
      <c r="C2551" s="2" t="s">
        <v>594</v>
      </c>
      <c r="D2551" s="2" t="str">
        <f t="shared" si="38"/>
        <v>Error?</v>
      </c>
    </row>
    <row r="2552" spans="1:4" x14ac:dyDescent="0.2">
      <c r="A2552" s="10">
        <v>2491</v>
      </c>
      <c r="D2552" s="2" t="str">
        <f t="shared" si="38"/>
        <v>OK</v>
      </c>
    </row>
    <row r="2553" spans="1:4" x14ac:dyDescent="0.2">
      <c r="A2553" s="5">
        <v>2492</v>
      </c>
      <c r="B2553" s="138">
        <f>'Acct Summary 7-8'!C6</f>
        <v>6439791</v>
      </c>
      <c r="C2553" s="2" t="s">
        <v>594</v>
      </c>
      <c r="D2553" s="2" t="str">
        <f t="shared" si="38"/>
        <v>Error?</v>
      </c>
    </row>
    <row r="2554" spans="1:4" x14ac:dyDescent="0.2">
      <c r="A2554" s="5">
        <v>2493</v>
      </c>
      <c r="B2554" s="138">
        <f>'Acct Summary 7-8'!C7</f>
        <v>646674</v>
      </c>
      <c r="C2554" s="2" t="s">
        <v>594</v>
      </c>
      <c r="D2554" s="2" t="str">
        <f t="shared" si="38"/>
        <v>Error?</v>
      </c>
    </row>
    <row r="2555" spans="1:4" x14ac:dyDescent="0.2">
      <c r="A2555" s="5">
        <v>2494</v>
      </c>
      <c r="B2555" s="138">
        <f>'Acct Summary 7-8'!C8</f>
        <v>13896694</v>
      </c>
      <c r="C2555" s="2" t="s">
        <v>594</v>
      </c>
      <c r="D2555" s="2" t="str">
        <f t="shared" si="38"/>
        <v>Error?</v>
      </c>
    </row>
    <row r="2556" spans="1:4" x14ac:dyDescent="0.2">
      <c r="A2556" s="5">
        <v>2495</v>
      </c>
      <c r="B2556" s="138">
        <f>'Acct Summary 7-8'!C12</f>
        <v>8287722</v>
      </c>
      <c r="C2556" s="2" t="s">
        <v>594</v>
      </c>
      <c r="D2556" s="2" t="str">
        <f t="shared" si="38"/>
        <v>Error?</v>
      </c>
    </row>
    <row r="2557" spans="1:4" x14ac:dyDescent="0.2">
      <c r="A2557" s="5">
        <v>2496</v>
      </c>
      <c r="B2557" s="138">
        <f>'Acct Summary 7-8'!C13</f>
        <v>3661895</v>
      </c>
      <c r="C2557" s="2" t="s">
        <v>594</v>
      </c>
      <c r="D2557" s="2" t="str">
        <f t="shared" si="38"/>
        <v>Error?</v>
      </c>
    </row>
    <row r="2558" spans="1:4" x14ac:dyDescent="0.2">
      <c r="A2558" s="5">
        <v>2497</v>
      </c>
      <c r="B2558" s="138">
        <f>'Acct Summary 7-8'!C14</f>
        <v>4778</v>
      </c>
      <c r="C2558" s="2" t="s">
        <v>594</v>
      </c>
      <c r="D2558" s="2" t="str">
        <f t="shared" si="38"/>
        <v>Error?</v>
      </c>
    </row>
    <row r="2559" spans="1:4" x14ac:dyDescent="0.2">
      <c r="A2559" s="5">
        <v>2498</v>
      </c>
      <c r="B2559" s="138">
        <f>'Acct Summary 7-8'!C15</f>
        <v>476318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12430713</v>
      </c>
      <c r="C2561" s="2" t="s">
        <v>594</v>
      </c>
      <c r="D2561" s="2" t="str">
        <f t="shared" si="39"/>
        <v>Error?</v>
      </c>
    </row>
    <row r="2562" spans="1:4" x14ac:dyDescent="0.2">
      <c r="A2562" s="5">
        <v>2501</v>
      </c>
      <c r="B2562" s="138">
        <f>'Acct Summary 7-8'!C20</f>
        <v>1465981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1053909</v>
      </c>
      <c r="C2564" s="2" t="s">
        <v>594</v>
      </c>
      <c r="D2564" s="2" t="str">
        <f t="shared" si="39"/>
        <v>Error?</v>
      </c>
    </row>
    <row r="2565" spans="1:4" x14ac:dyDescent="0.2">
      <c r="A2565" s="10">
        <v>2504</v>
      </c>
      <c r="D2565" s="2" t="str">
        <f t="shared" si="39"/>
        <v>OK</v>
      </c>
    </row>
    <row r="2566" spans="1:4" x14ac:dyDescent="0.2">
      <c r="A2566" s="5">
        <v>2505</v>
      </c>
      <c r="B2566" s="138">
        <f>'Acct Summary 7-8'!D6</f>
        <v>190000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1243909</v>
      </c>
      <c r="C2568" s="2" t="s">
        <v>594</v>
      </c>
      <c r="D2568" s="2" t="str">
        <f t="shared" si="39"/>
        <v>Error?</v>
      </c>
    </row>
    <row r="2569" spans="1:4" x14ac:dyDescent="0.2">
      <c r="A2569" s="5">
        <v>2508</v>
      </c>
      <c r="B2569" s="138">
        <f>'Acct Summary 7-8'!D13</f>
        <v>1205624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1205624</v>
      </c>
      <c r="C2573" s="2" t="s">
        <v>594</v>
      </c>
      <c r="D2573" s="2" t="str">
        <f t="shared" si="39"/>
        <v>Error?</v>
      </c>
    </row>
    <row r="2574" spans="1:4" x14ac:dyDescent="0.2">
      <c r="A2574" s="5">
        <v>2513</v>
      </c>
      <c r="B2574" s="138">
        <f>'Acct Summary 7-8'!D20</f>
        <v>38285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353524</v>
      </c>
      <c r="C2591" s="2" t="s">
        <v>594</v>
      </c>
      <c r="D2591" s="2" t="str">
        <f t="shared" si="39"/>
        <v>Error?</v>
      </c>
    </row>
    <row r="2592" spans="1:4" x14ac:dyDescent="0.2">
      <c r="A2592" s="10">
        <v>2531</v>
      </c>
      <c r="D2592" s="2" t="str">
        <f t="shared" si="39"/>
        <v>OK</v>
      </c>
    </row>
    <row r="2593" spans="1:4" x14ac:dyDescent="0.2">
      <c r="A2593" s="5">
        <v>2532</v>
      </c>
      <c r="B2593" s="138">
        <f>'Acct Summary 7-8'!F6</f>
        <v>1251958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1605482</v>
      </c>
      <c r="C2595" s="2" t="s">
        <v>594</v>
      </c>
      <c r="D2595" s="2" t="str">
        <f t="shared" si="39"/>
        <v>Error?</v>
      </c>
    </row>
    <row r="2596" spans="1:4" x14ac:dyDescent="0.2">
      <c r="A2596" s="5">
        <v>2535</v>
      </c>
      <c r="B2596" s="138">
        <f>'Acct Summary 7-8'!F13</f>
        <v>1542358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1542358</v>
      </c>
      <c r="C2600" s="2" t="s">
        <v>594</v>
      </c>
      <c r="D2600" s="2" t="str">
        <f t="shared" si="39"/>
        <v>Error?</v>
      </c>
    </row>
    <row r="2601" spans="1:4" x14ac:dyDescent="0.2">
      <c r="A2601" s="5">
        <v>2540</v>
      </c>
      <c r="B2601" s="138">
        <f>'Acct Summary 7-8'!F20</f>
        <v>63124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452132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452132</v>
      </c>
      <c r="C2606" s="2" t="s">
        <v>594</v>
      </c>
      <c r="D2606" s="2" t="str">
        <f t="shared" si="39"/>
        <v>Error?</v>
      </c>
    </row>
    <row r="2607" spans="1:4" x14ac:dyDescent="0.2">
      <c r="A2607" s="5">
        <v>2546</v>
      </c>
      <c r="B2607" s="138">
        <f>'Acct Summary 7-8'!G12</f>
        <v>173397</v>
      </c>
      <c r="C2607" s="2" t="s">
        <v>594</v>
      </c>
      <c r="D2607" s="2" t="str">
        <f t="shared" si="39"/>
        <v>Error?</v>
      </c>
    </row>
    <row r="2608" spans="1:4" x14ac:dyDescent="0.2">
      <c r="A2608" s="5">
        <v>2547</v>
      </c>
      <c r="B2608" s="138">
        <f>'Acct Summary 7-8'!G13</f>
        <v>284566</v>
      </c>
      <c r="C2608" s="2" t="s">
        <v>594</v>
      </c>
      <c r="D2608" s="2" t="str">
        <f t="shared" si="39"/>
        <v>Error?</v>
      </c>
    </row>
    <row r="2609" spans="1:4" x14ac:dyDescent="0.2">
      <c r="A2609" s="5">
        <v>2548</v>
      </c>
      <c r="B2609" s="138">
        <f>'Acct Summary 7-8'!G14</f>
        <v>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457965</v>
      </c>
      <c r="C2612" s="2" t="s">
        <v>594</v>
      </c>
      <c r="D2612" s="2" t="str">
        <f t="shared" si="39"/>
        <v>Error?</v>
      </c>
    </row>
    <row r="2613" spans="1:4" x14ac:dyDescent="0.2">
      <c r="A2613" s="5">
        <v>2552</v>
      </c>
      <c r="B2613" s="138">
        <f>'Acct Summary 7-8'!G20</f>
        <v>-5833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1812044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1812044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1791567</v>
      </c>
      <c r="C2634" s="2" t="s">
        <v>594</v>
      </c>
      <c r="D2634" s="2" t="str">
        <f t="shared" si="40"/>
        <v>Error?</v>
      </c>
    </row>
    <row r="2635" spans="1:4" x14ac:dyDescent="0.2">
      <c r="A2635" s="5">
        <v>2574</v>
      </c>
      <c r="B2635" s="138">
        <f>'Acct Summary 7-8'!E17</f>
        <v>1791567</v>
      </c>
      <c r="C2635" s="2" t="s">
        <v>594</v>
      </c>
      <c r="D2635" s="2" t="str">
        <f t="shared" si="40"/>
        <v>Error?</v>
      </c>
    </row>
    <row r="2636" spans="1:4" x14ac:dyDescent="0.2">
      <c r="A2636" s="5">
        <v>2575</v>
      </c>
      <c r="B2636" s="138">
        <f>'Acct Summary 7-8'!E20</f>
        <v>20477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22677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22677</v>
      </c>
      <c r="C2658" s="2" t="s">
        <v>594</v>
      </c>
      <c r="D2658" s="2" t="str">
        <f t="shared" si="40"/>
        <v>Error?</v>
      </c>
    </row>
    <row r="2659" spans="1:4" x14ac:dyDescent="0.2">
      <c r="A2659" s="5">
        <v>2598</v>
      </c>
      <c r="B2659" s="138">
        <f>'Acct Summary 7-8'!H13</f>
        <v>226250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226250</v>
      </c>
      <c r="C2661" s="2" t="s">
        <v>594</v>
      </c>
      <c r="D2661" s="2" t="str">
        <f t="shared" si="40"/>
        <v>Error?</v>
      </c>
    </row>
    <row r="2662" spans="1:4" x14ac:dyDescent="0.2">
      <c r="A2662" s="5">
        <v>2601</v>
      </c>
      <c r="B2662" s="138">
        <f>'Acct Summary 7-8'!H20</f>
        <v>-203573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20250</v>
      </c>
      <c r="C2789" s="2" t="s">
        <v>594</v>
      </c>
      <c r="D2789" s="2" t="str">
        <f t="shared" si="42"/>
        <v>Error?</v>
      </c>
    </row>
    <row r="2790" spans="1:4" x14ac:dyDescent="0.2">
      <c r="A2790" s="5">
        <v>2729</v>
      </c>
      <c r="B2790" s="138">
        <f>'Expenditures 15-22'!E102</f>
        <v>20250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511046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201531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511046</v>
      </c>
      <c r="D2912" s="2" t="str">
        <f t="shared" si="44"/>
        <v>Error?</v>
      </c>
    </row>
    <row r="2913" spans="1:4" x14ac:dyDescent="0.2">
      <c r="A2913" s="5">
        <v>2852</v>
      </c>
      <c r="B2913" s="138">
        <f>'Assets-Liab 5-6'!I41</f>
        <v>511046</v>
      </c>
      <c r="C2913" s="2" t="s">
        <v>594</v>
      </c>
      <c r="D2913" s="2" t="str">
        <f t="shared" si="44"/>
        <v>Error?</v>
      </c>
    </row>
    <row r="2914" spans="1:4" x14ac:dyDescent="0.2">
      <c r="A2914" s="5">
        <v>2853</v>
      </c>
      <c r="B2914" s="138">
        <f>'Assets-Liab 5-6'!L33</f>
        <v>201531</v>
      </c>
      <c r="D2914" s="2" t="str">
        <f t="shared" si="44"/>
        <v>Error?</v>
      </c>
    </row>
    <row r="2915" spans="1:4" x14ac:dyDescent="0.2">
      <c r="A2915" s="10">
        <v>2854</v>
      </c>
      <c r="D2915" s="2" t="str">
        <f t="shared" si="44"/>
        <v>OK</v>
      </c>
    </row>
    <row r="2916" spans="1:4" x14ac:dyDescent="0.2">
      <c r="A2916" s="5">
        <v>2855</v>
      </c>
      <c r="B2916" s="138">
        <f>'Assets-Liab 5-6'!L34</f>
        <v>201531</v>
      </c>
      <c r="C2916" s="2" t="s">
        <v>594</v>
      </c>
      <c r="D2916" s="2" t="str">
        <f t="shared" si="44"/>
        <v>Error?</v>
      </c>
    </row>
    <row r="2917" spans="1:4" x14ac:dyDescent="0.2">
      <c r="A2917" s="5">
        <v>2856</v>
      </c>
      <c r="B2917" s="138">
        <f>'Assets-Liab 5-6'!L41</f>
        <v>201531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20250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20250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82769</v>
      </c>
      <c r="D3055" s="2" t="str">
        <f t="shared" si="46"/>
        <v>Error?</v>
      </c>
    </row>
    <row r="3056" spans="1:4" x14ac:dyDescent="0.2">
      <c r="A3056" s="5">
        <v>2995</v>
      </c>
      <c r="B3056" s="138">
        <f>'Expenditures 15-22'!D10</f>
        <v>26995</v>
      </c>
      <c r="D3056" s="2" t="str">
        <f t="shared" si="46"/>
        <v>Error?</v>
      </c>
    </row>
    <row r="3057" spans="1:4" x14ac:dyDescent="0.2">
      <c r="A3057" s="5">
        <v>2996</v>
      </c>
      <c r="B3057" s="138">
        <f>'Expenditures 15-22'!E10</f>
        <v>404</v>
      </c>
      <c r="D3057" s="2" t="str">
        <f t="shared" si="46"/>
        <v>Error?</v>
      </c>
    </row>
    <row r="3058" spans="1:4" x14ac:dyDescent="0.2">
      <c r="A3058" s="5">
        <v>2997</v>
      </c>
      <c r="B3058" s="138">
        <f>'Expenditures 15-22'!F10</f>
        <v>9067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119235</v>
      </c>
      <c r="C3062" s="2" t="s">
        <v>594</v>
      </c>
      <c r="D3062" s="2" t="str">
        <f t="shared" si="46"/>
        <v>Error?</v>
      </c>
    </row>
    <row r="3063" spans="1:4" x14ac:dyDescent="0.2">
      <c r="A3063" s="10">
        <v>3002</v>
      </c>
      <c r="D3063" s="2" t="str">
        <f t="shared" si="46"/>
        <v>OK</v>
      </c>
    </row>
    <row r="3064" spans="1:4" x14ac:dyDescent="0.2">
      <c r="A3064" s="5">
        <v>3003</v>
      </c>
      <c r="B3064" s="138">
        <f>'Expenditures 15-22'!D219</f>
        <v>1200</v>
      </c>
      <c r="D3064" s="2" t="str">
        <f t="shared" si="46"/>
        <v>Error?</v>
      </c>
    </row>
    <row r="3065" spans="1:4" x14ac:dyDescent="0.2">
      <c r="A3065" s="5">
        <v>3004</v>
      </c>
      <c r="B3065" s="138">
        <f>'Expenditures 15-22'!K219</f>
        <v>1200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87009</v>
      </c>
      <c r="C3225" s="2" t="s">
        <v>594</v>
      </c>
      <c r="D3225" s="2" t="str">
        <f t="shared" si="49"/>
        <v>Error?</v>
      </c>
    </row>
    <row r="3226" spans="1:4" x14ac:dyDescent="0.2">
      <c r="A3226" s="5">
        <v>3165</v>
      </c>
      <c r="B3226" s="138">
        <f>'Acct Summary 7-8'!I8</f>
        <v>87009</v>
      </c>
      <c r="C3226" s="2" t="s">
        <v>594</v>
      </c>
      <c r="D3226" s="2" t="str">
        <f t="shared" si="49"/>
        <v>Error?</v>
      </c>
    </row>
    <row r="3227" spans="1:4" x14ac:dyDescent="0.2">
      <c r="A3227" s="5">
        <v>3166</v>
      </c>
      <c r="B3227" s="138">
        <f>'Acct Summary 7-8'!I20</f>
        <v>87009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1465981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38285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63124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-5833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20477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-203573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87009</v>
      </c>
      <c r="C3320" s="2" t="s">
        <v>594</v>
      </c>
      <c r="D3320" s="2" t="str">
        <f t="shared" si="50"/>
        <v>Error?</v>
      </c>
    </row>
    <row r="3321" spans="1:4" x14ac:dyDescent="0.2">
      <c r="A3321" s="5">
        <v>3260</v>
      </c>
      <c r="B3321" s="138">
        <f>'Acct Summary 7-8'!I79</f>
        <v>424037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511046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1096016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192585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1289107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73637</v>
      </c>
      <c r="D3387" s="2" t="str">
        <f t="shared" si="51"/>
        <v>Error?</v>
      </c>
    </row>
    <row r="3388" spans="1:4" x14ac:dyDescent="0.2">
      <c r="A3388" s="5">
        <v>3327</v>
      </c>
      <c r="B3388" s="138">
        <f>'Expenditures 15-22'!D217</f>
        <v>73423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73637</v>
      </c>
      <c r="C3390" s="2" t="s">
        <v>594</v>
      </c>
      <c r="D3390" s="2" t="str">
        <f t="shared" si="51"/>
        <v>Error?</v>
      </c>
    </row>
    <row r="3391" spans="1:4" x14ac:dyDescent="0.2">
      <c r="A3391" s="5">
        <v>3330</v>
      </c>
      <c r="B3391" s="138">
        <f>'Expenditures 15-22'!K217</f>
        <v>73423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8510598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342360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1025601</v>
      </c>
      <c r="D3417" s="2" t="str">
        <f t="shared" si="52"/>
        <v>Error?</v>
      </c>
    </row>
    <row r="3418" spans="1:4" x14ac:dyDescent="0.2">
      <c r="A3418" s="10">
        <v>3357</v>
      </c>
      <c r="D3418" s="2" t="str">
        <f t="shared" si="52"/>
        <v>OK</v>
      </c>
    </row>
    <row r="3419" spans="1:4" x14ac:dyDescent="0.2">
      <c r="A3419" s="5">
        <v>3358</v>
      </c>
      <c r="B3419" s="138">
        <f>'Assets-Liab 5-6'!F4</f>
        <v>1742914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392165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112535</v>
      </c>
      <c r="D3425" s="2" t="str">
        <f t="shared" si="52"/>
        <v>Error?</v>
      </c>
    </row>
    <row r="3426" spans="1:4" x14ac:dyDescent="0.2">
      <c r="A3426" s="10">
        <v>3365</v>
      </c>
      <c r="D3426" s="2" t="str">
        <f t="shared" si="52"/>
        <v>OK</v>
      </c>
    </row>
    <row r="3427" spans="1:4" x14ac:dyDescent="0.2">
      <c r="A3427" s="5">
        <v>3366</v>
      </c>
      <c r="B3427" s="138">
        <f>'Assets-Liab 5-6'!I4</f>
        <v>511046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201531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302667</v>
      </c>
      <c r="C3446" s="2" t="s">
        <v>594</v>
      </c>
      <c r="D3446" s="2" t="str">
        <f t="shared" si="52"/>
        <v>Error?</v>
      </c>
    </row>
    <row r="3447" spans="1:4" x14ac:dyDescent="0.2">
      <c r="A3447" s="5">
        <v>3386</v>
      </c>
      <c r="B3447" s="138">
        <f>'Tax Sched 23'!D16</f>
        <v>150248</v>
      </c>
      <c r="C3447" s="2" t="s">
        <v>594</v>
      </c>
      <c r="D3447" s="2" t="str">
        <f t="shared" si="52"/>
        <v>Error?</v>
      </c>
    </row>
    <row r="3448" spans="1:4" x14ac:dyDescent="0.2">
      <c r="A3448" s="5">
        <v>3387</v>
      </c>
      <c r="B3448" s="138">
        <f>'Tax Sched 23'!C16</f>
        <v>152419</v>
      </c>
      <c r="D3448" s="2" t="str">
        <f t="shared" si="52"/>
        <v>Error?</v>
      </c>
    </row>
    <row r="3449" spans="1:4" x14ac:dyDescent="0.2">
      <c r="A3449" s="5">
        <v>3388</v>
      </c>
      <c r="B3449" s="138">
        <f>'Tax Sched 23'!F16</f>
        <v>149583</v>
      </c>
      <c r="C3449" s="2" t="s">
        <v>594</v>
      </c>
      <c r="D3449" s="2" t="str">
        <f t="shared" si="52"/>
        <v>Error?</v>
      </c>
    </row>
    <row r="3450" spans="1:4" x14ac:dyDescent="0.2">
      <c r="A3450" s="5">
        <v>3389</v>
      </c>
      <c r="B3450" s="138">
        <f>'Tax Sched 23'!E16</f>
        <v>302002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151521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151521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151521</v>
      </c>
      <c r="D3567" s="2" t="str">
        <f t="shared" si="54"/>
        <v>Error?</v>
      </c>
    </row>
    <row r="3568" spans="1:4" x14ac:dyDescent="0.2">
      <c r="A3568" s="5">
        <v>3507</v>
      </c>
      <c r="B3568" s="138">
        <f>'Assets-Liab 5-6'!K41</f>
        <v>151521</v>
      </c>
      <c r="C3568" s="2" t="s">
        <v>594</v>
      </c>
      <c r="D3568" s="2" t="str">
        <f t="shared" si="54"/>
        <v>Error?</v>
      </c>
    </row>
    <row r="3569" spans="1:4" x14ac:dyDescent="0.2">
      <c r="A3569" s="5">
        <v>3508</v>
      </c>
      <c r="B3569" s="138">
        <f>'Acct Summary 7-8'!K4</f>
        <v>84388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84388</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84388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84388</v>
      </c>
      <c r="C3588" s="2" t="s">
        <v>594</v>
      </c>
      <c r="D3588" s="2" t="str">
        <f t="shared" si="55"/>
        <v>Error?</v>
      </c>
    </row>
    <row r="3589" spans="1:4" x14ac:dyDescent="0.2">
      <c r="A3589" s="5">
        <v>3528</v>
      </c>
      <c r="B3589" s="138">
        <f>'Acct Summary 7-8'!K79</f>
        <v>67133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151521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84388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83816</v>
      </c>
      <c r="C3725" s="2" t="s">
        <v>594</v>
      </c>
      <c r="D3725" s="2" t="str">
        <f t="shared" si="57"/>
        <v>Error?</v>
      </c>
    </row>
    <row r="3726" spans="1:4" x14ac:dyDescent="0.2">
      <c r="A3726" s="5">
        <v>3665</v>
      </c>
      <c r="B3726" s="138">
        <f>'Tax Sched 23'!D13</f>
        <v>40895</v>
      </c>
      <c r="C3726" s="2" t="s">
        <v>594</v>
      </c>
      <c r="D3726" s="2" t="str">
        <f t="shared" si="57"/>
        <v>Error?</v>
      </c>
    </row>
    <row r="3727" spans="1:4" x14ac:dyDescent="0.2">
      <c r="A3727" s="5">
        <v>3666</v>
      </c>
      <c r="B3727" s="138">
        <f>'Tax Sched 23'!C13</f>
        <v>42921</v>
      </c>
      <c r="D3727" s="2" t="str">
        <f t="shared" si="57"/>
        <v>Error?</v>
      </c>
    </row>
    <row r="3728" spans="1:4" x14ac:dyDescent="0.2">
      <c r="A3728" s="5">
        <v>3667</v>
      </c>
      <c r="B3728" s="138">
        <f>'Tax Sched 23'!F13</f>
        <v>42535</v>
      </c>
      <c r="C3728" s="2" t="s">
        <v>594</v>
      </c>
      <c r="D3728" s="2" t="str">
        <f t="shared" si="57"/>
        <v>Error?</v>
      </c>
    </row>
    <row r="3729" spans="1:4" x14ac:dyDescent="0.2">
      <c r="A3729" s="5">
        <v>3668</v>
      </c>
      <c r="B3729" s="138">
        <f>'Tax Sched 23'!E13</f>
        <v>85456</v>
      </c>
      <c r="D3729" s="2" t="str">
        <f t="shared" si="57"/>
        <v>Error?</v>
      </c>
    </row>
    <row r="3730" spans="1:4" x14ac:dyDescent="0.2">
      <c r="A3730" s="5">
        <v>3669</v>
      </c>
      <c r="B3730" s="138">
        <f>'ICR Computation 30'!E10</f>
        <v>246539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846493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14743187</v>
      </c>
      <c r="C4122" s="2" t="s">
        <v>594</v>
      </c>
      <c r="D4122" s="2" t="str">
        <f t="shared" si="63"/>
        <v>Error?</v>
      </c>
    </row>
    <row r="4123" spans="1:4" x14ac:dyDescent="0.2">
      <c r="A4123" s="5">
        <v>4062</v>
      </c>
      <c r="B4123" s="138">
        <f>'Acct Summary 7-8'!D10</f>
        <v>1243909</v>
      </c>
      <c r="C4123" s="2" t="s">
        <v>594</v>
      </c>
      <c r="D4123" s="2" t="str">
        <f t="shared" si="63"/>
        <v>Error?</v>
      </c>
    </row>
    <row r="4124" spans="1:4" x14ac:dyDescent="0.2">
      <c r="A4124" s="5">
        <v>4063</v>
      </c>
      <c r="B4124" s="138">
        <f>'Acct Summary 7-8'!E10</f>
        <v>1812044</v>
      </c>
      <c r="C4124" s="2" t="s">
        <v>594</v>
      </c>
      <c r="D4124" s="2" t="str">
        <f t="shared" si="63"/>
        <v>Error?</v>
      </c>
    </row>
    <row r="4125" spans="1:4" x14ac:dyDescent="0.2">
      <c r="A4125" s="5">
        <v>4064</v>
      </c>
      <c r="B4125" s="138">
        <f>'Acct Summary 7-8'!F10</f>
        <v>1605482</v>
      </c>
      <c r="C4125" s="2" t="s">
        <v>594</v>
      </c>
      <c r="D4125" s="2" t="str">
        <f t="shared" si="63"/>
        <v>Error?</v>
      </c>
    </row>
    <row r="4126" spans="1:4" x14ac:dyDescent="0.2">
      <c r="A4126" s="5">
        <v>4065</v>
      </c>
      <c r="B4126" s="138">
        <f>'Acct Summary 7-8'!G10</f>
        <v>452132</v>
      </c>
      <c r="C4126" s="2" t="s">
        <v>594</v>
      </c>
      <c r="D4126" s="2" t="str">
        <f t="shared" si="63"/>
        <v>Error?</v>
      </c>
    </row>
    <row r="4127" spans="1:4" x14ac:dyDescent="0.2">
      <c r="A4127" s="5">
        <v>4066</v>
      </c>
      <c r="B4127" s="138">
        <f>'Acct Summary 7-8'!H10</f>
        <v>22677</v>
      </c>
      <c r="C4127" s="2" t="s">
        <v>594</v>
      </c>
      <c r="D4127" s="2" t="str">
        <f t="shared" si="63"/>
        <v>Error?</v>
      </c>
    </row>
    <row r="4128" spans="1:4" x14ac:dyDescent="0.2">
      <c r="A4128" s="5">
        <v>4067</v>
      </c>
      <c r="B4128" s="138">
        <f>'Acct Summary 7-8'!I10</f>
        <v>87009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84388</v>
      </c>
      <c r="C4130" s="2" t="s">
        <v>594</v>
      </c>
      <c r="D4130" s="2" t="str">
        <f t="shared" si="63"/>
        <v>Error?</v>
      </c>
    </row>
    <row r="4131" spans="1:4" x14ac:dyDescent="0.2">
      <c r="A4131" s="5">
        <v>4070</v>
      </c>
      <c r="B4131" s="138">
        <f>'Acct Summary 7-8'!C18</f>
        <v>846493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13277206</v>
      </c>
      <c r="C4136" s="2" t="s">
        <v>594</v>
      </c>
      <c r="D4136" s="2" t="str">
        <f t="shared" si="63"/>
        <v>Error?</v>
      </c>
    </row>
    <row r="4137" spans="1:4" x14ac:dyDescent="0.2">
      <c r="A4137" s="5">
        <v>4076</v>
      </c>
      <c r="B4137" s="138">
        <f>'Acct Summary 7-8'!D19</f>
        <v>1205624</v>
      </c>
      <c r="C4137" s="2" t="s">
        <v>594</v>
      </c>
      <c r="D4137" s="2" t="str">
        <f t="shared" si="63"/>
        <v>Error?</v>
      </c>
    </row>
    <row r="4138" spans="1:4" x14ac:dyDescent="0.2">
      <c r="A4138" s="5">
        <v>4077</v>
      </c>
      <c r="B4138" s="138">
        <f>'Acct Summary 7-8'!E19</f>
        <v>1791567</v>
      </c>
      <c r="C4138" s="2" t="s">
        <v>594</v>
      </c>
      <c r="D4138" s="2" t="str">
        <f t="shared" si="63"/>
        <v>Error?</v>
      </c>
    </row>
    <row r="4139" spans="1:4" x14ac:dyDescent="0.2">
      <c r="A4139" s="5">
        <v>4078</v>
      </c>
      <c r="B4139" s="138">
        <f>'Acct Summary 7-8'!F19</f>
        <v>1542358</v>
      </c>
      <c r="C4139" s="2" t="s">
        <v>594</v>
      </c>
      <c r="D4139" s="2" t="str">
        <f t="shared" si="63"/>
        <v>Error?</v>
      </c>
    </row>
    <row r="4140" spans="1:4" x14ac:dyDescent="0.2">
      <c r="A4140" s="5">
        <v>4079</v>
      </c>
      <c r="B4140" s="138">
        <f>'Acct Summary 7-8'!G19</f>
        <v>457965</v>
      </c>
      <c r="C4140" s="2" t="s">
        <v>594</v>
      </c>
      <c r="D4140" s="2" t="str">
        <f t="shared" si="63"/>
        <v>Error?</v>
      </c>
    </row>
    <row r="4141" spans="1:4" x14ac:dyDescent="0.2">
      <c r="A4141" s="5">
        <v>4080</v>
      </c>
      <c r="B4141" s="138">
        <f>'Acct Summary 7-8'!H19</f>
        <v>226250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14615683</v>
      </c>
      <c r="C4171" s="2" t="s">
        <v>594</v>
      </c>
      <c r="D4171" s="2" t="str">
        <f t="shared" si="64"/>
        <v>Error?</v>
      </c>
    </row>
    <row r="4172" spans="1:4" x14ac:dyDescent="0.2">
      <c r="A4172" s="5">
        <v>4111</v>
      </c>
      <c r="B4172" s="138">
        <f>'Short-Term Long-Term Debt 24'!J49</f>
        <v>13590082</v>
      </c>
      <c r="C4172" s="2" t="s">
        <v>594</v>
      </c>
      <c r="D4172" s="2" t="str">
        <f t="shared" si="64"/>
        <v>Error?</v>
      </c>
    </row>
    <row r="4173" spans="1:4" x14ac:dyDescent="0.2">
      <c r="A4173" s="5">
        <v>4112</v>
      </c>
      <c r="B4173" s="138">
        <f>'Short-Term Long-Term Debt 24'!H49</f>
        <v>1263520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3479.9999999999995</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4180</v>
      </c>
      <c r="C4268" s="2" t="s">
        <v>594</v>
      </c>
      <c r="D4268" s="2" t="str">
        <f t="shared" si="65"/>
        <v>Error?</v>
      </c>
    </row>
    <row r="4269" spans="1:5" x14ac:dyDescent="0.2">
      <c r="A4269" s="12">
        <v>4208</v>
      </c>
      <c r="B4269" s="138">
        <f>'FP Info 3'!J16</f>
        <v>12125797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23835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535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7800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62732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2351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171066157</v>
      </c>
      <c r="D4995" s="2" t="str">
        <f t="shared" si="77"/>
        <v>Error?</v>
      </c>
    </row>
    <row r="4996" spans="1:4" x14ac:dyDescent="0.2">
      <c r="A4996" s="12">
        <v>4935</v>
      </c>
      <c r="B4996" s="138">
        <f>'FP Info 3'!H31</f>
        <v>23607129.666000001</v>
      </c>
      <c r="D4996" s="2" t="str">
        <f t="shared" si="77"/>
        <v>Error?</v>
      </c>
    </row>
    <row r="4997" spans="1:4" x14ac:dyDescent="0.2">
      <c r="A4997" s="12">
        <v>4936</v>
      </c>
      <c r="B4997" s="138">
        <f>'FP Info 3'!H37</f>
        <v>14615683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83816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5833588</v>
      </c>
      <c r="D5061" s="2" t="str">
        <f t="shared" si="78"/>
        <v>Error?</v>
      </c>
    </row>
    <row r="5062" spans="1:4" x14ac:dyDescent="0.2">
      <c r="A5062" s="10">
        <v>5001</v>
      </c>
      <c r="D5062" s="2" t="str">
        <f t="shared" si="78"/>
        <v>OK</v>
      </c>
    </row>
    <row r="5063" spans="1:4" x14ac:dyDescent="0.2">
      <c r="A5063" s="5">
        <v>5002</v>
      </c>
      <c r="B5063" s="138">
        <f>'Revenues 9-14'!C7</f>
        <v>67055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5984459</v>
      </c>
      <c r="C5066" s="2" t="s">
        <v>594</v>
      </c>
      <c r="D5066" s="2" t="str">
        <f t="shared" si="78"/>
        <v>Error?</v>
      </c>
    </row>
    <row r="5067" spans="1:4" x14ac:dyDescent="0.2">
      <c r="A5067" s="5">
        <v>5006</v>
      </c>
      <c r="B5067" s="138">
        <f>'Revenues 9-14'!C14</f>
        <v>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46849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46849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362301</v>
      </c>
      <c r="C5096" s="2" t="s">
        <v>594</v>
      </c>
      <c r="D5096" s="2" t="str">
        <f t="shared" si="78"/>
        <v>Error?</v>
      </c>
    </row>
    <row r="5097" spans="1:4" x14ac:dyDescent="0.2">
      <c r="A5097" s="5">
        <v>5036</v>
      </c>
      <c r="B5097" s="138">
        <f>'Revenues 9-14'!C77</f>
        <v>34318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231491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265809</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3505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29596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94445</v>
      </c>
      <c r="D5119" s="2" t="str">
        <f t="shared" ref="D5119:D5182" si="79">IF(ISBLANK(B5119),"OK",IF(A5119-B5119=0,"OK","Error?"))</f>
        <v>Error?</v>
      </c>
    </row>
    <row r="5120" spans="1:4" x14ac:dyDescent="0.2">
      <c r="A5120" s="5">
        <v>5059</v>
      </c>
      <c r="B5120" s="138">
        <f>'Revenues 9-14'!C108</f>
        <v>150803</v>
      </c>
      <c r="C5120" s="2" t="s">
        <v>594</v>
      </c>
      <c r="D5120" s="2" t="str">
        <f t="shared" si="79"/>
        <v>Error?</v>
      </c>
    </row>
    <row r="5121" spans="1:4" x14ac:dyDescent="0.2">
      <c r="A5121" s="5">
        <v>5060</v>
      </c>
      <c r="B5121" s="138">
        <f>'Revenues 9-14'!C109</f>
        <v>6810229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5981089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5981089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111494</v>
      </c>
      <c r="D5134" s="2" t="str">
        <f t="shared" si="79"/>
        <v>Error?</v>
      </c>
    </row>
    <row r="5135" spans="1:4" x14ac:dyDescent="0.2">
      <c r="A5135" s="5">
        <v>5074</v>
      </c>
      <c r="B5135" s="138">
        <f>'Revenues 9-14'!C126</f>
        <v>119812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2371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233677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5359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10189</v>
      </c>
      <c r="C5161" s="2" t="s">
        <v>594</v>
      </c>
      <c r="D5161" s="2" t="str">
        <f t="shared" si="79"/>
        <v>Error?</v>
      </c>
    </row>
    <row r="5162" spans="1:4" x14ac:dyDescent="0.2">
      <c r="A5162" s="10">
        <v>5101</v>
      </c>
      <c r="D5162" s="2" t="str">
        <f t="shared" si="79"/>
        <v>OK</v>
      </c>
    </row>
    <row r="5163" spans="1:4" x14ac:dyDescent="0.2">
      <c r="A5163" s="5">
        <v>5102</v>
      </c>
      <c r="B5163" s="138">
        <f>'Revenues 9-14'!C142</f>
        <v>31989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31989</v>
      </c>
      <c r="C5165" s="2" t="s">
        <v>594</v>
      </c>
      <c r="D5165" s="2" t="str">
        <f t="shared" si="79"/>
        <v>Error?</v>
      </c>
    </row>
    <row r="5166" spans="1:4" x14ac:dyDescent="0.2">
      <c r="A5166" s="10">
        <v>5105</v>
      </c>
      <c r="D5166" s="2" t="str">
        <f t="shared" si="79"/>
        <v>OK</v>
      </c>
    </row>
    <row r="5167" spans="1:4" x14ac:dyDescent="0.2">
      <c r="A5167" s="5">
        <v>5106</v>
      </c>
      <c r="B5167" s="138">
        <f>'Revenues 9-14'!C145</f>
        <v>3362</v>
      </c>
      <c r="D5167" s="2" t="str">
        <f t="shared" si="79"/>
        <v>Error?</v>
      </c>
    </row>
    <row r="5168" spans="1:4" x14ac:dyDescent="0.2">
      <c r="A5168" s="5">
        <v>5107</v>
      </c>
      <c r="B5168" s="138">
        <f>'Revenues 9-14'!C147</f>
        <v>24594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152540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458702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6439791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199486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47053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246539</v>
      </c>
      <c r="C5246" s="2" t="s">
        <v>594</v>
      </c>
      <c r="D5246" s="2" t="str">
        <f t="shared" si="80"/>
        <v>Error?</v>
      </c>
    </row>
    <row r="5247" spans="1:4" x14ac:dyDescent="0.2">
      <c r="A5247" s="5">
        <v>5186</v>
      </c>
      <c r="B5247" s="138">
        <f>'Revenues 9-14'!C203</f>
        <v>210071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535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210071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1991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91512</v>
      </c>
      <c r="D5278" s="2" t="str">
        <f t="shared" si="81"/>
        <v>Error?</v>
      </c>
    </row>
    <row r="5279" spans="1:4" x14ac:dyDescent="0.2">
      <c r="A5279" s="5">
        <v>5218</v>
      </c>
      <c r="B5279" s="138">
        <f>'Revenues 9-14'!C221</f>
        <v>1659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95162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646674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646674</v>
      </c>
      <c r="C5326" s="2" t="s">
        <v>594</v>
      </c>
      <c r="D5326" s="2" t="str">
        <f t="shared" si="82"/>
        <v>Error?</v>
      </c>
    </row>
    <row r="5327" spans="1:4" x14ac:dyDescent="0.2">
      <c r="A5327" s="5">
        <v>5266</v>
      </c>
      <c r="B5327" s="138">
        <f>'Revenues 9-14'!C275</f>
        <v>13896694</v>
      </c>
      <c r="C5327" s="2" t="s">
        <v>594</v>
      </c>
      <c r="D5327" s="2" t="str">
        <f t="shared" si="82"/>
        <v>Error?</v>
      </c>
    </row>
    <row r="5328" spans="1:4" x14ac:dyDescent="0.2">
      <c r="A5328" s="5">
        <v>5267</v>
      </c>
      <c r="B5328" s="138">
        <f>'Revenues 9-14'!D5</f>
        <v>838161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838161</v>
      </c>
      <c r="C5334" s="2" t="s">
        <v>594</v>
      </c>
      <c r="D5334" s="2" t="str">
        <f t="shared" si="82"/>
        <v>Error?</v>
      </c>
    </row>
    <row r="5335" spans="1:4" x14ac:dyDescent="0.2">
      <c r="A5335" s="5">
        <v>5274</v>
      </c>
      <c r="B5335" s="138">
        <f>'Revenues 9-14'!D14</f>
        <v>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141401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141402</v>
      </c>
      <c r="C5339" s="2" t="s">
        <v>594</v>
      </c>
      <c r="D5339" s="2" t="str">
        <f t="shared" si="82"/>
        <v>Error?</v>
      </c>
    </row>
    <row r="5340" spans="1:4" x14ac:dyDescent="0.2">
      <c r="A5340" s="5">
        <v>5279</v>
      </c>
      <c r="B5340" s="138">
        <f>'Revenues 9-14'!D65</f>
        <v>2210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2210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7965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7965</v>
      </c>
      <c r="C5348" s="2" t="s">
        <v>594</v>
      </c>
      <c r="D5348" s="2" t="str">
        <f t="shared" si="82"/>
        <v>Error?</v>
      </c>
    </row>
    <row r="5349" spans="1:4" x14ac:dyDescent="0.2">
      <c r="A5349" s="5">
        <v>5288</v>
      </c>
      <c r="B5349" s="138">
        <f>'Revenues 9-14'!D95</f>
        <v>49401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14770</v>
      </c>
      <c r="D5354" s="2" t="str">
        <f t="shared" si="82"/>
        <v>Error?</v>
      </c>
    </row>
    <row r="5355" spans="1:4" x14ac:dyDescent="0.2">
      <c r="A5355" s="5">
        <v>5294</v>
      </c>
      <c r="B5355" s="138">
        <f>'Revenues 9-14'!D108</f>
        <v>64171</v>
      </c>
      <c r="C5355" s="2" t="s">
        <v>594</v>
      </c>
      <c r="D5355" s="2" t="str">
        <f t="shared" si="82"/>
        <v>Error?</v>
      </c>
    </row>
    <row r="5356" spans="1:4" x14ac:dyDescent="0.2">
      <c r="A5356" s="5">
        <v>5295</v>
      </c>
      <c r="B5356" s="138">
        <f>'Revenues 9-14'!D109</f>
        <v>1053909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190000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190000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190000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1243909</v>
      </c>
      <c r="C5508" s="2" t="s">
        <v>594</v>
      </c>
      <c r="D5508" s="2" t="str">
        <f t="shared" si="85"/>
        <v>Error?</v>
      </c>
    </row>
    <row r="5509" spans="1:4" x14ac:dyDescent="0.2">
      <c r="A5509" s="5">
        <v>5448</v>
      </c>
      <c r="B5509" s="138">
        <f>'Revenues 9-14'!E5</f>
        <v>1804423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1804423</v>
      </c>
      <c r="C5513" s="2" t="s">
        <v>594</v>
      </c>
      <c r="D5513" s="2" t="str">
        <f t="shared" si="85"/>
        <v>Error?</v>
      </c>
    </row>
    <row r="5514" spans="1:4" x14ac:dyDescent="0.2">
      <c r="A5514" s="5">
        <v>5453</v>
      </c>
      <c r="B5514" s="138">
        <f>'Revenues 9-14'!E14</f>
        <v>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v>
      </c>
      <c r="C5518" s="2" t="s">
        <v>594</v>
      </c>
      <c r="D5518" s="2" t="str">
        <f t="shared" si="85"/>
        <v>Error?</v>
      </c>
    </row>
    <row r="5519" spans="1:4" x14ac:dyDescent="0.2">
      <c r="A5519" s="5">
        <v>5458</v>
      </c>
      <c r="B5519" s="138">
        <f>'Revenues 9-14'!E65</f>
        <v>7619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7619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1812044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1812044</v>
      </c>
      <c r="C5552" s="2" t="s">
        <v>594</v>
      </c>
      <c r="D5552" s="2" t="str">
        <f t="shared" si="85"/>
        <v>Error?</v>
      </c>
    </row>
    <row r="5553" spans="1:4" x14ac:dyDescent="0.2">
      <c r="A5553" s="5">
        <v>5492</v>
      </c>
      <c r="B5553" s="138">
        <f>'Revenues 9-14'!F5</f>
        <v>335263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335263</v>
      </c>
      <c r="C5557" s="2" t="s">
        <v>594</v>
      </c>
      <c r="D5557" s="2" t="str">
        <f t="shared" si="85"/>
        <v>Error?</v>
      </c>
    </row>
    <row r="5558" spans="1:4" x14ac:dyDescent="0.2">
      <c r="A5558" s="5">
        <v>5497</v>
      </c>
      <c r="B5558" s="138">
        <f>'Revenues 9-14'!F14</f>
        <v>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7994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7994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10266</v>
      </c>
      <c r="D5586" s="2" t="str">
        <f t="shared" si="86"/>
        <v>Error?</v>
      </c>
    </row>
    <row r="5587" spans="1:4" x14ac:dyDescent="0.2">
      <c r="A5587" s="5">
        <v>5526</v>
      </c>
      <c r="B5587" s="138">
        <f>'Revenues 9-14'!F108</f>
        <v>10266</v>
      </c>
      <c r="C5587" s="2" t="s">
        <v>594</v>
      </c>
      <c r="D5587" s="2" t="str">
        <f t="shared" si="86"/>
        <v>Error?</v>
      </c>
    </row>
    <row r="5588" spans="1:4" x14ac:dyDescent="0.2">
      <c r="A5588" s="5">
        <v>5527</v>
      </c>
      <c r="B5588" s="138">
        <f>'Revenues 9-14'!F109</f>
        <v>353524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160000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160000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829621</v>
      </c>
      <c r="D5615" s="2" t="str">
        <f t="shared" si="86"/>
        <v>Error?</v>
      </c>
    </row>
    <row r="5616" spans="1:4" x14ac:dyDescent="0.2">
      <c r="A5616" s="10">
        <v>5555</v>
      </c>
      <c r="D5616" s="2" t="str">
        <f t="shared" si="86"/>
        <v>OK</v>
      </c>
    </row>
    <row r="5617" spans="1:4" x14ac:dyDescent="0.2">
      <c r="A5617" s="5">
        <v>5556</v>
      </c>
      <c r="B5617" s="138">
        <f>'Revenues 9-14'!F152</f>
        <v>262337</v>
      </c>
      <c r="D5617" s="2" t="str">
        <f t="shared" si="86"/>
        <v>Error?</v>
      </c>
    </row>
    <row r="5618" spans="1:4" x14ac:dyDescent="0.2">
      <c r="A5618" s="5">
        <v>5557</v>
      </c>
      <c r="B5618" s="138">
        <f>'Revenues 9-14'!F154</f>
        <v>1091958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1091958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1251958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1605482</v>
      </c>
      <c r="C5720" s="2" t="s">
        <v>594</v>
      </c>
      <c r="D5720" s="2" t="str">
        <f t="shared" si="88"/>
        <v>Error?</v>
      </c>
    </row>
    <row r="5721" spans="1:4" x14ac:dyDescent="0.2">
      <c r="A5721" s="5">
        <v>5660</v>
      </c>
      <c r="B5721" s="138">
        <f>'Revenues 9-14'!G5</f>
        <v>118266</v>
      </c>
      <c r="D5721" s="2" t="str">
        <f t="shared" si="88"/>
        <v>Error?</v>
      </c>
    </row>
    <row r="5722" spans="1:4" x14ac:dyDescent="0.2">
      <c r="A5722" s="5">
        <v>5661</v>
      </c>
      <c r="B5722" s="138">
        <f>'Revenues 9-14'!G7</f>
        <v>0</v>
      </c>
      <c r="D5722" s="2" t="str">
        <f t="shared" si="88"/>
        <v>Error?</v>
      </c>
    </row>
    <row r="5723" spans="1:4" x14ac:dyDescent="0.2">
      <c r="A5723" s="5">
        <v>5662</v>
      </c>
      <c r="B5723" s="138">
        <f>'Revenues 9-14'!G8</f>
        <v>302667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420933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29000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29000</v>
      </c>
      <c r="C5730" s="2" t="s">
        <v>594</v>
      </c>
      <c r="D5730" s="2" t="str">
        <f t="shared" si="88"/>
        <v>Error?</v>
      </c>
    </row>
    <row r="5731" spans="1:4" x14ac:dyDescent="0.2">
      <c r="A5731" s="5">
        <v>5670</v>
      </c>
      <c r="B5731" s="138">
        <f>'Revenues 9-14'!G65</f>
        <v>1637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1637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562</v>
      </c>
      <c r="D5736" s="2" t="str">
        <f t="shared" si="88"/>
        <v>Error?</v>
      </c>
    </row>
    <row r="5737" spans="1:4" x14ac:dyDescent="0.2">
      <c r="A5737" s="5">
        <v>5676</v>
      </c>
      <c r="B5737" s="138">
        <f>'Revenues 9-14'!G108</f>
        <v>562</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452132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2073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2073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20604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22677</v>
      </c>
      <c r="C5915" s="2" t="s">
        <v>594</v>
      </c>
      <c r="D5915" s="2" t="str">
        <f t="shared" si="91"/>
        <v>Error?</v>
      </c>
    </row>
    <row r="5916" spans="1:4" x14ac:dyDescent="0.2">
      <c r="A5916" s="5">
        <v>5855</v>
      </c>
      <c r="B5916" s="138">
        <f>'Revenues 9-14'!I5</f>
        <v>83816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83816</v>
      </c>
      <c r="C5918" s="2" t="s">
        <v>594</v>
      </c>
      <c r="D5918" s="2" t="str">
        <f t="shared" si="91"/>
        <v>Error?</v>
      </c>
    </row>
    <row r="5919" spans="1:4" x14ac:dyDescent="0.2">
      <c r="A5919" s="5">
        <v>5858</v>
      </c>
      <c r="B5919" s="138">
        <f>'Revenues 9-14'!I14</f>
        <v>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v>
      </c>
      <c r="C5923" s="2" t="s">
        <v>594</v>
      </c>
      <c r="D5923" s="2" t="str">
        <f t="shared" si="91"/>
        <v>Error?</v>
      </c>
    </row>
    <row r="5924" spans="1:4" x14ac:dyDescent="0.2">
      <c r="A5924" s="5">
        <v>5863</v>
      </c>
      <c r="B5924" s="138">
        <f>'Revenues 9-14'!I65</f>
        <v>3192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3192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87009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83816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83816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539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539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33</v>
      </c>
      <c r="D5998" s="2" t="str">
        <f t="shared" si="92"/>
        <v>Error?</v>
      </c>
    </row>
    <row r="5999" spans="1:4" x14ac:dyDescent="0.2">
      <c r="A5999" s="5">
        <v>5938</v>
      </c>
      <c r="B5999" s="138">
        <f>'Revenues 9-14'!K108</f>
        <v>33</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84388</v>
      </c>
      <c r="C6023" s="2" t="s">
        <v>594</v>
      </c>
      <c r="D6023" s="2" t="str">
        <f t="shared" si="93"/>
        <v>Error?</v>
      </c>
    </row>
    <row r="6024" spans="1:5" x14ac:dyDescent="0.2">
      <c r="A6024" s="5">
        <v>5963</v>
      </c>
      <c r="B6024" s="138">
        <f>'Revenues 9-14'!G109</f>
        <v>452132</v>
      </c>
      <c r="C6024" s="2" t="s">
        <v>594</v>
      </c>
      <c r="D6024" s="2" t="str">
        <f t="shared" si="93"/>
        <v>Error?</v>
      </c>
    </row>
    <row r="6025" spans="1:5" x14ac:dyDescent="0.2">
      <c r="A6025" s="5">
        <v>5964</v>
      </c>
      <c r="B6025" s="138">
        <f>'Revenues 9-14'!H109</f>
        <v>22677</v>
      </c>
      <c r="C6025" s="2" t="s">
        <v>594</v>
      </c>
      <c r="D6025" s="2" t="str">
        <f t="shared" si="93"/>
        <v>Error?</v>
      </c>
    </row>
    <row r="6026" spans="1:5" x14ac:dyDescent="0.2">
      <c r="A6026" s="5">
        <v>5965</v>
      </c>
      <c r="B6026" s="138">
        <f>'Revenues 9-14'!I109</f>
        <v>87009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84388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362301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36152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1681.42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388121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v>
      </c>
      <c r="D6142" s="2" t="str">
        <f t="shared" si="94"/>
        <v>Error?</v>
      </c>
      <c r="E6142" s="2" t="s">
        <v>199</v>
      </c>
    </row>
    <row r="6143" spans="1:5" x14ac:dyDescent="0.2">
      <c r="A6143">
        <v>6082</v>
      </c>
      <c r="B6143" s="138">
        <f>'Assets-Liab 5-6'!D27</f>
        <v>-5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537</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537</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387584</v>
      </c>
      <c r="D6215" s="2" t="str">
        <f t="shared" si="96"/>
        <v>Error?</v>
      </c>
      <c r="E6215" s="2" t="s">
        <v>199</v>
      </c>
    </row>
    <row r="6216" spans="1:5" x14ac:dyDescent="0.2">
      <c r="A6216">
        <v>6155</v>
      </c>
      <c r="B6216" s="138">
        <f>'Assets-Liab 5-6'!J41</f>
        <v>388121</v>
      </c>
      <c r="D6216" s="2" t="str">
        <f t="shared" si="96"/>
        <v>Error?</v>
      </c>
      <c r="E6216" s="2" t="s">
        <v>199</v>
      </c>
    </row>
    <row r="6217" spans="1:5" x14ac:dyDescent="0.2">
      <c r="A6217">
        <v>6156</v>
      </c>
      <c r="B6217" s="138">
        <f>'Assets-Liab 5-6'!J4</f>
        <v>388121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522981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522981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522981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469650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469650</v>
      </c>
      <c r="D6229" s="2" t="str">
        <f t="shared" si="96"/>
        <v>Error?</v>
      </c>
      <c r="E6229" s="2" t="s">
        <v>199</v>
      </c>
    </row>
    <row r="6230" spans="1:5" x14ac:dyDescent="0.2">
      <c r="A6230">
        <v>6169</v>
      </c>
      <c r="B6230" s="138">
        <f>'Acct Summary 7-8'!J20</f>
        <v>53331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53331</v>
      </c>
      <c r="D6263" s="2" t="str">
        <f t="shared" si="96"/>
        <v>Error?</v>
      </c>
      <c r="E6263" s="2" t="s">
        <v>199</v>
      </c>
    </row>
    <row r="6264" spans="1:5" x14ac:dyDescent="0.2">
      <c r="A6264">
        <v>6203</v>
      </c>
      <c r="B6264" s="138">
        <f>'Acct Summary 7-8'!J79</f>
        <v>334253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387584</v>
      </c>
      <c r="D6266" s="2" t="str">
        <f t="shared" si="96"/>
        <v>Error?</v>
      </c>
      <c r="E6266" s="2" t="s">
        <v>199</v>
      </c>
    </row>
    <row r="6267" spans="1:5" x14ac:dyDescent="0.2">
      <c r="A6267">
        <v>6206</v>
      </c>
      <c r="B6267" s="138">
        <f>'Acct Summary 7-8'!C82</f>
        <v>1465981</v>
      </c>
      <c r="D6267" s="2" t="str">
        <f t="shared" si="96"/>
        <v>Error?</v>
      </c>
      <c r="E6267" s="2" t="s">
        <v>199</v>
      </c>
    </row>
    <row r="6268" spans="1:5" x14ac:dyDescent="0.2">
      <c r="A6268">
        <v>6207</v>
      </c>
      <c r="B6268" s="138">
        <f>'Acct Summary 7-8'!D82</f>
        <v>38285</v>
      </c>
      <c r="D6268" s="2" t="str">
        <f t="shared" si="96"/>
        <v>Error?</v>
      </c>
      <c r="E6268" s="2" t="s">
        <v>199</v>
      </c>
    </row>
    <row r="6269" spans="1:5" x14ac:dyDescent="0.2">
      <c r="A6269">
        <v>6208</v>
      </c>
      <c r="B6269" s="138">
        <f>'Acct Summary 7-8'!E82</f>
        <v>20477</v>
      </c>
      <c r="D6269" s="2" t="str">
        <f t="shared" si="96"/>
        <v>Error?</v>
      </c>
      <c r="E6269" s="2" t="s">
        <v>199</v>
      </c>
    </row>
    <row r="6270" spans="1:5" x14ac:dyDescent="0.2">
      <c r="A6270">
        <v>6209</v>
      </c>
      <c r="B6270" s="138">
        <f>'Acct Summary 7-8'!F82</f>
        <v>63124</v>
      </c>
      <c r="D6270" s="2" t="str">
        <f t="shared" si="96"/>
        <v>Error?</v>
      </c>
      <c r="E6270" s="2" t="s">
        <v>199</v>
      </c>
    </row>
    <row r="6271" spans="1:5" x14ac:dyDescent="0.2">
      <c r="A6271">
        <v>6210</v>
      </c>
      <c r="B6271" s="138">
        <f>'Acct Summary 7-8'!G82</f>
        <v>-5833</v>
      </c>
      <c r="D6271" s="2" t="str">
        <f t="shared" ref="D6271:D6334" si="97">IF(ISBLANK(B6271),"OK",IF(A6271-B6271=0,"OK","Error?"))</f>
        <v>Error?</v>
      </c>
      <c r="E6271" s="2" t="s">
        <v>199</v>
      </c>
    </row>
    <row r="6272" spans="1:5" x14ac:dyDescent="0.2">
      <c r="A6272">
        <v>6211</v>
      </c>
      <c r="B6272" s="138">
        <f>'Acct Summary 7-8'!H82</f>
        <v>-203573</v>
      </c>
      <c r="D6272" s="2" t="str">
        <f t="shared" si="97"/>
        <v>Error?</v>
      </c>
      <c r="E6272" s="2" t="s">
        <v>199</v>
      </c>
    </row>
    <row r="6273" spans="1:5" x14ac:dyDescent="0.2">
      <c r="A6273">
        <v>6212</v>
      </c>
      <c r="B6273" s="138">
        <f>'Acct Summary 7-8'!I82</f>
        <v>87009</v>
      </c>
      <c r="D6273" s="2" t="str">
        <f t="shared" si="97"/>
        <v>Error?</v>
      </c>
      <c r="E6273" s="2" t="s">
        <v>199</v>
      </c>
    </row>
    <row r="6274" spans="1:5" x14ac:dyDescent="0.2">
      <c r="A6274">
        <v>6213</v>
      </c>
      <c r="B6274" s="138">
        <f>'Acct Summary 7-8'!J82</f>
        <v>53331</v>
      </c>
      <c r="D6274" s="2" t="str">
        <f t="shared" si="97"/>
        <v>Error?</v>
      </c>
      <c r="E6274" s="2" t="s">
        <v>199</v>
      </c>
    </row>
    <row r="6275" spans="1:5" x14ac:dyDescent="0.2">
      <c r="A6275">
        <v>6214</v>
      </c>
      <c r="B6275" s="138">
        <f>'Acct Summary 7-8'!K82</f>
        <v>84388</v>
      </c>
      <c r="D6275" s="2" t="str">
        <f t="shared" si="97"/>
        <v>Error?</v>
      </c>
      <c r="E6275" s="2" t="s">
        <v>199</v>
      </c>
    </row>
    <row r="6276" spans="1:5" x14ac:dyDescent="0.2">
      <c r="A6276">
        <v>6215</v>
      </c>
      <c r="B6276" s="138">
        <f>'Acct Summary 7-8'!C83</f>
        <v>0.15383653994680924</v>
      </c>
      <c r="D6276" s="2" t="str">
        <f t="shared" si="97"/>
        <v>Error?</v>
      </c>
      <c r="E6276" s="2" t="s">
        <v>199</v>
      </c>
    </row>
    <row r="6277" spans="1:5" x14ac:dyDescent="0.2">
      <c r="A6277">
        <v>6216</v>
      </c>
      <c r="B6277" s="138">
        <f>'Acct Summary 7-8'!D83</f>
        <v>0.11182509894410936</v>
      </c>
      <c r="D6277" s="2" t="str">
        <f t="shared" si="97"/>
        <v>Error?</v>
      </c>
      <c r="E6277" s="2" t="s">
        <v>199</v>
      </c>
    </row>
    <row r="6278" spans="1:5" x14ac:dyDescent="0.2">
      <c r="A6278">
        <v>6217</v>
      </c>
      <c r="B6278" s="138">
        <f>'Acct Summary 7-8'!E83</f>
        <v>1.9965854167458885E-2</v>
      </c>
      <c r="D6278" s="2" t="str">
        <f t="shared" si="97"/>
        <v>Error?</v>
      </c>
      <c r="E6278" s="2" t="s">
        <v>199</v>
      </c>
    </row>
    <row r="6279" spans="1:5" x14ac:dyDescent="0.2">
      <c r="A6279">
        <v>6218</v>
      </c>
      <c r="B6279" s="138">
        <f>'Acct Summary 7-8'!F83</f>
        <v>3.6217507002640405E-2</v>
      </c>
      <c r="D6279" s="2" t="str">
        <f t="shared" si="97"/>
        <v>Error?</v>
      </c>
      <c r="E6279" s="2" t="s">
        <v>199</v>
      </c>
    </row>
    <row r="6280" spans="1:5" x14ac:dyDescent="0.2">
      <c r="A6280">
        <v>6219</v>
      </c>
      <c r="B6280" s="138">
        <f>'Acct Summary 7-8'!G83</f>
        <v>-1.520495275333985E-2</v>
      </c>
      <c r="D6280" s="2" t="str">
        <f t="shared" si="97"/>
        <v>Error?</v>
      </c>
      <c r="E6280" s="2" t="s">
        <v>199</v>
      </c>
    </row>
    <row r="6281" spans="1:5" x14ac:dyDescent="0.2">
      <c r="A6281">
        <v>6220</v>
      </c>
      <c r="B6281" s="138">
        <f>'Acct Summary 7-8'!H83</f>
        <v>-1.8089749855600479</v>
      </c>
      <c r="D6281" s="2" t="str">
        <f t="shared" si="97"/>
        <v>Error?</v>
      </c>
      <c r="E6281" s="2" t="s">
        <v>199</v>
      </c>
    </row>
    <row r="6282" spans="1:5" x14ac:dyDescent="0.2">
      <c r="A6282">
        <v>6221</v>
      </c>
      <c r="B6282" s="138">
        <f>'Acct Summary 7-8'!I83</f>
        <v>0.17025668922171389</v>
      </c>
      <c r="D6282" s="2" t="str">
        <f t="shared" si="97"/>
        <v>Error?</v>
      </c>
      <c r="E6282" s="2" t="s">
        <v>199</v>
      </c>
    </row>
    <row r="6283" spans="1:5" x14ac:dyDescent="0.2">
      <c r="A6283">
        <v>6222</v>
      </c>
      <c r="B6283" s="138">
        <f>'Acct Summary 7-8'!J83</f>
        <v>0.13759855928005285</v>
      </c>
      <c r="D6283" s="2" t="str">
        <f t="shared" si="97"/>
        <v>Error?</v>
      </c>
      <c r="E6283" s="2" t="s">
        <v>199</v>
      </c>
    </row>
    <row r="6284" spans="1:5" x14ac:dyDescent="0.2">
      <c r="A6284">
        <v>6223</v>
      </c>
      <c r="B6284" s="138">
        <f>'Acct Summary 7-8'!K83</f>
        <v>0.5569393021429373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521165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521165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1816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1816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20604</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23257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522981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4830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78689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107862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15338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107971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107971</v>
      </c>
      <c r="D6940" s="2" t="str">
        <f t="shared" si="107"/>
        <v>Error?</v>
      </c>
    </row>
    <row r="6941" spans="1:4" x14ac:dyDescent="0.2">
      <c r="A6941">
        <v>6880</v>
      </c>
      <c r="B6941" s="138">
        <f>'Expenditures 15-22'!L52</f>
        <v>98000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437776</v>
      </c>
      <c r="D6983" s="2" t="str">
        <f t="shared" si="108"/>
        <v>Error?</v>
      </c>
    </row>
    <row r="6984" spans="1:4" x14ac:dyDescent="0.2">
      <c r="A6984">
        <v>6923</v>
      </c>
      <c r="B6984" s="138">
        <f>'Expenditures 15-22'!K86</f>
        <v>437776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18292</v>
      </c>
      <c r="D6987" s="2" t="str">
        <f t="shared" si="108"/>
        <v>Error?</v>
      </c>
    </row>
    <row r="6988" spans="1:4" x14ac:dyDescent="0.2">
      <c r="A6988">
        <v>6927</v>
      </c>
      <c r="B6988" s="138">
        <f>'Expenditures 15-22'!K88</f>
        <v>18292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456068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469650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522981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1483</v>
      </c>
      <c r="D7073" s="2" t="str">
        <f t="shared" si="109"/>
        <v>Error?</v>
      </c>
    </row>
    <row r="7074" spans="1:4" x14ac:dyDescent="0.2">
      <c r="A7074">
        <v>7013</v>
      </c>
      <c r="B7074" s="138">
        <f>'Expenditures 15-22'!K216</f>
        <v>1483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158</v>
      </c>
      <c r="D7079" s="2" t="str">
        <f t="shared" si="109"/>
        <v>Error?</v>
      </c>
    </row>
    <row r="7080" spans="1:4" x14ac:dyDescent="0.2">
      <c r="A7080">
        <v>7019</v>
      </c>
      <c r="B7080" s="138">
        <f>'Expenditures 15-22'!K226</f>
        <v>158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1250</v>
      </c>
      <c r="D7093" s="2" t="str">
        <f t="shared" si="109"/>
        <v>Error?</v>
      </c>
    </row>
    <row r="7094" spans="1:4" x14ac:dyDescent="0.2">
      <c r="A7094">
        <v>7033</v>
      </c>
      <c r="B7094" s="138">
        <f>'Expenditures 15-22'!K254</f>
        <v>1250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4268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4268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203730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203730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86588</v>
      </c>
      <c r="D7172" s="2" t="str">
        <f t="shared" si="111"/>
        <v>Error?</v>
      </c>
    </row>
    <row r="7173" spans="1:4" x14ac:dyDescent="0.2">
      <c r="A7173">
        <v>7112</v>
      </c>
      <c r="B7173" s="138">
        <f>'Expenditures 15-22'!D325</f>
        <v>21131</v>
      </c>
      <c r="D7173" s="2" t="str">
        <f t="shared" si="111"/>
        <v>Error?</v>
      </c>
    </row>
    <row r="7174" spans="1:4" x14ac:dyDescent="0.2">
      <c r="A7174">
        <v>7113</v>
      </c>
      <c r="B7174" s="138">
        <f>'Expenditures 15-22'!E325</f>
        <v>151755</v>
      </c>
      <c r="D7174" s="2" t="str">
        <f t="shared" si="111"/>
        <v>Error?</v>
      </c>
    </row>
    <row r="7175" spans="1:4" x14ac:dyDescent="0.2">
      <c r="A7175">
        <v>7114</v>
      </c>
      <c r="B7175" s="138">
        <f>'Expenditures 15-22'!F325</f>
        <v>2178</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261652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86588</v>
      </c>
      <c r="D7199" s="2" t="str">
        <f t="shared" si="111"/>
        <v>Error?</v>
      </c>
    </row>
    <row r="7200" spans="1:4" x14ac:dyDescent="0.2">
      <c r="A7200">
        <v>7139</v>
      </c>
      <c r="B7200" s="138">
        <f>'Expenditures 15-22'!D330</f>
        <v>21131</v>
      </c>
      <c r="D7200" s="2" t="str">
        <f t="shared" si="111"/>
        <v>Error?</v>
      </c>
    </row>
    <row r="7201" spans="1:4" x14ac:dyDescent="0.2">
      <c r="A7201">
        <v>7140</v>
      </c>
      <c r="B7201" s="138">
        <f>'Expenditures 15-22'!E330</f>
        <v>359753</v>
      </c>
      <c r="D7201" s="2" t="str">
        <f t="shared" si="111"/>
        <v>Error?</v>
      </c>
    </row>
    <row r="7202" spans="1:4" x14ac:dyDescent="0.2">
      <c r="A7202">
        <v>7141</v>
      </c>
      <c r="B7202" s="138">
        <f>'Expenditures 15-22'!F330</f>
        <v>2178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469650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86588</v>
      </c>
      <c r="D7216" s="2" t="str">
        <f t="shared" si="111"/>
        <v>Error?</v>
      </c>
    </row>
    <row r="7217" spans="1:4" x14ac:dyDescent="0.2">
      <c r="A7217">
        <v>7156</v>
      </c>
      <c r="B7217" s="138">
        <f>'Expenditures 15-22'!D342</f>
        <v>21131</v>
      </c>
      <c r="D7217" s="2" t="str">
        <f t="shared" si="111"/>
        <v>Error?</v>
      </c>
    </row>
    <row r="7218" spans="1:4" x14ac:dyDescent="0.2">
      <c r="A7218">
        <v>7157</v>
      </c>
      <c r="B7218" s="138">
        <f>'Expenditures 15-22'!E342</f>
        <v>359753</v>
      </c>
      <c r="D7218" s="2" t="str">
        <f t="shared" si="111"/>
        <v>Error?</v>
      </c>
    </row>
    <row r="7219" spans="1:4" x14ac:dyDescent="0.2">
      <c r="A7219">
        <v>7158</v>
      </c>
      <c r="B7219" s="138">
        <f>'Expenditures 15-22'!F342</f>
        <v>2178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469650</v>
      </c>
      <c r="D7224" s="2" t="str">
        <f t="shared" si="111"/>
        <v>Error?</v>
      </c>
    </row>
    <row r="7225" spans="1:4" x14ac:dyDescent="0.2">
      <c r="A7225">
        <v>7164</v>
      </c>
      <c r="B7225" s="138">
        <f>'Expenditures 15-22'!K343</f>
        <v>53331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22158</v>
      </c>
      <c r="D7246" s="2" t="str">
        <f t="shared" si="112"/>
        <v>Error?</v>
      </c>
    </row>
    <row r="7247" spans="1:4" x14ac:dyDescent="0.2">
      <c r="A7247">
        <f t="shared" si="113"/>
        <v>7186</v>
      </c>
      <c r="B7247" s="138">
        <f>'Expenditures 15-22'!E7</f>
        <v>526</v>
      </c>
      <c r="D7247" s="2" t="str">
        <f t="shared" si="112"/>
        <v>Error?</v>
      </c>
    </row>
    <row r="7248" spans="1:4" x14ac:dyDescent="0.2">
      <c r="A7248">
        <f t="shared" si="113"/>
        <v>7187</v>
      </c>
      <c r="B7248" s="138">
        <f>'Expenditures 15-22'!F7</f>
        <v>6489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12284</v>
      </c>
      <c r="D7263" s="2" t="str">
        <f t="shared" si="112"/>
        <v>Error?</v>
      </c>
    </row>
    <row r="7264" spans="1:4" x14ac:dyDescent="0.2">
      <c r="A7264">
        <f t="shared" si="113"/>
        <v>7203</v>
      </c>
      <c r="B7264" s="138">
        <f>'Expenditures 15-22'!D17</f>
        <v>2074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980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967159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23257</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24954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48211</v>
      </c>
      <c r="D7719" s="2" t="str">
        <f t="shared" si="126"/>
        <v>Error?</v>
      </c>
      <c r="E7719" s="2" t="s">
        <v>881</v>
      </c>
    </row>
    <row r="7720" spans="1:6" x14ac:dyDescent="0.2">
      <c r="A7720">
        <v>7659</v>
      </c>
      <c r="B7720" s="138">
        <f>'Rest Tax Levies-Tort Im 25'!H14</f>
        <v>67062</v>
      </c>
      <c r="D7720" s="2" t="str">
        <f t="shared" si="126"/>
        <v>Error?</v>
      </c>
      <c r="E7720" s="2" t="s">
        <v>881</v>
      </c>
    </row>
    <row r="7721" spans="1:6" x14ac:dyDescent="0.2">
      <c r="A7721">
        <v>7660</v>
      </c>
      <c r="B7721" s="138">
        <f>'Rest Tax Levies-Tort Im 25'!K14</f>
        <v>48211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1192518</v>
      </c>
      <c r="D7797" s="2" t="str">
        <f t="shared" si="127"/>
        <v>Error?</v>
      </c>
      <c r="E7797" s="4" t="s">
        <v>2020</v>
      </c>
    </row>
    <row r="7798" spans="1:5" x14ac:dyDescent="0.2">
      <c r="A7798">
        <v>7737</v>
      </c>
      <c r="B7798" s="138">
        <f>'Contracts Paid in CY 29'!F141</f>
        <v>125000</v>
      </c>
      <c r="D7798" s="2" t="str">
        <f t="shared" si="127"/>
        <v>Error?</v>
      </c>
      <c r="E7798" s="4" t="s">
        <v>2020</v>
      </c>
    </row>
    <row r="7799" spans="1:5" x14ac:dyDescent="0.2">
      <c r="A7799">
        <v>7738</v>
      </c>
      <c r="B7799" s="138">
        <f>'Contracts Paid in CY 29'!G141</f>
        <v>1067518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activeCell="B33" sqref="B3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1" t="s">
        <v>1253</v>
      </c>
      <c r="B2" s="2431"/>
      <c r="C2" s="2431"/>
      <c r="D2" s="2431"/>
      <c r="E2" s="2431"/>
      <c r="F2" s="2431"/>
      <c r="G2" s="2431"/>
      <c r="H2" s="2431"/>
      <c r="I2" s="2431"/>
      <c r="J2" s="2431"/>
      <c r="K2" s="2431"/>
      <c r="L2" s="2431"/>
    </row>
    <row r="3" spans="1:29" ht="13.5" customHeight="1" x14ac:dyDescent="0.2">
      <c r="A3" s="2417" t="s">
        <v>1252</v>
      </c>
      <c r="B3" s="2417"/>
      <c r="C3" s="2417"/>
      <c r="D3" s="2417"/>
      <c r="E3" s="2417"/>
      <c r="F3" s="2417"/>
      <c r="G3" s="2417"/>
      <c r="H3" s="2417"/>
      <c r="I3" s="2417"/>
      <c r="J3" s="2417"/>
      <c r="K3" s="2417"/>
      <c r="L3" s="2417"/>
    </row>
    <row r="4" spans="1:29" ht="13.5" customHeight="1" x14ac:dyDescent="0.2">
      <c r="A4" s="2431" t="s">
        <v>1799</v>
      </c>
      <c r="B4" s="2448"/>
      <c r="C4" s="2448"/>
      <c r="D4" s="2448"/>
      <c r="E4" s="2448"/>
      <c r="F4" s="2448"/>
      <c r="G4" s="2448"/>
      <c r="H4" s="2448"/>
      <c r="I4" s="2448"/>
      <c r="J4" s="2448"/>
      <c r="K4" s="2448"/>
      <c r="L4" s="244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1" t="str">
        <f>COVER!A17</f>
        <v>Meridian CUSD 223</v>
      </c>
      <c r="B7" s="2412"/>
      <c r="C7" s="2412"/>
      <c r="D7" s="2449"/>
      <c r="E7" s="2450">
        <f>COVER!A13</f>
        <v>47071223026</v>
      </c>
      <c r="F7" s="2451"/>
      <c r="G7" s="2418" t="str">
        <f>COVER!T23</f>
        <v>066-004238</v>
      </c>
      <c r="H7" s="2419"/>
      <c r="I7" s="2419"/>
      <c r="J7" s="2419"/>
      <c r="K7" s="2419"/>
      <c r="L7" s="2420"/>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1"/>
      <c r="B9" s="2422"/>
      <c r="C9" s="2422"/>
      <c r="D9" s="2422"/>
      <c r="E9" s="2422"/>
      <c r="F9" s="2423"/>
      <c r="G9" s="2424" t="str">
        <f>COVER!T13</f>
        <v xml:space="preserve">BENNING GROUP, LLC </v>
      </c>
      <c r="H9" s="2425"/>
      <c r="I9" s="2425"/>
      <c r="J9" s="2425"/>
      <c r="K9" s="2425"/>
      <c r="L9" s="2426"/>
    </row>
    <row r="10" spans="1:29" ht="13.5" customHeight="1" x14ac:dyDescent="0.2">
      <c r="A10" s="2408" t="str">
        <f>COVER!A38</f>
        <v xml:space="preserve">PHILLIP J CAPOSEY </v>
      </c>
      <c r="B10" s="2409"/>
      <c r="C10" s="2409"/>
      <c r="D10" s="2409"/>
      <c r="E10" s="2409"/>
      <c r="F10" s="2410"/>
      <c r="G10" s="2424" t="str">
        <f>COVER!T17</f>
        <v>50. W. DOUGLAS STREET, SUITE 801</v>
      </c>
      <c r="H10" s="2437"/>
      <c r="I10" s="2437"/>
      <c r="J10" s="2437"/>
      <c r="K10" s="2437"/>
      <c r="L10" s="2438"/>
    </row>
    <row r="11" spans="1:29" ht="13.5" customHeight="1" x14ac:dyDescent="0.2">
      <c r="A11" s="1184" t="s">
        <v>1599</v>
      </c>
      <c r="B11" s="1185"/>
      <c r="C11" s="1186"/>
      <c r="D11" s="1191"/>
      <c r="E11" s="1186"/>
      <c r="F11" s="1190"/>
      <c r="G11" s="2424" t="str">
        <f>COVER!T19</f>
        <v xml:space="preserve">FREEPORT </v>
      </c>
      <c r="H11" s="2437"/>
      <c r="I11" s="2437"/>
      <c r="J11" s="2437"/>
      <c r="K11" s="2437"/>
      <c r="L11" s="2438"/>
    </row>
    <row r="12" spans="1:29" ht="13.5" customHeight="1" x14ac:dyDescent="0.2">
      <c r="A12" s="2442" t="s">
        <v>1598</v>
      </c>
      <c r="B12" s="2443"/>
      <c r="C12" s="2443"/>
      <c r="D12" s="2443"/>
      <c r="E12" s="2443"/>
      <c r="F12" s="2444"/>
      <c r="G12" s="2439"/>
      <c r="H12" s="2440"/>
      <c r="I12" s="2440"/>
      <c r="J12" s="2440"/>
      <c r="K12" s="2440"/>
      <c r="L12" s="2441"/>
    </row>
    <row r="13" spans="1:29" ht="13.5" customHeight="1" x14ac:dyDescent="0.2">
      <c r="A13" s="2424"/>
      <c r="B13" s="2437"/>
      <c r="C13" s="2437"/>
      <c r="D13" s="2437"/>
      <c r="E13" s="2437"/>
      <c r="F13" s="2438"/>
      <c r="G13" s="2432" t="s">
        <v>1600</v>
      </c>
      <c r="H13" s="2433"/>
      <c r="I13" s="2445" t="str">
        <f>COVER!T25</f>
        <v>jblocker@benninggroup.com</v>
      </c>
      <c r="J13" s="2446"/>
      <c r="K13" s="2446"/>
      <c r="L13" s="2447"/>
    </row>
    <row r="14" spans="1:29" ht="13.5" customHeight="1" x14ac:dyDescent="0.2">
      <c r="A14" s="2424" t="str">
        <f>COVER!A19</f>
        <v>207 W. MAIN ST.</v>
      </c>
      <c r="B14" s="2437"/>
      <c r="C14" s="2437"/>
      <c r="D14" s="2437"/>
      <c r="E14" s="2437"/>
      <c r="F14" s="2438"/>
      <c r="G14" s="1195" t="s">
        <v>1247</v>
      </c>
      <c r="H14" s="1193"/>
      <c r="I14" s="1193"/>
      <c r="J14" s="1193"/>
      <c r="K14" s="1193"/>
      <c r="L14" s="1194"/>
    </row>
    <row r="15" spans="1:29" ht="13.5" customHeight="1" x14ac:dyDescent="0.2">
      <c r="A15" s="2424" t="str">
        <f>COVER!A21</f>
        <v>STILLMAN VALLEY</v>
      </c>
      <c r="B15" s="2437"/>
      <c r="C15" s="2437"/>
      <c r="D15" s="2437"/>
      <c r="E15" s="2437"/>
      <c r="F15" s="2438"/>
      <c r="G15" s="2434" t="str">
        <f>COVER!T15</f>
        <v xml:space="preserve">JENNY L. BLOCKER </v>
      </c>
      <c r="H15" s="2435"/>
      <c r="I15" s="2435"/>
      <c r="J15" s="2435"/>
      <c r="K15" s="2435"/>
      <c r="L15" s="2436"/>
    </row>
    <row r="16" spans="1:29" ht="12.2" customHeight="1" x14ac:dyDescent="0.2">
      <c r="A16" s="2414">
        <f>COVER!A25</f>
        <v>61084</v>
      </c>
      <c r="B16" s="2415"/>
      <c r="C16" s="2415"/>
      <c r="D16" s="2415"/>
      <c r="E16" s="2415"/>
      <c r="F16" s="2416"/>
      <c r="G16" s="2427"/>
      <c r="H16" s="2428"/>
      <c r="I16" s="2428"/>
      <c r="J16" s="2428"/>
      <c r="K16" s="2428"/>
      <c r="L16" s="2429"/>
    </row>
    <row r="17" spans="1:13" ht="12.2" customHeight="1" x14ac:dyDescent="0.2">
      <c r="A17" s="2430"/>
      <c r="B17" s="2415"/>
      <c r="C17" s="2415"/>
      <c r="D17" s="2415"/>
      <c r="E17" s="2415"/>
      <c r="F17" s="2416"/>
      <c r="G17" s="1195" t="s">
        <v>1246</v>
      </c>
      <c r="H17" s="1193"/>
      <c r="I17" s="1193"/>
      <c r="J17" s="1193"/>
      <c r="K17" s="1197" t="s">
        <v>1245</v>
      </c>
      <c r="L17" s="1190"/>
      <c r="M17" s="1183"/>
    </row>
    <row r="18" spans="1:13" ht="12.2" customHeight="1" x14ac:dyDescent="0.2">
      <c r="A18" s="2408"/>
      <c r="B18" s="2409"/>
      <c r="C18" s="2409"/>
      <c r="D18" s="2409"/>
      <c r="E18" s="2409"/>
      <c r="F18" s="2410"/>
      <c r="G18" s="2411" t="str">
        <f>COVER!T21</f>
        <v>815/235-3157</v>
      </c>
      <c r="H18" s="2412"/>
      <c r="I18" s="2412"/>
      <c r="J18" s="2412"/>
      <c r="K18" s="2411" t="str">
        <f>COVER!X21</f>
        <v>815/235-3158</v>
      </c>
      <c r="L18" s="24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B33" sqref="B33"/>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2" t="str">
        <f>'Single Audit Cover'!A7</f>
        <v>Meridian CUSD 223</v>
      </c>
      <c r="B1" s="2448"/>
      <c r="C1" s="2448"/>
      <c r="D1" s="2448"/>
    </row>
    <row r="2" spans="1:11" s="1214" customFormat="1" ht="12.75" x14ac:dyDescent="0.2">
      <c r="A2" s="2453">
        <f>'Single Audit Cover'!E7</f>
        <v>47071223026</v>
      </c>
      <c r="B2" s="2454"/>
      <c r="C2" s="2454"/>
      <c r="D2" s="2454"/>
    </row>
    <row r="3" spans="1:11" s="1214" customFormat="1" ht="12.75" x14ac:dyDescent="0.2">
      <c r="A3" s="2452" t="s">
        <v>1593</v>
      </c>
      <c r="B3" s="2448"/>
      <c r="C3" s="2448"/>
      <c r="D3" s="2448"/>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B33" sqref="B33"/>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6" t="str">
        <f>'Single Audit Cover'!A7</f>
        <v>Meridian CUSD 223</v>
      </c>
      <c r="B1" s="2456"/>
      <c r="C1" s="2456"/>
      <c r="D1" s="2456"/>
      <c r="E1" s="2456"/>
    </row>
    <row r="2" spans="1:5" x14ac:dyDescent="0.2">
      <c r="A2" s="2457">
        <f>'Single Audit Cover'!E7</f>
        <v>47071223026</v>
      </c>
      <c r="B2" s="2457"/>
      <c r="C2" s="2457"/>
      <c r="D2" s="2457"/>
      <c r="E2" s="2457"/>
    </row>
    <row r="3" spans="1:5" ht="4.5" customHeight="1" x14ac:dyDescent="0.2"/>
    <row r="4" spans="1:5" x14ac:dyDescent="0.2">
      <c r="A4" s="2456" t="s">
        <v>1307</v>
      </c>
      <c r="B4" s="2456"/>
      <c r="C4" s="2456"/>
      <c r="D4" s="2456"/>
      <c r="E4" s="2456"/>
    </row>
    <row r="5" spans="1:5" x14ac:dyDescent="0.2">
      <c r="A5" s="2459" t="str">
        <f>'Single Audit Cover'!A4</f>
        <v>Year Ending June 30, 2018</v>
      </c>
      <c r="B5" s="2459"/>
      <c r="C5" s="2459"/>
      <c r="D5" s="2459"/>
      <c r="E5" s="2459"/>
    </row>
    <row r="6" spans="1:5" x14ac:dyDescent="0.2">
      <c r="A6" s="2456" t="s">
        <v>1306</v>
      </c>
      <c r="B6" s="2456"/>
      <c r="C6" s="2456"/>
      <c r="D6" s="2456"/>
      <c r="E6" s="2456"/>
    </row>
    <row r="8" spans="1:5" x14ac:dyDescent="0.2">
      <c r="A8" s="1259" t="s">
        <v>1305</v>
      </c>
    </row>
    <row r="10" spans="1:5" x14ac:dyDescent="0.2">
      <c r="A10" s="1260" t="s">
        <v>1304</v>
      </c>
      <c r="B10" s="1261" t="s">
        <v>1303</v>
      </c>
      <c r="C10" s="1261"/>
      <c r="D10" s="1262">
        <f>SUM('Acct Summary 7-8'!C7:K7)</f>
        <v>646674</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36152</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-23835</v>
      </c>
    </row>
    <row r="19" spans="1:4" ht="13.5" thickBot="1" x14ac:dyDescent="0.25">
      <c r="A19" s="1264" t="s">
        <v>1297</v>
      </c>
      <c r="D19" s="1265">
        <f>SUM(D10:D17)</f>
        <v>658991</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8"/>
      <c r="B24" s="2458"/>
      <c r="D24" s="1267"/>
    </row>
    <row r="25" spans="1:4" x14ac:dyDescent="0.2">
      <c r="A25" s="2455"/>
      <c r="B25" s="2455"/>
      <c r="D25" s="1267"/>
    </row>
    <row r="26" spans="1:4" x14ac:dyDescent="0.2">
      <c r="A26" s="2455"/>
      <c r="B26" s="2455"/>
      <c r="D26" s="1267"/>
    </row>
    <row r="27" spans="1:4" x14ac:dyDescent="0.2">
      <c r="A27" s="2455"/>
      <c r="B27" s="2455"/>
      <c r="D27" s="1267"/>
    </row>
    <row r="28" spans="1:4" x14ac:dyDescent="0.2">
      <c r="A28" s="2455"/>
      <c r="B28" s="2455"/>
      <c r="D28" s="1267"/>
    </row>
    <row r="29" spans="1:4" x14ac:dyDescent="0.2">
      <c r="A29" s="2455"/>
      <c r="B29" s="2455"/>
      <c r="D29" s="1267"/>
    </row>
    <row r="30" spans="1:4" x14ac:dyDescent="0.2">
      <c r="A30" s="2455"/>
      <c r="B30" s="2455"/>
      <c r="D30" s="1267"/>
    </row>
    <row r="32" spans="1:4" x14ac:dyDescent="0.2">
      <c r="A32" s="1259" t="s">
        <v>1295</v>
      </c>
      <c r="D32" s="1262">
        <f>SUM(D19:D30)</f>
        <v>658991</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5"/>
      <c r="B40" s="2455"/>
      <c r="D40" s="1267"/>
    </row>
    <row r="41" spans="1:4" x14ac:dyDescent="0.2">
      <c r="A41" s="2455"/>
      <c r="B41" s="2455"/>
      <c r="D41" s="1270"/>
    </row>
    <row r="42" spans="1:4" x14ac:dyDescent="0.2">
      <c r="A42" s="2455"/>
      <c r="B42" s="2455"/>
      <c r="D42" s="1270"/>
    </row>
    <row r="43" spans="1:4" x14ac:dyDescent="0.2">
      <c r="A43" s="2455"/>
      <c r="B43" s="2455"/>
      <c r="D43" s="1270"/>
    </row>
    <row r="44" spans="1:4" x14ac:dyDescent="0.2">
      <c r="A44" s="2455"/>
      <c r="B44" s="2455"/>
      <c r="D44" s="1270"/>
    </row>
    <row r="45" spans="1:4" x14ac:dyDescent="0.2">
      <c r="A45" s="2455"/>
      <c r="B45" s="2455"/>
      <c r="D45" s="1270"/>
    </row>
    <row r="47" spans="1:4" x14ac:dyDescent="0.2">
      <c r="B47" s="1271" t="s">
        <v>1289</v>
      </c>
      <c r="C47" s="1271"/>
      <c r="D47" s="1272">
        <f>SUM(D35:D45)</f>
        <v>0</v>
      </c>
    </row>
    <row r="49" spans="2:4" x14ac:dyDescent="0.2">
      <c r="B49" s="1271" t="s">
        <v>1288</v>
      </c>
      <c r="C49" s="1271"/>
      <c r="D49" s="1272">
        <f>D32-D47</f>
        <v>658991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activeCell="B33" sqref="B33"/>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Meridian CUSD 223</v>
      </c>
      <c r="B1" s="2461"/>
      <c r="C1" s="2461"/>
      <c r="D1" s="2461"/>
      <c r="E1" s="2461"/>
      <c r="F1" s="2461"/>
    </row>
    <row r="2" spans="1:7" ht="13.5" customHeight="1" x14ac:dyDescent="0.2">
      <c r="A2" s="2462">
        <f>'Single Audit Cover'!E7</f>
        <v>47071223026</v>
      </c>
      <c r="B2" s="2462"/>
      <c r="C2" s="2462"/>
      <c r="D2" s="2462"/>
      <c r="E2" s="2462"/>
      <c r="F2" s="2462"/>
      <c r="G2" s="1274"/>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5" t="s">
        <v>1831</v>
      </c>
      <c r="C6" s="317"/>
      <c r="D6" s="317"/>
    </row>
    <row r="7" spans="1:7" ht="60.95" customHeight="1" x14ac:dyDescent="0.2">
      <c r="A7" s="2460" t="s">
        <v>1832</v>
      </c>
      <c r="B7" s="2460"/>
      <c r="C7" s="2460"/>
      <c r="D7" s="2460"/>
      <c r="E7" s="2460"/>
      <c r="F7" s="2460"/>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0" t="s">
        <v>1834</v>
      </c>
      <c r="B13" s="2460"/>
      <c r="C13" s="2460"/>
      <c r="D13" s="2460"/>
      <c r="E13" s="2460"/>
      <c r="F13" s="2460"/>
    </row>
    <row r="14" spans="1:7" ht="9.75" customHeight="1" x14ac:dyDescent="0.2">
      <c r="C14" s="1259"/>
      <c r="D14" s="1259"/>
    </row>
    <row r="15" spans="1:7" ht="13.5" customHeight="1" x14ac:dyDescent="0.2">
      <c r="C15" s="1870" t="s">
        <v>1332</v>
      </c>
      <c r="D15" s="2466" t="s">
        <v>1331</v>
      </c>
      <c r="E15" s="2466"/>
      <c r="F15" s="2466"/>
    </row>
    <row r="16" spans="1:7" ht="13.5" customHeight="1" x14ac:dyDescent="0.2">
      <c r="A16" s="1281"/>
      <c r="B16" s="1275" t="s">
        <v>1330</v>
      </c>
      <c r="C16" s="1870" t="s">
        <v>1329</v>
      </c>
      <c r="D16" s="2467" t="s">
        <v>1670</v>
      </c>
      <c r="E16" s="2467"/>
      <c r="F16" s="2467"/>
    </row>
    <row r="17" spans="1:6" ht="20.45" customHeight="1" x14ac:dyDescent="0.2">
      <c r="A17" s="1282"/>
      <c r="B17" s="1283"/>
      <c r="C17" s="1284"/>
      <c r="D17" s="2465"/>
      <c r="E17" s="2465"/>
      <c r="F17" s="2465"/>
    </row>
    <row r="18" spans="1:6" ht="20.65" customHeight="1" x14ac:dyDescent="0.2">
      <c r="A18" s="1282"/>
      <c r="B18" s="1283"/>
      <c r="C18" s="1284"/>
      <c r="D18" s="2465"/>
      <c r="E18" s="2465"/>
      <c r="F18" s="2465"/>
    </row>
    <row r="19" spans="1:6" ht="20.65" customHeight="1" x14ac:dyDescent="0.2">
      <c r="A19" s="1282"/>
      <c r="B19" s="1283"/>
      <c r="C19" s="1284"/>
      <c r="D19" s="2465"/>
      <c r="E19" s="2465"/>
      <c r="F19" s="2465"/>
    </row>
    <row r="20" spans="1:6" ht="20.65" customHeight="1" x14ac:dyDescent="0.2">
      <c r="A20" s="1282"/>
      <c r="B20" s="1283"/>
      <c r="C20" s="1284"/>
      <c r="D20" s="2465"/>
      <c r="E20" s="2465"/>
      <c r="F20" s="2465"/>
    </row>
    <row r="21" spans="1:6" ht="20.65" customHeight="1" x14ac:dyDescent="0.2">
      <c r="A21" s="1282"/>
      <c r="B21" s="1283"/>
      <c r="C21" s="1284"/>
      <c r="D21" s="2465"/>
      <c r="E21" s="2465"/>
      <c r="F21" s="2465"/>
    </row>
    <row r="22" spans="1:6" ht="20.65" customHeight="1" x14ac:dyDescent="0.2">
      <c r="A22" s="1282"/>
      <c r="B22" s="1283"/>
      <c r="C22" s="1284"/>
      <c r="D22" s="2465"/>
      <c r="E22" s="2465"/>
      <c r="F22" s="2465"/>
    </row>
    <row r="23" spans="1:6" ht="20.65" customHeight="1" x14ac:dyDescent="0.2">
      <c r="A23" s="1282"/>
      <c r="B23" s="1283"/>
      <c r="C23" s="1284"/>
      <c r="D23" s="2465"/>
      <c r="E23" s="2465"/>
      <c r="F23" s="2465"/>
    </row>
    <row r="24" spans="1:6" ht="20.65" customHeight="1" x14ac:dyDescent="0.2">
      <c r="A24" s="1282"/>
      <c r="B24" s="1283"/>
      <c r="C24" s="1284"/>
      <c r="D24" s="2465"/>
      <c r="E24" s="2465"/>
      <c r="F24" s="2465"/>
    </row>
    <row r="25" spans="1:6" ht="20.65" customHeight="1" x14ac:dyDescent="0.2">
      <c r="A25" s="1282"/>
      <c r="B25" s="1283"/>
      <c r="C25" s="1284"/>
      <c r="D25" s="2465"/>
      <c r="E25" s="2465"/>
      <c r="F25" s="2465"/>
    </row>
    <row r="26" spans="1:6" ht="20.65" customHeight="1" x14ac:dyDescent="0.2">
      <c r="A26" s="1282"/>
      <c r="B26" s="1283"/>
      <c r="C26" s="1284"/>
      <c r="D26" s="2465"/>
      <c r="E26" s="2465"/>
      <c r="F26" s="2465"/>
    </row>
    <row r="27" spans="1:6" ht="20.65" customHeight="1" x14ac:dyDescent="0.2">
      <c r="A27" s="1282"/>
      <c r="B27" s="1283"/>
      <c r="C27" s="1284"/>
      <c r="D27" s="2465"/>
      <c r="E27" s="2465"/>
      <c r="F27" s="2465"/>
    </row>
    <row r="28" spans="1:6" ht="20.65" customHeight="1" x14ac:dyDescent="0.2">
      <c r="A28" s="1282"/>
      <c r="B28" s="1283"/>
      <c r="C28" s="1284"/>
      <c r="D28" s="2465"/>
      <c r="E28" s="2465"/>
      <c r="F28" s="2465"/>
    </row>
    <row r="29" spans="1:6" ht="20.65" customHeight="1" x14ac:dyDescent="0.2">
      <c r="A29" s="1282"/>
      <c r="B29" s="1283"/>
      <c r="C29" s="1284"/>
      <c r="D29" s="2465"/>
      <c r="E29" s="2465"/>
      <c r="F29" s="2465"/>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9" t="s">
        <v>1835</v>
      </c>
      <c r="B32" s="2469"/>
      <c r="C32" s="2469"/>
      <c r="D32" s="2469"/>
      <c r="E32" s="2469"/>
      <c r="F32" s="2469"/>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70">
        <f>+C33+C34</f>
        <v>0</v>
      </c>
      <c r="F34" s="2471"/>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2" t="s">
        <v>1672</v>
      </c>
      <c r="C49" s="2472"/>
      <c r="D49" s="2472"/>
      <c r="E49" s="1398"/>
    </row>
    <row r="50" spans="1:5" s="1299" customFormat="1" ht="3.75" customHeight="1" x14ac:dyDescent="0.2">
      <c r="A50" s="1298"/>
      <c r="B50" s="1869"/>
      <c r="C50" s="1869"/>
      <c r="D50" s="1869"/>
      <c r="E50" s="1398"/>
    </row>
    <row r="51" spans="1:5" s="1299" customFormat="1" ht="20.25" customHeight="1" x14ac:dyDescent="0.2">
      <c r="A51" s="1300">
        <v>6</v>
      </c>
      <c r="B51" s="2468" t="s">
        <v>1632</v>
      </c>
      <c r="C51" s="2468"/>
      <c r="D51" s="2468"/>
    </row>
    <row r="52" spans="1:5" ht="14.25" customHeight="1" x14ac:dyDescent="0.2">
      <c r="A52" s="1300"/>
      <c r="B52" s="2468"/>
      <c r="C52" s="2468"/>
      <c r="D52" s="246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33" sqref="B33"/>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7" t="str">
        <f>'Single Audit Cover'!A7</f>
        <v>Meridian CUSD 223</v>
      </c>
      <c r="C1" s="2473"/>
      <c r="D1" s="2473"/>
      <c r="E1" s="2473"/>
      <c r="F1" s="2473"/>
      <c r="G1" s="2473"/>
      <c r="H1" s="2473"/>
      <c r="I1" s="2473"/>
      <c r="J1" s="2473"/>
      <c r="K1" s="2473"/>
      <c r="L1" s="2473"/>
      <c r="M1" s="2473"/>
    </row>
    <row r="2" spans="2:14" ht="15" x14ac:dyDescent="0.2">
      <c r="B2" s="2462">
        <f>'Single Audit Cover'!E7</f>
        <v>47071223026</v>
      </c>
      <c r="C2" s="2462"/>
      <c r="D2" s="2462"/>
      <c r="E2" s="2462"/>
      <c r="F2" s="2462"/>
      <c r="G2" s="2462"/>
      <c r="H2" s="2462"/>
      <c r="I2" s="2462"/>
      <c r="J2" s="2462"/>
      <c r="K2" s="2462"/>
      <c r="L2" s="2462"/>
      <c r="M2" s="2462"/>
      <c r="N2" s="1301"/>
    </row>
    <row r="3" spans="2:14" ht="15" x14ac:dyDescent="0.2">
      <c r="B3" s="2474" t="s">
        <v>1281</v>
      </c>
      <c r="C3" s="2474"/>
      <c r="D3" s="2474"/>
      <c r="E3" s="2474"/>
      <c r="F3" s="2474"/>
      <c r="G3" s="2474"/>
      <c r="H3" s="2474"/>
      <c r="I3" s="2474"/>
      <c r="J3" s="2474"/>
      <c r="K3" s="2474"/>
      <c r="L3" s="2474"/>
      <c r="M3" s="2474"/>
      <c r="N3" s="1301"/>
    </row>
    <row r="4" spans="2:14" ht="15" x14ac:dyDescent="0.2">
      <c r="B4" s="2475" t="str">
        <f>'Single Audit Cover'!A4</f>
        <v>Year Ending June 30, 2018</v>
      </c>
      <c r="C4" s="2475"/>
      <c r="D4" s="2475"/>
      <c r="E4" s="2475"/>
      <c r="F4" s="2475"/>
      <c r="G4" s="2475"/>
      <c r="H4" s="2475"/>
      <c r="I4" s="2475"/>
      <c r="J4" s="2475"/>
      <c r="K4" s="2475"/>
      <c r="L4" s="2475"/>
      <c r="M4" s="2475"/>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1840</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1951</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1841</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1842</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1843</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1844</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1230</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2077</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5" t="s">
        <v>1731</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331</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1390</v>
      </c>
      <c r="B70" s="2098"/>
      <c r="C70" s="2098"/>
      <c r="D70" s="2098"/>
      <c r="E70" s="2099"/>
      <c r="F70" s="2099"/>
      <c r="G70" s="2099"/>
      <c r="H70" s="2099"/>
      <c r="I70" s="209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1387</v>
      </c>
      <c r="B83" s="2100"/>
      <c r="C83" s="2100"/>
      <c r="D83" s="210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2"/>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2145</v>
      </c>
      <c r="D114" s="209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1397</v>
      </c>
      <c r="D117" s="2093"/>
      <c r="E117" s="2094"/>
      <c r="F117" s="2094"/>
      <c r="G117" s="2094"/>
      <c r="H117" s="2094"/>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33" sqref="B3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Meridian CUSD 223</v>
      </c>
      <c r="C1" s="2481"/>
      <c r="D1" s="2481"/>
      <c r="E1" s="2481"/>
      <c r="F1" s="2481"/>
      <c r="G1" s="2481"/>
      <c r="H1" s="2481"/>
      <c r="I1" s="2481"/>
      <c r="J1" s="1421"/>
    </row>
    <row r="2" spans="2:10" s="317" customFormat="1" ht="12.75" customHeight="1" x14ac:dyDescent="0.2">
      <c r="B2" s="2482">
        <f>'Single Audit Cover'!E7</f>
        <v>47071223026</v>
      </c>
      <c r="C2" s="2483"/>
      <c r="D2" s="2483"/>
      <c r="E2" s="2483"/>
      <c r="F2" s="2483"/>
      <c r="G2" s="2483"/>
      <c r="H2" s="2483"/>
      <c r="I2" s="2483"/>
      <c r="J2" s="1421"/>
    </row>
    <row r="3" spans="2:10" s="317" customFormat="1" ht="12.75" customHeight="1" x14ac:dyDescent="0.2">
      <c r="B3" s="2484" t="s">
        <v>1347</v>
      </c>
      <c r="C3" s="2485"/>
      <c r="D3" s="2485"/>
      <c r="E3" s="2485"/>
      <c r="F3" s="2485"/>
      <c r="G3" s="2485"/>
      <c r="H3" s="2485"/>
      <c r="I3" s="2485"/>
      <c r="J3" s="1422"/>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4" t="s">
        <v>1346</v>
      </c>
      <c r="C7" s="2485"/>
      <c r="D7" s="2485"/>
      <c r="E7" s="2485"/>
      <c r="F7" s="2485"/>
      <c r="G7" s="2485"/>
      <c r="H7" s="2485"/>
      <c r="I7" s="2485"/>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6"/>
      <c r="D11" s="2486"/>
      <c r="E11" s="1431"/>
      <c r="F11" s="1431"/>
      <c r="G11" s="1431"/>
    </row>
    <row r="12" spans="2:10" s="317" customFormat="1" ht="11.45" customHeight="1" x14ac:dyDescent="0.2">
      <c r="B12" s="1356"/>
      <c r="C12" s="1432" t="s">
        <v>1517</v>
      </c>
      <c r="D12" s="1433"/>
      <c r="E12" s="1257"/>
    </row>
    <row r="13" spans="2:10" s="317" customFormat="1" ht="6"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7"/>
      <c r="E29" s="2487"/>
      <c r="F29" s="2487"/>
      <c r="G29" s="2487"/>
      <c r="H29" s="2487"/>
      <c r="I29" s="2487"/>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8" t="s">
        <v>1854</v>
      </c>
      <c r="D37" s="2489"/>
      <c r="E37" s="2489"/>
      <c r="F37" s="2490"/>
      <c r="G37" s="2488" t="s">
        <v>1674</v>
      </c>
      <c r="H37" s="2489"/>
      <c r="I37" s="2490"/>
    </row>
    <row r="38" spans="2:9" ht="16.5" customHeight="1" x14ac:dyDescent="0.2">
      <c r="B38" s="1443"/>
      <c r="C38" s="2476"/>
      <c r="D38" s="2477"/>
      <c r="E38" s="2477"/>
      <c r="F38" s="2478"/>
      <c r="G38" s="2491"/>
      <c r="H38" s="2492"/>
      <c r="I38" s="2493"/>
    </row>
    <row r="39" spans="2:9" ht="16.5" customHeight="1" x14ac:dyDescent="0.2">
      <c r="B39" s="1443"/>
      <c r="C39" s="2476"/>
      <c r="D39" s="2477"/>
      <c r="E39" s="2477"/>
      <c r="F39" s="2478"/>
      <c r="G39" s="2479"/>
      <c r="H39" s="2479"/>
      <c r="I39" s="2479"/>
    </row>
    <row r="40" spans="2:9" ht="16.5" customHeight="1" x14ac:dyDescent="0.2">
      <c r="B40" s="1443"/>
      <c r="C40" s="2476"/>
      <c r="D40" s="2477"/>
      <c r="E40" s="2477"/>
      <c r="F40" s="2478"/>
      <c r="G40" s="2479"/>
      <c r="H40" s="2479"/>
      <c r="I40" s="2479"/>
    </row>
    <row r="41" spans="2:9" ht="16.5" customHeight="1" x14ac:dyDescent="0.2">
      <c r="B41" s="1443"/>
      <c r="C41" s="2476"/>
      <c r="D41" s="2477"/>
      <c r="E41" s="2477"/>
      <c r="F41" s="2478"/>
      <c r="G41" s="2479"/>
      <c r="H41" s="2479"/>
      <c r="I41" s="2479"/>
    </row>
    <row r="42" spans="2:9" ht="16.5" customHeight="1" x14ac:dyDescent="0.2">
      <c r="B42" s="1443"/>
      <c r="C42" s="2476"/>
      <c r="D42" s="2477"/>
      <c r="E42" s="2477"/>
      <c r="F42" s="2478"/>
      <c r="G42" s="2479"/>
      <c r="H42" s="2479"/>
      <c r="I42" s="2479"/>
    </row>
    <row r="43" spans="2:9" ht="16.5" customHeight="1" x14ac:dyDescent="0.2">
      <c r="B43" s="1443"/>
      <c r="C43" s="2494" t="s">
        <v>1675</v>
      </c>
      <c r="D43" s="2495"/>
      <c r="E43" s="2495"/>
      <c r="F43" s="2496"/>
      <c r="G43" s="2497">
        <f>SUM(G38:I42)</f>
        <v>0</v>
      </c>
      <c r="H43" s="2497"/>
      <c r="I43" s="2497"/>
    </row>
    <row r="44" spans="2:9" ht="12.75" customHeight="1" x14ac:dyDescent="0.2"/>
    <row r="45" spans="2:9" ht="12.75" customHeight="1" x14ac:dyDescent="0.2">
      <c r="B45" s="1434" t="s">
        <v>1952</v>
      </c>
      <c r="D45" s="2498">
        <v>0</v>
      </c>
      <c r="E45" s="2499"/>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500"/>
      <c r="F49" s="2500"/>
      <c r="G49" s="2500"/>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Meridian CUSD 223</v>
      </c>
      <c r="C1" s="2480"/>
      <c r="D1" s="2480"/>
      <c r="E1" s="2480"/>
      <c r="F1" s="2480"/>
      <c r="G1" s="2480"/>
      <c r="H1" s="2480"/>
      <c r="I1" s="2480"/>
      <c r="J1" s="2480"/>
      <c r="K1" s="2480"/>
      <c r="L1" s="1373"/>
      <c r="M1" s="1373"/>
    </row>
    <row r="2" spans="1:13" ht="12" customHeight="1" x14ac:dyDescent="0.2">
      <c r="B2" s="2482">
        <f>'Single Audit Cover'!E7</f>
        <v>47071223026</v>
      </c>
      <c r="C2" s="2482"/>
      <c r="D2" s="2482"/>
      <c r="E2" s="2482"/>
      <c r="F2" s="2482"/>
      <c r="G2" s="2482"/>
      <c r="H2" s="2482"/>
      <c r="I2" s="2482"/>
      <c r="J2" s="2482"/>
      <c r="K2" s="2482"/>
      <c r="L2" s="1374"/>
      <c r="M2" s="1375"/>
    </row>
    <row r="3" spans="1:13" ht="10.35" customHeight="1" x14ac:dyDescent="0.2">
      <c r="B3" s="2503" t="s">
        <v>1347</v>
      </c>
      <c r="C3" s="2503"/>
      <c r="D3" s="2503"/>
      <c r="E3" s="2503"/>
      <c r="F3" s="2503"/>
      <c r="G3" s="2503"/>
      <c r="H3" s="2503"/>
      <c r="I3" s="2503"/>
      <c r="J3" s="2503"/>
      <c r="K3" s="2503"/>
      <c r="L3" s="1376"/>
      <c r="M3" s="1376"/>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4" t="s">
        <v>1363</v>
      </c>
      <c r="C7" s="2504"/>
      <c r="D7" s="2505"/>
      <c r="E7" s="2505"/>
      <c r="F7" s="2505"/>
      <c r="G7" s="2505"/>
      <c r="H7" s="2505"/>
      <c r="I7" s="2505"/>
      <c r="J7" s="2505"/>
      <c r="K7" s="250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2"/>
      <c r="C14" s="2502"/>
      <c r="D14" s="2502"/>
      <c r="E14" s="2502"/>
      <c r="F14" s="2502"/>
      <c r="G14" s="2502"/>
      <c r="H14" s="2502"/>
      <c r="I14" s="2502"/>
      <c r="J14" s="2502"/>
      <c r="K14" s="250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2"/>
      <c r="C17" s="2502"/>
      <c r="D17" s="2502"/>
      <c r="E17" s="2502"/>
      <c r="F17" s="2502"/>
      <c r="G17" s="2502"/>
      <c r="H17" s="2502"/>
      <c r="I17" s="2502"/>
      <c r="J17" s="2502"/>
      <c r="K17" s="250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6"/>
      <c r="C20" s="2506"/>
      <c r="D20" s="2502"/>
      <c r="E20" s="2502"/>
      <c r="F20" s="2502"/>
      <c r="G20" s="2502"/>
      <c r="H20" s="2502"/>
      <c r="I20" s="2502"/>
      <c r="J20" s="2502"/>
      <c r="K20" s="250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2"/>
      <c r="C23" s="2502"/>
      <c r="D23" s="2502"/>
      <c r="E23" s="2502"/>
      <c r="F23" s="2502"/>
      <c r="G23" s="2502"/>
      <c r="H23" s="2502"/>
      <c r="I23" s="2502"/>
      <c r="J23" s="2502"/>
      <c r="K23" s="250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2"/>
      <c r="C26" s="2502"/>
      <c r="D26" s="2502"/>
      <c r="E26" s="2502"/>
      <c r="F26" s="2502"/>
      <c r="G26" s="2502"/>
      <c r="H26" s="2502"/>
      <c r="I26" s="2502"/>
      <c r="J26" s="2502"/>
      <c r="K26" s="250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1"/>
      <c r="C29" s="2501"/>
      <c r="D29" s="2502"/>
      <c r="E29" s="2502"/>
      <c r="F29" s="2502"/>
      <c r="G29" s="2502"/>
      <c r="H29" s="2502"/>
      <c r="I29" s="2502"/>
      <c r="J29" s="2502"/>
      <c r="K29" s="250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1"/>
      <c r="C32" s="2501"/>
      <c r="D32" s="2502"/>
      <c r="E32" s="2502"/>
      <c r="F32" s="2502"/>
      <c r="G32" s="2502"/>
      <c r="H32" s="2502"/>
      <c r="I32" s="2502"/>
      <c r="J32" s="2502"/>
      <c r="K32" s="250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N13" sqref="N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Meridian CUSD 223</v>
      </c>
      <c r="C1" s="2507"/>
      <c r="D1" s="2507"/>
      <c r="E1" s="2507"/>
      <c r="F1" s="2507"/>
      <c r="G1" s="2507"/>
      <c r="H1" s="2507"/>
      <c r="I1" s="2507"/>
      <c r="J1" s="2507"/>
      <c r="K1" s="2507"/>
      <c r="L1" s="1464"/>
    </row>
    <row r="2" spans="1:12" ht="12.75" customHeight="1" x14ac:dyDescent="0.2">
      <c r="B2" s="2508">
        <f>'Single Audit Cover'!E7</f>
        <v>47071223026</v>
      </c>
      <c r="C2" s="2508"/>
      <c r="D2" s="2508"/>
      <c r="E2" s="2508"/>
      <c r="F2" s="2508"/>
      <c r="G2" s="2508"/>
      <c r="H2" s="2508"/>
      <c r="I2" s="2508"/>
      <c r="J2" s="2508"/>
      <c r="K2" s="2508"/>
      <c r="L2" s="1465"/>
    </row>
    <row r="3" spans="1:12" ht="12.75" customHeight="1" x14ac:dyDescent="0.2">
      <c r="B3" s="2503" t="s">
        <v>1347</v>
      </c>
      <c r="C3" s="2503"/>
      <c r="D3" s="2503"/>
      <c r="E3" s="2503"/>
      <c r="F3" s="2503"/>
      <c r="G3" s="2503"/>
      <c r="H3" s="2503"/>
      <c r="I3" s="2503"/>
      <c r="J3" s="2503"/>
      <c r="K3" s="2503"/>
      <c r="L3" s="1376"/>
    </row>
    <row r="4" spans="1:12" ht="12.75" customHeight="1" x14ac:dyDescent="0.2">
      <c r="B4" s="2503" t="str">
        <f>'Single Audit Cover'!A4</f>
        <v>Year Ending June 30, 2018</v>
      </c>
      <c r="C4" s="2503"/>
      <c r="D4" s="2503"/>
      <c r="E4" s="2503"/>
      <c r="F4" s="2503"/>
      <c r="G4" s="2503"/>
      <c r="H4" s="2503"/>
      <c r="I4" s="2503"/>
      <c r="J4" s="2503"/>
      <c r="K4" s="2503"/>
      <c r="L4" s="1376"/>
    </row>
    <row r="5" spans="1:12" ht="5.25" customHeight="1" x14ac:dyDescent="0.2">
      <c r="B5" s="1259" t="s">
        <v>1231</v>
      </c>
      <c r="C5" s="1259"/>
      <c r="L5" s="322"/>
    </row>
    <row r="6" spans="1:12" ht="30.75" customHeight="1" x14ac:dyDescent="0.2">
      <c r="A6" s="322"/>
      <c r="B6" s="2509" t="s">
        <v>1375</v>
      </c>
      <c r="C6" s="2509"/>
      <c r="D6" s="2509"/>
      <c r="E6" s="2509"/>
      <c r="F6" s="2509"/>
      <c r="G6" s="2509"/>
      <c r="H6" s="2509"/>
      <c r="I6" s="2509"/>
      <c r="J6" s="2509"/>
      <c r="K6" s="2509"/>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7"/>
      <c r="G12" s="2487"/>
      <c r="H12" s="2487"/>
      <c r="I12" s="2487"/>
      <c r="J12" s="2487"/>
      <c r="K12" s="2487"/>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0"/>
      <c r="E14" s="2510"/>
      <c r="F14" s="2510"/>
      <c r="H14" s="1474" t="s">
        <v>1370</v>
      </c>
      <c r="I14" s="2511"/>
      <c r="J14" s="2511"/>
      <c r="K14" s="2511"/>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1"/>
      <c r="E16" s="2511"/>
      <c r="F16" s="2511"/>
      <c r="G16" s="2511"/>
      <c r="H16" s="2511"/>
      <c r="I16" s="2511"/>
      <c r="J16" s="2511"/>
      <c r="K16" s="2511"/>
      <c r="L16" s="322"/>
    </row>
    <row r="17" spans="2:12" ht="13.5" customHeight="1" x14ac:dyDescent="0.2">
      <c r="B17" s="1386" t="s">
        <v>1368</v>
      </c>
      <c r="C17" s="1386"/>
      <c r="D17" s="2512"/>
      <c r="E17" s="2512"/>
      <c r="F17" s="2512"/>
      <c r="G17" s="2512"/>
      <c r="H17" s="2512"/>
      <c r="I17" s="2512"/>
      <c r="J17" s="2512"/>
      <c r="K17" s="2512"/>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2"/>
      <c r="C20" s="2502"/>
      <c r="D20" s="2502"/>
      <c r="E20" s="2502"/>
      <c r="F20" s="2502"/>
      <c r="G20" s="2502"/>
      <c r="H20" s="2502"/>
      <c r="I20" s="2502"/>
      <c r="J20" s="2502"/>
      <c r="K20" s="2502"/>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2"/>
      <c r="C23" s="2502"/>
      <c r="D23" s="2502"/>
      <c r="E23" s="2502"/>
      <c r="F23" s="2502"/>
      <c r="G23" s="2502"/>
      <c r="H23" s="2502"/>
      <c r="I23" s="2502"/>
      <c r="J23" s="2502"/>
      <c r="K23" s="2502"/>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2"/>
      <c r="C26" s="2502"/>
      <c r="D26" s="2502"/>
      <c r="E26" s="2502"/>
      <c r="F26" s="2502"/>
      <c r="G26" s="2502"/>
      <c r="H26" s="2502"/>
      <c r="I26" s="2502"/>
      <c r="J26" s="2502"/>
      <c r="K26" s="2502"/>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2"/>
      <c r="C29" s="2502"/>
      <c r="D29" s="2502"/>
      <c r="E29" s="2502"/>
      <c r="F29" s="2502"/>
      <c r="G29" s="2502"/>
      <c r="H29" s="2502"/>
      <c r="I29" s="2502"/>
      <c r="J29" s="2502"/>
      <c r="K29" s="2502"/>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2"/>
      <c r="C32" s="2502"/>
      <c r="D32" s="2502"/>
      <c r="E32" s="2502"/>
      <c r="F32" s="2502"/>
      <c r="G32" s="2502"/>
      <c r="H32" s="2502"/>
      <c r="I32" s="2502"/>
      <c r="J32" s="2502"/>
      <c r="K32" s="2502"/>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2"/>
      <c r="C35" s="2502"/>
      <c r="D35" s="2502"/>
      <c r="E35" s="2502"/>
      <c r="F35" s="2502"/>
      <c r="G35" s="2502"/>
      <c r="H35" s="2502"/>
      <c r="I35" s="2502"/>
      <c r="J35" s="2502"/>
      <c r="K35" s="2502"/>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2"/>
      <c r="C38" s="2502"/>
      <c r="D38" s="2502"/>
      <c r="E38" s="2502"/>
      <c r="F38" s="2502"/>
      <c r="G38" s="2502"/>
      <c r="H38" s="2502"/>
      <c r="I38" s="2502"/>
      <c r="J38" s="2502"/>
      <c r="K38" s="2502"/>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2"/>
      <c r="C41" s="2502"/>
      <c r="D41" s="2502"/>
      <c r="E41" s="2502"/>
      <c r="F41" s="2502"/>
      <c r="G41" s="2502"/>
      <c r="H41" s="2502"/>
      <c r="I41" s="2502"/>
      <c r="J41" s="2502"/>
      <c r="K41" s="2502"/>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33" sqref="B3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0" t="str">
        <f>'Single Audit Cover'!A7</f>
        <v>Meridian CUSD 223</v>
      </c>
      <c r="C1" s="2480"/>
      <c r="D1" s="2480"/>
      <c r="E1" s="1490"/>
    </row>
    <row r="2" spans="2:5" s="1281" customFormat="1" ht="12.75" customHeight="1" x14ac:dyDescent="0.2">
      <c r="B2" s="2482">
        <f>'Single Audit Cover'!E7</f>
        <v>47071223026</v>
      </c>
      <c r="C2" s="2482"/>
      <c r="D2" s="2482"/>
      <c r="E2" s="1491"/>
    </row>
    <row r="3" spans="2:5" ht="12.75" customHeight="1" x14ac:dyDescent="0.2">
      <c r="B3" s="2503" t="s">
        <v>1869</v>
      </c>
      <c r="C3" s="2503"/>
      <c r="D3" s="2503"/>
      <c r="E3" s="1273"/>
    </row>
    <row r="4" spans="2:5" s="1281" customFormat="1" ht="12.75" customHeight="1" x14ac:dyDescent="0.2">
      <c r="B4" s="2513" t="str">
        <f>'Single Audit Cover'!A4</f>
        <v>Year Ending June 30, 2018</v>
      </c>
      <c r="C4" s="2513"/>
      <c r="D4" s="2513"/>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404</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171066157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3.4799999999999998E-2</v>
      </c>
      <c r="E10" s="356" t="s">
        <v>1062</v>
      </c>
      <c r="F10" s="355">
        <v>5.0000000000000001E-3</v>
      </c>
      <c r="G10" s="356" t="s">
        <v>1062</v>
      </c>
      <c r="H10" s="355">
        <v>2E-3</v>
      </c>
      <c r="I10" s="356" t="s">
        <v>1063</v>
      </c>
      <c r="J10" s="1753">
        <f>ROUND(D10+F10+H10,5)</f>
        <v>4.1799999999999997E-2</v>
      </c>
      <c r="K10" s="222"/>
      <c r="L10" s="355">
        <v>5.0000000000000001E-4</v>
      </c>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16833094</v>
      </c>
      <c r="E16" s="356"/>
      <c r="F16" s="1754">
        <f>SUM('Acct Summary 7-8'!C17,'Acct Summary 7-8'!D17,'Acct Summary 7-8'!F17)</f>
        <v>15178695</v>
      </c>
      <c r="G16" s="356"/>
      <c r="H16" s="1754">
        <f>SUM(D16-F16)</f>
        <v>1654399</v>
      </c>
      <c r="I16" s="222"/>
      <c r="J16" s="1754">
        <f>SUM('Acct Summary 7-8'!C81,'Acct Summary 7-8'!D81,'Acct Summary 7-8'!F81,'Acct Summary 7-8'!I81)</f>
        <v>12125797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23607129.666000001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14615683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577</v>
      </c>
      <c r="B2" s="2130"/>
      <c r="C2" s="2130"/>
      <c r="D2" s="2130"/>
      <c r="E2" s="2130"/>
      <c r="F2" s="2130"/>
      <c r="G2" s="2130"/>
      <c r="H2" s="2130"/>
      <c r="I2" s="2130"/>
      <c r="J2" s="2130"/>
      <c r="K2" s="2130"/>
      <c r="L2" s="2130"/>
      <c r="M2" s="2130"/>
      <c r="N2" s="2130"/>
      <c r="O2" s="2130"/>
      <c r="P2" s="2130"/>
      <c r="Q2" s="2130"/>
      <c r="R2" s="2130"/>
    </row>
    <row r="3" spans="1:18" ht="12.75" x14ac:dyDescent="0.2">
      <c r="A3" s="2131" t="s">
        <v>1480</v>
      </c>
      <c r="B3" s="2131"/>
      <c r="C3" s="2131"/>
      <c r="D3" s="2131"/>
      <c r="E3" s="2131"/>
      <c r="F3" s="2131"/>
      <c r="G3" s="2131"/>
      <c r="H3" s="2131"/>
      <c r="I3" s="2131"/>
      <c r="J3" s="2131"/>
      <c r="K3" s="2131"/>
      <c r="L3" s="2131"/>
      <c r="M3" s="2131"/>
      <c r="N3" s="2131"/>
      <c r="O3" s="2131"/>
      <c r="P3" s="2131"/>
      <c r="Q3" s="2131"/>
      <c r="R3" s="2131"/>
    </row>
    <row r="4" spans="1:18" x14ac:dyDescent="0.2">
      <c r="A4" s="2132" t="s">
        <v>1635</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Meridian CUSD 223</v>
      </c>
      <c r="E7" s="391"/>
      <c r="G7" s="252"/>
      <c r="H7" s="387"/>
      <c r="I7" s="387"/>
      <c r="J7" s="387"/>
      <c r="K7" s="387"/>
      <c r="L7" s="329"/>
      <c r="M7" s="329"/>
      <c r="N7" s="329"/>
      <c r="O7" s="329"/>
      <c r="P7" s="329"/>
    </row>
    <row r="8" spans="1:18" ht="12.75" x14ac:dyDescent="0.2">
      <c r="A8" s="329"/>
      <c r="B8" s="329"/>
      <c r="C8" s="389" t="s">
        <v>1187</v>
      </c>
      <c r="D8" s="392">
        <f>COVER!A13</f>
        <v>47071223026</v>
      </c>
      <c r="E8" s="393"/>
      <c r="G8" s="329"/>
      <c r="H8" s="329"/>
      <c r="I8" s="329"/>
      <c r="J8" s="329"/>
      <c r="K8" s="329"/>
      <c r="L8" s="329"/>
      <c r="M8" s="329"/>
      <c r="N8" s="329"/>
      <c r="O8" s="329"/>
      <c r="P8" s="329"/>
    </row>
    <row r="9" spans="1:18" ht="12.75" x14ac:dyDescent="0.2">
      <c r="A9" s="329"/>
      <c r="B9" s="329"/>
      <c r="C9" s="389" t="s">
        <v>737</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12125797</v>
      </c>
      <c r="I12" s="404"/>
      <c r="J12" s="404"/>
      <c r="K12" s="405">
        <f>TRUNC((H12/H13*100000),5)/100000</f>
        <v>0.7203546180999999</v>
      </c>
      <c r="L12" s="406"/>
      <c r="M12" s="360" t="s">
        <v>1206</v>
      </c>
      <c r="N12" s="360"/>
      <c r="O12" s="407">
        <v>0.35</v>
      </c>
      <c r="P12" s="218"/>
      <c r="Q12" s="218"/>
    </row>
    <row r="13" spans="1:18" s="408" customFormat="1" ht="12.75" x14ac:dyDescent="0.2">
      <c r="A13" s="218"/>
      <c r="B13" s="401"/>
      <c r="C13" s="2128" t="s">
        <v>1391</v>
      </c>
      <c r="D13" s="2129"/>
      <c r="E13" s="218"/>
      <c r="F13" s="409" t="s">
        <v>826</v>
      </c>
      <c r="G13" s="402"/>
      <c r="H13" s="403">
        <f>SUM('Acct Summary 7-8'!C8+'Acct Summary 7-8'!D8+'Acct Summary 7-8'!F8+'Acct Summary 7-8'!I8)+H14</f>
        <v>16833094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15178695</v>
      </c>
      <c r="I17" s="404"/>
      <c r="J17" s="416"/>
      <c r="K17" s="405">
        <f>TRUNC((H17/H18*100000),5)/100000</f>
        <v>0.90171747390000001</v>
      </c>
      <c r="L17" s="406"/>
      <c r="M17" s="417" t="s">
        <v>1233</v>
      </c>
      <c r="O17" s="418" t="str">
        <f>IF(AND(O16="2", J20 &gt; 2),"1",IF(AND(O16 = "1", J20 &gt; 2),"2",IF(AND(O16="1", J20 &gt;1),"1","0")))</f>
        <v>0</v>
      </c>
      <c r="P17" s="218"/>
    </row>
    <row r="18" spans="1:18" s="408" customFormat="1" ht="11.25" x14ac:dyDescent="0.2">
      <c r="A18" s="218"/>
      <c r="B18" s="401"/>
      <c r="C18" s="2128" t="s">
        <v>1384</v>
      </c>
      <c r="D18" s="2129"/>
      <c r="E18" s="218"/>
      <c r="F18" s="419" t="s">
        <v>827</v>
      </c>
      <c r="G18" s="402"/>
      <c r="H18" s="403">
        <f>SUM('Acct Summary 7-8'!C8+'Acct Summary 7-8'!D8+'Acct Summary 7-8'!F8+'Acct Summary 7-8'!I8)+H19</f>
        <v>16833094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5" t="s">
        <v>1479</v>
      </c>
      <c r="D24" s="2125"/>
      <c r="E24" s="218"/>
      <c r="F24" s="218" t="s">
        <v>465</v>
      </c>
      <c r="G24" s="402"/>
      <c r="H24" s="403">
        <f>SUM('Assets-Liab 5-6'!C4+'Assets-Liab 5-6'!D4+'Assets-Liab 5-6'!F4+'Assets-Liab 5-6'!I4+'Assets-Liab 5-6'!C5+'Assets-Liab 5-6'!D5+'Assets-Liab 5-6'!F5+'Assets-Liab 5-6'!I5)</f>
        <v>12125793</v>
      </c>
      <c r="I24" s="422"/>
      <c r="J24" s="422"/>
      <c r="K24" s="423">
        <f>TRUNC(((H24/H25*100000)/100000),2)</f>
        <v>287.58999999999997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42163.041669999999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6077980.5582100004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14615683</v>
      </c>
      <c r="I32" s="420"/>
      <c r="J32" s="420"/>
      <c r="K32" s="423">
        <f>TRUNC(100-((((H32/H33*100))*100)/100),2)</f>
        <v>38.08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23607129.666000001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sqref="A1:F1"/>
      <selection pane="bottomLeft"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5" t="s">
        <v>1030</v>
      </c>
      <c r="B3" s="2136"/>
      <c r="C3" s="1580"/>
      <c r="D3" s="1581"/>
      <c r="E3" s="1581"/>
      <c r="F3" s="1581"/>
      <c r="G3" s="1581"/>
      <c r="H3" s="1581"/>
      <c r="I3" s="1581"/>
      <c r="J3" s="1581"/>
      <c r="K3" s="1581"/>
      <c r="L3" s="1581"/>
      <c r="M3" s="1582"/>
      <c r="N3" s="1583"/>
    </row>
    <row r="4" spans="1:14" ht="13.5" customHeight="1" x14ac:dyDescent="0.2">
      <c r="A4" s="463" t="s">
        <v>1750</v>
      </c>
      <c r="B4" s="464"/>
      <c r="C4" s="465">
        <v>8510598</v>
      </c>
      <c r="D4" s="466">
        <v>342360</v>
      </c>
      <c r="E4" s="466">
        <v>1025601</v>
      </c>
      <c r="F4" s="466">
        <v>1742914</v>
      </c>
      <c r="G4" s="466">
        <v>392165</v>
      </c>
      <c r="H4" s="466">
        <v>112535</v>
      </c>
      <c r="I4" s="466">
        <v>511046</v>
      </c>
      <c r="J4" s="467">
        <v>388121</v>
      </c>
      <c r="K4" s="466">
        <v>151521</v>
      </c>
      <c r="L4" s="466">
        <v>201531</v>
      </c>
      <c r="M4" s="468"/>
      <c r="N4" s="469"/>
    </row>
    <row r="5" spans="1:14" x14ac:dyDescent="0.2">
      <c r="A5" s="463" t="s">
        <v>1049</v>
      </c>
      <c r="B5" s="470">
        <v>120</v>
      </c>
      <c r="C5" s="465">
        <v>1018875</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9529473</v>
      </c>
      <c r="D13" s="1758">
        <f t="shared" ref="D13:L13" si="0">SUM(D4:D12)</f>
        <v>342360</v>
      </c>
      <c r="E13" s="1758">
        <f t="shared" si="0"/>
        <v>1025601</v>
      </c>
      <c r="F13" s="1758">
        <f t="shared" si="0"/>
        <v>1742914</v>
      </c>
      <c r="G13" s="1758">
        <f t="shared" si="0"/>
        <v>392165</v>
      </c>
      <c r="H13" s="1758">
        <f t="shared" si="0"/>
        <v>112535</v>
      </c>
      <c r="I13" s="1758">
        <f t="shared" si="0"/>
        <v>511046</v>
      </c>
      <c r="J13" s="1758">
        <f t="shared" si="0"/>
        <v>388121</v>
      </c>
      <c r="K13" s="1758">
        <f t="shared" si="0"/>
        <v>151521</v>
      </c>
      <c r="L13" s="1758">
        <f t="shared" si="0"/>
        <v>201531</v>
      </c>
      <c r="M13" s="468"/>
      <c r="N13" s="469"/>
    </row>
    <row r="14" spans="1:14" ht="18" customHeight="1" thickTop="1" x14ac:dyDescent="0.2">
      <c r="A14" s="2137" t="s">
        <v>149</v>
      </c>
      <c r="B14" s="2138"/>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2569982</v>
      </c>
      <c r="N16" s="484"/>
    </row>
    <row r="17" spans="1:14" s="485" customFormat="1" ht="12.75" customHeight="1" x14ac:dyDescent="0.2">
      <c r="A17" s="482" t="s">
        <v>1470</v>
      </c>
      <c r="B17" s="483">
        <v>230</v>
      </c>
      <c r="C17" s="477"/>
      <c r="D17" s="477"/>
      <c r="E17" s="477"/>
      <c r="F17" s="477"/>
      <c r="G17" s="477"/>
      <c r="H17" s="477"/>
      <c r="I17" s="477"/>
      <c r="J17" s="477"/>
      <c r="K17" s="477"/>
      <c r="L17" s="477"/>
      <c r="M17" s="467">
        <v>34136889</v>
      </c>
      <c r="N17" s="484"/>
    </row>
    <row r="18" spans="1:14" s="485" customFormat="1" ht="12.75" customHeight="1" x14ac:dyDescent="0.2">
      <c r="A18" s="482" t="s">
        <v>1471</v>
      </c>
      <c r="B18" s="483">
        <v>240</v>
      </c>
      <c r="C18" s="477"/>
      <c r="D18" s="477"/>
      <c r="E18" s="477"/>
      <c r="F18" s="477"/>
      <c r="G18" s="477"/>
      <c r="H18" s="477"/>
      <c r="I18" s="477"/>
      <c r="J18" s="477"/>
      <c r="K18" s="477"/>
      <c r="L18" s="477"/>
      <c r="M18" s="467">
        <v>1131723</v>
      </c>
      <c r="N18" s="484"/>
    </row>
    <row r="19" spans="1:14" s="485" customFormat="1" ht="12.75" customHeight="1" x14ac:dyDescent="0.2">
      <c r="A19" s="482" t="s">
        <v>1472</v>
      </c>
      <c r="B19" s="483">
        <v>250</v>
      </c>
      <c r="C19" s="477"/>
      <c r="D19" s="477"/>
      <c r="E19" s="477"/>
      <c r="F19" s="477"/>
      <c r="G19" s="477"/>
      <c r="H19" s="477"/>
      <c r="I19" s="477"/>
      <c r="J19" s="477"/>
      <c r="K19" s="477"/>
      <c r="L19" s="477"/>
      <c r="M19" s="467">
        <v>3619478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1025601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13590082</v>
      </c>
    </row>
    <row r="23" spans="1:14" ht="13.5" customHeight="1" thickBot="1" x14ac:dyDescent="0.25">
      <c r="A23" s="1757" t="s">
        <v>664</v>
      </c>
      <c r="B23" s="1762"/>
      <c r="C23" s="468"/>
      <c r="D23" s="468"/>
      <c r="E23" s="468"/>
      <c r="F23" s="468"/>
      <c r="G23" s="468"/>
      <c r="H23" s="468"/>
      <c r="I23" s="468"/>
      <c r="J23" s="468"/>
      <c r="K23" s="468"/>
      <c r="L23" s="468"/>
      <c r="M23" s="1709">
        <f>SUM(M15:M22)</f>
        <v>41458072</v>
      </c>
      <c r="N23" s="1709">
        <f>SUM(N21:N22)</f>
        <v>14615683</v>
      </c>
    </row>
    <row r="24" spans="1:14" ht="18" customHeight="1" thickTop="1" x14ac:dyDescent="0.2">
      <c r="A24" s="2139" t="s">
        <v>619</v>
      </c>
      <c r="B24" s="2140"/>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v>
      </c>
      <c r="D27" s="467">
        <v>-5</v>
      </c>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v>537</v>
      </c>
      <c r="K30" s="478"/>
      <c r="L30" s="468"/>
      <c r="M30" s="468"/>
      <c r="N30" s="468"/>
    </row>
    <row r="31" spans="1:14" ht="13.5" customHeight="1" x14ac:dyDescent="0.2">
      <c r="A31" s="473" t="s">
        <v>672</v>
      </c>
      <c r="B31" s="470">
        <v>480</v>
      </c>
      <c r="C31" s="466"/>
      <c r="D31" s="467"/>
      <c r="E31" s="467"/>
      <c r="F31" s="466"/>
      <c r="G31" s="467">
        <v>8540</v>
      </c>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201531</v>
      </c>
      <c r="M33" s="468"/>
      <c r="N33" s="469"/>
    </row>
    <row r="34" spans="1:14" ht="13.5" customHeight="1" thickBot="1" x14ac:dyDescent="0.25">
      <c r="A34" s="1759" t="s">
        <v>675</v>
      </c>
      <c r="B34" s="1760"/>
      <c r="C34" s="1761">
        <f>SUM(C25:C33)</f>
        <v>1</v>
      </c>
      <c r="D34" s="1761">
        <f t="shared" ref="D34:K34" si="1">SUM(D25:D33)</f>
        <v>-5</v>
      </c>
      <c r="E34" s="1761">
        <f t="shared" si="1"/>
        <v>0</v>
      </c>
      <c r="F34" s="1761">
        <f t="shared" si="1"/>
        <v>0</v>
      </c>
      <c r="G34" s="1761">
        <f t="shared" si="1"/>
        <v>8540</v>
      </c>
      <c r="H34" s="1761">
        <f t="shared" si="1"/>
        <v>0</v>
      </c>
      <c r="I34" s="1761">
        <f t="shared" si="1"/>
        <v>0</v>
      </c>
      <c r="J34" s="1761">
        <f t="shared" si="1"/>
        <v>537</v>
      </c>
      <c r="K34" s="1761">
        <f t="shared" si="1"/>
        <v>0</v>
      </c>
      <c r="L34" s="1742">
        <f>SUM(L33)</f>
        <v>201531</v>
      </c>
      <c r="M34" s="468"/>
      <c r="N34" s="480"/>
    </row>
    <row r="35" spans="1:14" ht="18" customHeight="1" thickTop="1" x14ac:dyDescent="0.2">
      <c r="A35" s="2141" t="s">
        <v>550</v>
      </c>
      <c r="B35" s="214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14615683</v>
      </c>
    </row>
    <row r="37" spans="1:14" ht="13.5" thickBot="1" x14ac:dyDescent="0.25">
      <c r="A37" s="1757" t="s">
        <v>674</v>
      </c>
      <c r="B37" s="1762"/>
      <c r="C37" s="477"/>
      <c r="D37" s="477"/>
      <c r="E37" s="477"/>
      <c r="F37" s="477"/>
      <c r="G37" s="477"/>
      <c r="H37" s="477"/>
      <c r="I37" s="477"/>
      <c r="J37" s="477"/>
      <c r="K37" s="477"/>
      <c r="L37" s="480"/>
      <c r="M37" s="468"/>
      <c r="N37" s="1709">
        <f>SUM(N36:N36)</f>
        <v>14615683</v>
      </c>
    </row>
    <row r="38" spans="1:14" s="329" customFormat="1" ht="13.5" customHeight="1" thickTop="1" x14ac:dyDescent="0.2">
      <c r="A38" s="496" t="s">
        <v>440</v>
      </c>
      <c r="B38" s="483">
        <v>714</v>
      </c>
      <c r="C38" s="466"/>
      <c r="D38" s="466"/>
      <c r="E38" s="466"/>
      <c r="F38" s="466"/>
      <c r="G38" s="466">
        <v>98557</v>
      </c>
      <c r="H38" s="466"/>
      <c r="I38" s="466"/>
      <c r="J38" s="467"/>
      <c r="K38" s="466"/>
      <c r="L38" s="481"/>
      <c r="M38" s="497"/>
      <c r="N38" s="497"/>
    </row>
    <row r="39" spans="1:14" s="329" customFormat="1" ht="13.5" customHeight="1" x14ac:dyDescent="0.2">
      <c r="A39" s="496" t="s">
        <v>360</v>
      </c>
      <c r="B39" s="483">
        <v>730</v>
      </c>
      <c r="C39" s="466">
        <v>9529472</v>
      </c>
      <c r="D39" s="466">
        <v>342365</v>
      </c>
      <c r="E39" s="466">
        <v>1025601</v>
      </c>
      <c r="F39" s="466">
        <v>1742914</v>
      </c>
      <c r="G39" s="466">
        <v>285068</v>
      </c>
      <c r="H39" s="466">
        <v>112535</v>
      </c>
      <c r="I39" s="466">
        <v>511046</v>
      </c>
      <c r="J39" s="467">
        <v>387584</v>
      </c>
      <c r="K39" s="466">
        <v>151521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41458072</v>
      </c>
      <c r="N40" s="497"/>
    </row>
    <row r="41" spans="1:14" ht="13.5" customHeight="1" thickBot="1" x14ac:dyDescent="0.25">
      <c r="A41" s="1757" t="s">
        <v>676</v>
      </c>
      <c r="B41" s="1727"/>
      <c r="C41" s="1709">
        <f>(SUM(C34,C37,C38,C39))</f>
        <v>9529473</v>
      </c>
      <c r="D41" s="1709">
        <f t="shared" ref="D41:L41" si="2">SUM(D34,D37,D38:D39)</f>
        <v>342360</v>
      </c>
      <c r="E41" s="1709">
        <f t="shared" si="2"/>
        <v>1025601</v>
      </c>
      <c r="F41" s="1709">
        <f t="shared" si="2"/>
        <v>1742914</v>
      </c>
      <c r="G41" s="1709">
        <f t="shared" si="2"/>
        <v>392165</v>
      </c>
      <c r="H41" s="1709">
        <f t="shared" si="2"/>
        <v>112535</v>
      </c>
      <c r="I41" s="1709">
        <f t="shared" si="2"/>
        <v>511046</v>
      </c>
      <c r="J41" s="1709">
        <f t="shared" si="2"/>
        <v>388121</v>
      </c>
      <c r="K41" s="1709">
        <f t="shared" si="2"/>
        <v>151521</v>
      </c>
      <c r="L41" s="1709">
        <f t="shared" si="2"/>
        <v>201531</v>
      </c>
      <c r="M41" s="1709">
        <f>SUM(M40)</f>
        <v>41458072</v>
      </c>
      <c r="N41" s="1709">
        <f>SUM(N37)</f>
        <v>14615683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3" activePane="bottomLeft" state="frozenSplit"/>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3" t="s">
        <v>1237</v>
      </c>
      <c r="B3" s="2164"/>
      <c r="C3" s="1594"/>
      <c r="D3" s="1595"/>
      <c r="E3" s="1595"/>
      <c r="F3" s="1595"/>
      <c r="G3" s="1595"/>
      <c r="H3" s="1595"/>
      <c r="I3" s="1595"/>
      <c r="J3" s="1595"/>
      <c r="K3" s="1596"/>
      <c r="L3" s="506"/>
    </row>
    <row r="4" spans="1:13" ht="15.75" customHeight="1" x14ac:dyDescent="0.2">
      <c r="A4" s="1953" t="s">
        <v>1579</v>
      </c>
      <c r="B4" s="1954">
        <v>1000</v>
      </c>
      <c r="C4" s="1763">
        <f>'Revenues 9-14'!C109</f>
        <v>6810229</v>
      </c>
      <c r="D4" s="1763">
        <f>'Revenues 9-14'!D109</f>
        <v>1053909</v>
      </c>
      <c r="E4" s="1763">
        <f>'Revenues 9-14'!E109</f>
        <v>1812044</v>
      </c>
      <c r="F4" s="1763">
        <f>'Revenues 9-14'!F109</f>
        <v>353524</v>
      </c>
      <c r="G4" s="1763">
        <f>'Revenues 9-14'!G109</f>
        <v>452132</v>
      </c>
      <c r="H4" s="1763">
        <f>'Revenues 9-14'!H109</f>
        <v>22677</v>
      </c>
      <c r="I4" s="1763">
        <f>'Revenues 9-14'!I109</f>
        <v>87009</v>
      </c>
      <c r="J4" s="1763">
        <f>'Revenues 9-14'!J109</f>
        <v>522981</v>
      </c>
      <c r="K4" s="1763">
        <f>'Revenues 9-14'!K109</f>
        <v>84388</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6439791</v>
      </c>
      <c r="D6" s="1764">
        <f>'Revenues 9-14'!D173</f>
        <v>190000</v>
      </c>
      <c r="E6" s="1764">
        <f>'Revenues 9-14'!E173</f>
        <v>0</v>
      </c>
      <c r="F6" s="1764">
        <f>'Revenues 9-14'!F173</f>
        <v>1251958</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646674</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13896694</v>
      </c>
      <c r="D8" s="1709">
        <f t="shared" ref="D8:K8" si="0">SUM(D4:D7)</f>
        <v>1243909</v>
      </c>
      <c r="E8" s="1709">
        <f t="shared" si="0"/>
        <v>1812044</v>
      </c>
      <c r="F8" s="1709">
        <f t="shared" si="0"/>
        <v>1605482</v>
      </c>
      <c r="G8" s="1709">
        <f t="shared" si="0"/>
        <v>452132</v>
      </c>
      <c r="H8" s="1709">
        <f t="shared" si="0"/>
        <v>22677</v>
      </c>
      <c r="I8" s="1709">
        <f t="shared" si="0"/>
        <v>87009</v>
      </c>
      <c r="J8" s="1709">
        <f t="shared" si="0"/>
        <v>522981</v>
      </c>
      <c r="K8" s="1709">
        <f t="shared" si="0"/>
        <v>84388</v>
      </c>
      <c r="L8" s="347"/>
    </row>
    <row r="9" spans="1:13" ht="15.75" thickTop="1" x14ac:dyDescent="0.2">
      <c r="A9" s="514" t="s">
        <v>1752</v>
      </c>
      <c r="B9" s="515">
        <v>3998</v>
      </c>
      <c r="C9" s="481">
        <v>846493</v>
      </c>
      <c r="D9" s="516"/>
      <c r="E9" s="481"/>
      <c r="F9" s="481"/>
      <c r="G9" s="517"/>
      <c r="H9" s="481"/>
      <c r="I9" s="509" t="s">
        <v>1231</v>
      </c>
      <c r="J9" s="478"/>
      <c r="K9" s="481"/>
      <c r="L9" s="347"/>
    </row>
    <row r="10" spans="1:13" s="519" customFormat="1" ht="13.5" thickBot="1" x14ac:dyDescent="0.25">
      <c r="A10" s="1757" t="s">
        <v>1235</v>
      </c>
      <c r="B10" s="1730"/>
      <c r="C10" s="1709">
        <f>SUM(C8:C9)</f>
        <v>14743187</v>
      </c>
      <c r="D10" s="1709">
        <f t="shared" ref="D10:K10" si="1">SUM(D8:D9)</f>
        <v>1243909</v>
      </c>
      <c r="E10" s="1709">
        <f t="shared" si="1"/>
        <v>1812044</v>
      </c>
      <c r="F10" s="1709">
        <f t="shared" si="1"/>
        <v>1605482</v>
      </c>
      <c r="G10" s="1709">
        <f t="shared" si="1"/>
        <v>452132</v>
      </c>
      <c r="H10" s="1709">
        <f t="shared" si="1"/>
        <v>22677</v>
      </c>
      <c r="I10" s="1709">
        <f t="shared" si="1"/>
        <v>87009</v>
      </c>
      <c r="J10" s="1709">
        <f t="shared" si="1"/>
        <v>522981</v>
      </c>
      <c r="K10" s="1709">
        <f t="shared" si="1"/>
        <v>84388</v>
      </c>
      <c r="L10" s="518"/>
    </row>
    <row r="11" spans="1:13" s="519" customFormat="1" ht="16.7" customHeight="1" thickTop="1" x14ac:dyDescent="0.2">
      <c r="A11" s="2137" t="s">
        <v>1238</v>
      </c>
      <c r="B11" s="2138"/>
      <c r="C11" s="1591"/>
      <c r="D11" s="1592"/>
      <c r="E11" s="1592"/>
      <c r="F11" s="1592"/>
      <c r="G11" s="1592"/>
      <c r="H11" s="1592"/>
      <c r="I11" s="1592"/>
      <c r="J11" s="1592"/>
      <c r="K11" s="1593"/>
      <c r="L11" s="518"/>
    </row>
    <row r="12" spans="1:13" ht="15.75" customHeight="1" x14ac:dyDescent="0.2">
      <c r="A12" s="1597" t="s">
        <v>476</v>
      </c>
      <c r="B12" s="1599">
        <v>1000</v>
      </c>
      <c r="C12" s="1763">
        <f>'Expenditures 15-22'!K33</f>
        <v>8287722</v>
      </c>
      <c r="D12" s="520" t="s">
        <v>1231</v>
      </c>
      <c r="E12" s="468" t="s">
        <v>1231</v>
      </c>
      <c r="F12" s="468" t="s">
        <v>1231</v>
      </c>
      <c r="G12" s="1763">
        <f>'Expenditures 15-22'!K229</f>
        <v>173397</v>
      </c>
      <c r="H12" s="521"/>
      <c r="I12" s="468" t="s">
        <v>1231</v>
      </c>
      <c r="J12" s="468" t="s">
        <v>1231</v>
      </c>
      <c r="K12" s="521" t="s">
        <v>1231</v>
      </c>
      <c r="L12" s="347"/>
    </row>
    <row r="13" spans="1:13" ht="15.75" customHeight="1" x14ac:dyDescent="0.2">
      <c r="A13" s="1597" t="s">
        <v>477</v>
      </c>
      <c r="B13" s="1599">
        <v>2000</v>
      </c>
      <c r="C13" s="1764">
        <f>'Expenditures 15-22'!K74</f>
        <v>3661895</v>
      </c>
      <c r="D13" s="1764">
        <f>'Expenditures 15-22'!K129</f>
        <v>1205624</v>
      </c>
      <c r="E13" s="469" t="s">
        <v>1231</v>
      </c>
      <c r="F13" s="1764">
        <f>'Expenditures 15-22'!K184</f>
        <v>1542358</v>
      </c>
      <c r="G13" s="1764">
        <f>'Expenditures 15-22'!K279</f>
        <v>284566</v>
      </c>
      <c r="H13" s="1764">
        <f>'Expenditures 15-22'!K303</f>
        <v>226250</v>
      </c>
      <c r="I13" s="468" t="s">
        <v>1231</v>
      </c>
      <c r="J13" s="1764">
        <f>'Expenditures 15-22'!K330</f>
        <v>469650</v>
      </c>
      <c r="K13" s="1768">
        <f>'Expenditures 15-22'!K352</f>
        <v>0</v>
      </c>
      <c r="L13" s="347"/>
    </row>
    <row r="14" spans="1:13" ht="15.75" customHeight="1" x14ac:dyDescent="0.2">
      <c r="A14" s="1597" t="s">
        <v>469</v>
      </c>
      <c r="B14" s="1599">
        <v>3000</v>
      </c>
      <c r="C14" s="1764">
        <f>'Expenditures 15-22'!K75</f>
        <v>4778</v>
      </c>
      <c r="D14" s="1764">
        <f>'Expenditures 15-22'!K130</f>
        <v>0</v>
      </c>
      <c r="E14" s="520" t="s">
        <v>1231</v>
      </c>
      <c r="F14" s="1764">
        <f>'Expenditures 15-22'!K185</f>
        <v>0</v>
      </c>
      <c r="G14" s="1764">
        <f>'Expenditures 15-22'!K280</f>
        <v>2</v>
      </c>
      <c r="H14" s="512"/>
      <c r="I14" s="468" t="s">
        <v>1231</v>
      </c>
      <c r="J14" s="468" t="s">
        <v>1231</v>
      </c>
      <c r="K14" s="512" t="s">
        <v>1231</v>
      </c>
      <c r="L14" s="347"/>
    </row>
    <row r="15" spans="1:13" ht="15.75" customHeight="1" x14ac:dyDescent="0.2">
      <c r="A15" s="1597" t="s">
        <v>109</v>
      </c>
      <c r="B15" s="1599">
        <v>4000</v>
      </c>
      <c r="C15" s="1764">
        <f>'Expenditures 15-22'!K102</f>
        <v>476318</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1791567</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12430713</v>
      </c>
      <c r="D17" s="1709">
        <f t="shared" si="2"/>
        <v>1205624</v>
      </c>
      <c r="E17" s="1709">
        <f t="shared" si="2"/>
        <v>1791567</v>
      </c>
      <c r="F17" s="1709">
        <f t="shared" si="2"/>
        <v>1542358</v>
      </c>
      <c r="G17" s="1709">
        <f t="shared" si="2"/>
        <v>457965</v>
      </c>
      <c r="H17" s="1709">
        <f t="shared" si="2"/>
        <v>226250</v>
      </c>
      <c r="I17" s="468"/>
      <c r="J17" s="1709">
        <f>SUM(J12:J16)</f>
        <v>469650</v>
      </c>
      <c r="K17" s="1709">
        <f>SUM(K12:K16)</f>
        <v>0</v>
      </c>
      <c r="L17" s="347"/>
    </row>
    <row r="18" spans="1:12" ht="15" customHeight="1" thickTop="1" x14ac:dyDescent="0.2">
      <c r="A18" s="1765" t="s">
        <v>1753</v>
      </c>
      <c r="B18" s="1766">
        <v>4180</v>
      </c>
      <c r="C18" s="1763">
        <f t="shared" ref="C18:H18" si="3">C9</f>
        <v>846493</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13277206</v>
      </c>
      <c r="D19" s="1709">
        <f t="shared" si="4"/>
        <v>1205624</v>
      </c>
      <c r="E19" s="1709">
        <f t="shared" si="4"/>
        <v>1791567</v>
      </c>
      <c r="F19" s="1709">
        <f t="shared" si="4"/>
        <v>1542358</v>
      </c>
      <c r="G19" s="1709">
        <f t="shared" si="4"/>
        <v>457965</v>
      </c>
      <c r="H19" s="1709">
        <f t="shared" si="4"/>
        <v>226250</v>
      </c>
      <c r="I19" s="468"/>
      <c r="J19" s="1709">
        <f>SUM(J17:J18)</f>
        <v>469650</v>
      </c>
      <c r="K19" s="1709">
        <f>SUM(K17:K18)</f>
        <v>0</v>
      </c>
      <c r="L19" s="347"/>
    </row>
    <row r="20" spans="1:12" ht="16.5" thickTop="1" thickBot="1" x14ac:dyDescent="0.25">
      <c r="A20" s="2153" t="s">
        <v>1754</v>
      </c>
      <c r="B20" s="2154"/>
      <c r="C20" s="1767">
        <f>C8-C17</f>
        <v>1465981</v>
      </c>
      <c r="D20" s="1767">
        <f t="shared" ref="D20:K20" si="5">D8-D17</f>
        <v>38285</v>
      </c>
      <c r="E20" s="1767">
        <f t="shared" si="5"/>
        <v>20477</v>
      </c>
      <c r="F20" s="1767">
        <f t="shared" si="5"/>
        <v>63124</v>
      </c>
      <c r="G20" s="1767">
        <f t="shared" si="5"/>
        <v>-5833</v>
      </c>
      <c r="H20" s="1767">
        <f t="shared" si="5"/>
        <v>-203573</v>
      </c>
      <c r="I20" s="1767">
        <f t="shared" si="5"/>
        <v>87009</v>
      </c>
      <c r="J20" s="1767">
        <f t="shared" si="5"/>
        <v>53331</v>
      </c>
      <c r="K20" s="1767">
        <f t="shared" si="5"/>
        <v>84388</v>
      </c>
      <c r="L20" s="347"/>
    </row>
    <row r="21" spans="1:12" ht="16.7" customHeight="1" thickTop="1" x14ac:dyDescent="0.2">
      <c r="A21" s="2165" t="s">
        <v>616</v>
      </c>
      <c r="B21" s="2166"/>
      <c r="C21" s="1591"/>
      <c r="D21" s="1592"/>
      <c r="E21" s="1592"/>
      <c r="F21" s="1592"/>
      <c r="G21" s="1592"/>
      <c r="H21" s="1592"/>
      <c r="I21" s="1592"/>
      <c r="J21" s="1592"/>
      <c r="K21" s="1593"/>
      <c r="L21" s="524"/>
    </row>
    <row r="22" spans="1:12" ht="15.75" customHeight="1" collapsed="1" x14ac:dyDescent="0.2">
      <c r="A22" s="2161" t="s">
        <v>617</v>
      </c>
      <c r="B22" s="2162"/>
      <c r="C22" s="477"/>
      <c r="D22" s="477"/>
      <c r="E22" s="477"/>
      <c r="F22" s="477"/>
      <c r="G22" s="477"/>
      <c r="H22" s="477"/>
      <c r="I22" s="477"/>
      <c r="J22" s="477"/>
      <c r="K22" s="477"/>
      <c r="L22" s="347"/>
    </row>
    <row r="23" spans="1:12" s="485" customFormat="1" ht="15.75" customHeight="1" x14ac:dyDescent="0.2">
      <c r="A23" s="2157" t="s">
        <v>311</v>
      </c>
      <c r="B23" s="2158"/>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9" t="s">
        <v>1038</v>
      </c>
      <c r="B32" s="2160"/>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7" t="s">
        <v>392</v>
      </c>
      <c r="B44" s="2168"/>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3" t="s">
        <v>460</v>
      </c>
      <c r="B76" s="2144"/>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5" t="s">
        <v>1239</v>
      </c>
      <c r="B77" s="2146"/>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49" t="s">
        <v>618</v>
      </c>
      <c r="B78" s="2150"/>
      <c r="C78" s="1723">
        <f t="shared" ref="C78:K78" si="9">C20+C77</f>
        <v>1465981</v>
      </c>
      <c r="D78" s="1723">
        <f t="shared" si="9"/>
        <v>38285</v>
      </c>
      <c r="E78" s="1723">
        <f t="shared" si="9"/>
        <v>20477</v>
      </c>
      <c r="F78" s="1723">
        <f t="shared" si="9"/>
        <v>63124</v>
      </c>
      <c r="G78" s="1723">
        <f t="shared" si="9"/>
        <v>-5833</v>
      </c>
      <c r="H78" s="1723">
        <f t="shared" si="9"/>
        <v>-203573</v>
      </c>
      <c r="I78" s="1723">
        <f t="shared" si="9"/>
        <v>87009</v>
      </c>
      <c r="J78" s="1723">
        <f t="shared" si="9"/>
        <v>53331</v>
      </c>
      <c r="K78" s="1723">
        <f t="shared" si="9"/>
        <v>84388</v>
      </c>
      <c r="L78" s="533"/>
    </row>
    <row r="79" spans="1:12" ht="13.5" thickTop="1" x14ac:dyDescent="0.2">
      <c r="A79" s="1515" t="s">
        <v>2073</v>
      </c>
      <c r="B79" s="534"/>
      <c r="C79" s="478">
        <v>8063491</v>
      </c>
      <c r="D79" s="535">
        <v>304080</v>
      </c>
      <c r="E79" s="535">
        <v>1005124</v>
      </c>
      <c r="F79" s="535">
        <v>1679790</v>
      </c>
      <c r="G79" s="535">
        <v>389458</v>
      </c>
      <c r="H79" s="535">
        <v>316108</v>
      </c>
      <c r="I79" s="535">
        <v>424037</v>
      </c>
      <c r="J79" s="535">
        <v>334253</v>
      </c>
      <c r="K79" s="535">
        <v>67133</v>
      </c>
      <c r="L79" s="347"/>
    </row>
    <row r="80" spans="1:12" x14ac:dyDescent="0.2">
      <c r="A80" s="2155" t="s">
        <v>1898</v>
      </c>
      <c r="B80" s="2156"/>
      <c r="C80" s="467"/>
      <c r="D80" s="467"/>
      <c r="E80" s="467"/>
      <c r="F80" s="467"/>
      <c r="G80" s="467"/>
      <c r="H80" s="467"/>
      <c r="I80" s="467"/>
      <c r="J80" s="467"/>
      <c r="K80" s="467"/>
      <c r="L80" s="347"/>
    </row>
    <row r="81" spans="1:12" ht="13.5" thickBot="1" x14ac:dyDescent="0.25">
      <c r="A81" s="2147" t="s">
        <v>2074</v>
      </c>
      <c r="B81" s="2148"/>
      <c r="C81" s="1709">
        <f>(SUM(C78:C80))</f>
        <v>9529472</v>
      </c>
      <c r="D81" s="1709">
        <f>SUM(D78:D80)</f>
        <v>342365</v>
      </c>
      <c r="E81" s="1709">
        <f t="shared" ref="E81:K81" si="10">SUM(E78:E80)</f>
        <v>1025601</v>
      </c>
      <c r="F81" s="1709">
        <f t="shared" si="10"/>
        <v>1742914</v>
      </c>
      <c r="G81" s="1709">
        <f t="shared" si="10"/>
        <v>383625</v>
      </c>
      <c r="H81" s="1709">
        <f t="shared" si="10"/>
        <v>112535</v>
      </c>
      <c r="I81" s="1709">
        <f t="shared" si="10"/>
        <v>511046</v>
      </c>
      <c r="J81" s="1709">
        <f t="shared" si="10"/>
        <v>387584</v>
      </c>
      <c r="K81" s="1709">
        <f t="shared" si="10"/>
        <v>151521</v>
      </c>
      <c r="L81" s="347"/>
    </row>
    <row r="82" spans="1:12" ht="0.75" customHeight="1" thickTop="1" thickBot="1" x14ac:dyDescent="0.25">
      <c r="A82" s="536" t="s">
        <v>361</v>
      </c>
      <c r="B82" s="537"/>
      <c r="C82" s="538">
        <f>(C81-C79)</f>
        <v>1465981</v>
      </c>
      <c r="D82" s="538">
        <f t="shared" ref="D82:K82" si="11">(D81-D79)</f>
        <v>38285</v>
      </c>
      <c r="E82" s="538">
        <f t="shared" si="11"/>
        <v>20477</v>
      </c>
      <c r="F82" s="538">
        <f t="shared" si="11"/>
        <v>63124</v>
      </c>
      <c r="G82" s="538">
        <f t="shared" si="11"/>
        <v>-5833</v>
      </c>
      <c r="H82" s="538">
        <f t="shared" si="11"/>
        <v>-203573</v>
      </c>
      <c r="I82" s="538">
        <f t="shared" si="11"/>
        <v>87009</v>
      </c>
      <c r="J82" s="538">
        <f t="shared" si="11"/>
        <v>53331</v>
      </c>
      <c r="K82" s="538">
        <f t="shared" si="11"/>
        <v>84388</v>
      </c>
    </row>
    <row r="83" spans="1:12" ht="14.25" hidden="1" thickTop="1" thickBot="1" x14ac:dyDescent="0.25">
      <c r="A83" s="539" t="s">
        <v>362</v>
      </c>
      <c r="B83" s="464"/>
      <c r="C83" s="540">
        <f>C82/C81</f>
        <v>0.15383653994680924</v>
      </c>
      <c r="D83" s="540">
        <f t="shared" ref="D83:K83" si="12">D82/D81</f>
        <v>0.11182509894410936</v>
      </c>
      <c r="E83" s="540">
        <f t="shared" si="12"/>
        <v>1.9965854167458885E-2</v>
      </c>
      <c r="F83" s="540">
        <f t="shared" si="12"/>
        <v>3.6217507002640405E-2</v>
      </c>
      <c r="G83" s="540">
        <f t="shared" si="12"/>
        <v>-1.520495275333985E-2</v>
      </c>
      <c r="H83" s="540">
        <f t="shared" si="12"/>
        <v>-1.8089749855600479</v>
      </c>
      <c r="I83" s="540">
        <f t="shared" si="12"/>
        <v>0.17025668922171389</v>
      </c>
      <c r="J83" s="540">
        <f t="shared" si="12"/>
        <v>0.13759855928005285</v>
      </c>
      <c r="K83" s="540">
        <f t="shared" si="12"/>
        <v>0.5569393021429373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sqref="A1:F1"/>
      <selection pane="bottomLeft" activeCell="C6" sqref="C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1905</v>
      </c>
      <c r="B1" s="452"/>
      <c r="C1" s="453" t="s">
        <v>445</v>
      </c>
      <c r="D1" s="453" t="s">
        <v>446</v>
      </c>
      <c r="E1" s="453" t="s">
        <v>447</v>
      </c>
      <c r="F1" s="453" t="s">
        <v>448</v>
      </c>
      <c r="G1" s="453" t="s">
        <v>449</v>
      </c>
      <c r="H1" s="453" t="s">
        <v>450</v>
      </c>
      <c r="I1" s="453" t="s">
        <v>451</v>
      </c>
      <c r="J1" s="453" t="s">
        <v>452</v>
      </c>
      <c r="K1" s="453" t="s">
        <v>780</v>
      </c>
    </row>
    <row r="2" spans="1:12" ht="36" x14ac:dyDescent="0.2">
      <c r="A2" s="215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5833588</v>
      </c>
      <c r="D5" s="481">
        <v>838161</v>
      </c>
      <c r="E5" s="466">
        <v>1804423</v>
      </c>
      <c r="F5" s="548">
        <v>335263</v>
      </c>
      <c r="G5" s="466">
        <v>118266</v>
      </c>
      <c r="H5" s="466">
        <v>0</v>
      </c>
      <c r="I5" s="466">
        <v>83816</v>
      </c>
      <c r="J5" s="467">
        <v>521165</v>
      </c>
      <c r="K5" s="466">
        <v>83816</v>
      </c>
    </row>
    <row r="6" spans="1:12" ht="15" x14ac:dyDescent="0.2">
      <c r="A6" s="463" t="s">
        <v>1761</v>
      </c>
      <c r="B6" s="470">
        <v>1130</v>
      </c>
      <c r="C6" s="466">
        <v>83816</v>
      </c>
      <c r="D6" s="466"/>
      <c r="E6" s="475"/>
      <c r="F6" s="475"/>
      <c r="G6" s="468"/>
      <c r="H6" s="468"/>
      <c r="I6" s="468"/>
      <c r="J6" s="468"/>
      <c r="K6" s="468"/>
    </row>
    <row r="7" spans="1:12" x14ac:dyDescent="0.2">
      <c r="A7" s="463" t="s">
        <v>112</v>
      </c>
      <c r="B7" s="549">
        <v>1140</v>
      </c>
      <c r="C7" s="466">
        <v>67055</v>
      </c>
      <c r="D7" s="466"/>
      <c r="E7" s="468"/>
      <c r="F7" s="467"/>
      <c r="G7" s="467"/>
      <c r="H7" s="467"/>
      <c r="I7" s="468"/>
      <c r="J7" s="468"/>
      <c r="K7" s="468"/>
    </row>
    <row r="8" spans="1:12" x14ac:dyDescent="0.2">
      <c r="A8" s="463" t="s">
        <v>433</v>
      </c>
      <c r="B8" s="470">
        <v>1150</v>
      </c>
      <c r="C8" s="475"/>
      <c r="D8" s="475"/>
      <c r="E8" s="477"/>
      <c r="F8" s="477"/>
      <c r="G8" s="481">
        <v>302667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5984459</v>
      </c>
      <c r="D12" s="1728">
        <f t="shared" si="0"/>
        <v>838161</v>
      </c>
      <c r="E12" s="1728">
        <f t="shared" si="0"/>
        <v>1804423</v>
      </c>
      <c r="F12" s="1728">
        <f t="shared" si="0"/>
        <v>335263</v>
      </c>
      <c r="G12" s="1728">
        <f t="shared" si="0"/>
        <v>420933</v>
      </c>
      <c r="H12" s="1728">
        <f t="shared" si="0"/>
        <v>0</v>
      </c>
      <c r="I12" s="1728">
        <f t="shared" si="0"/>
        <v>83816</v>
      </c>
      <c r="J12" s="1728">
        <f t="shared" si="0"/>
        <v>521165</v>
      </c>
      <c r="K12" s="1709">
        <f t="shared" si="0"/>
        <v>83816</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8</v>
      </c>
      <c r="D14" s="466">
        <v>1</v>
      </c>
      <c r="E14" s="466">
        <v>2</v>
      </c>
      <c r="F14" s="466">
        <v>1</v>
      </c>
      <c r="G14" s="466">
        <v>0</v>
      </c>
      <c r="H14" s="466"/>
      <c r="I14" s="466">
        <v>1</v>
      </c>
      <c r="J14" s="467">
        <v>0</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141401</v>
      </c>
      <c r="E16" s="466"/>
      <c r="F16" s="466"/>
      <c r="G16" s="466">
        <v>29000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8</v>
      </c>
      <c r="D18" s="1731">
        <f t="shared" ref="D18:K18" si="1">SUM(D14:D17)</f>
        <v>141402</v>
      </c>
      <c r="E18" s="1731">
        <f t="shared" si="1"/>
        <v>2</v>
      </c>
      <c r="F18" s="1731">
        <f t="shared" si="1"/>
        <v>1</v>
      </c>
      <c r="G18" s="1731">
        <f t="shared" si="1"/>
        <v>29000</v>
      </c>
      <c r="H18" s="1731">
        <f t="shared" si="1"/>
        <v>0</v>
      </c>
      <c r="I18" s="1731">
        <f t="shared" si="1"/>
        <v>1</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46849</v>
      </c>
      <c r="D65" s="466">
        <v>2210</v>
      </c>
      <c r="E65" s="466">
        <v>7619</v>
      </c>
      <c r="F65" s="467">
        <v>7994</v>
      </c>
      <c r="G65" s="466">
        <v>1637</v>
      </c>
      <c r="H65" s="466">
        <v>2073</v>
      </c>
      <c r="I65" s="466">
        <v>3192</v>
      </c>
      <c r="J65" s="467">
        <v>1816</v>
      </c>
      <c r="K65" s="466">
        <v>539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46849</v>
      </c>
      <c r="D67" s="1709">
        <f t="shared" ref="D67:K67" si="2">SUM(D65:D66)</f>
        <v>2210</v>
      </c>
      <c r="E67" s="1709">
        <f t="shared" si="2"/>
        <v>7619</v>
      </c>
      <c r="F67" s="1709">
        <f t="shared" si="2"/>
        <v>7994</v>
      </c>
      <c r="G67" s="1709">
        <f t="shared" si="2"/>
        <v>1637</v>
      </c>
      <c r="H67" s="1709">
        <f t="shared" si="2"/>
        <v>2073</v>
      </c>
      <c r="I67" s="1709">
        <f t="shared" si="2"/>
        <v>3192</v>
      </c>
      <c r="J67" s="1709">
        <f t="shared" si="2"/>
        <v>1816</v>
      </c>
      <c r="K67" s="1709">
        <f t="shared" si="2"/>
        <v>539</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362301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362301</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34318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231491</v>
      </c>
      <c r="D79" s="466">
        <v>7965</v>
      </c>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265809</v>
      </c>
      <c r="D82" s="1709">
        <f>SUM(D77:D81)</f>
        <v>7965</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49401</v>
      </c>
      <c r="E95" s="521"/>
      <c r="F95" s="521"/>
      <c r="G95" s="521"/>
      <c r="H95" s="521"/>
      <c r="I95" s="521"/>
      <c r="J95" s="521"/>
      <c r="K95" s="521"/>
    </row>
    <row r="96" spans="1:11" ht="12.75" customHeight="1" x14ac:dyDescent="0.2">
      <c r="A96" s="463" t="s">
        <v>409</v>
      </c>
      <c r="B96" s="470">
        <v>1920</v>
      </c>
      <c r="C96" s="551">
        <v>3505</v>
      </c>
      <c r="D96" s="551"/>
      <c r="E96" s="479"/>
      <c r="F96" s="478"/>
      <c r="G96" s="478"/>
      <c r="H96" s="478"/>
      <c r="I96" s="478"/>
      <c r="J96" s="478"/>
      <c r="K96" s="478"/>
    </row>
    <row r="97" spans="1:12" ht="12.75" customHeight="1" x14ac:dyDescent="0.2">
      <c r="A97" s="1516" t="s">
        <v>262</v>
      </c>
      <c r="B97" s="559">
        <v>1930</v>
      </c>
      <c r="C97" s="489"/>
      <c r="D97" s="467"/>
      <c r="E97" s="474"/>
      <c r="F97" s="467"/>
      <c r="G97" s="467"/>
      <c r="H97" s="467">
        <v>20604</v>
      </c>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29596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23257</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94445</v>
      </c>
      <c r="D107" s="466">
        <v>14770</v>
      </c>
      <c r="E107" s="466"/>
      <c r="F107" s="466">
        <v>10266</v>
      </c>
      <c r="G107" s="466">
        <v>562</v>
      </c>
      <c r="H107" s="466"/>
      <c r="I107" s="466"/>
      <c r="J107" s="467"/>
      <c r="K107" s="466">
        <v>33</v>
      </c>
    </row>
    <row r="108" spans="1:12" ht="12.75" customHeight="1" thickBot="1" x14ac:dyDescent="0.25">
      <c r="A108" s="1729" t="s">
        <v>508</v>
      </c>
      <c r="B108" s="1733"/>
      <c r="C108" s="1728">
        <f>SUM(C95:C107)</f>
        <v>150803</v>
      </c>
      <c r="D108" s="1728">
        <f t="shared" ref="D108:K108" si="3">SUM(D95:D107)</f>
        <v>64171</v>
      </c>
      <c r="E108" s="1728">
        <f t="shared" si="3"/>
        <v>0</v>
      </c>
      <c r="F108" s="1728">
        <f t="shared" si="3"/>
        <v>10266</v>
      </c>
      <c r="G108" s="1728">
        <f t="shared" si="3"/>
        <v>562</v>
      </c>
      <c r="H108" s="1728">
        <f t="shared" si="3"/>
        <v>20604</v>
      </c>
      <c r="I108" s="1728">
        <f t="shared" si="3"/>
        <v>0</v>
      </c>
      <c r="J108" s="1728">
        <f t="shared" si="3"/>
        <v>0</v>
      </c>
      <c r="K108" s="1709">
        <f t="shared" si="3"/>
        <v>33</v>
      </c>
    </row>
    <row r="109" spans="1:12" ht="14.25" thickTop="1" thickBot="1" x14ac:dyDescent="0.25">
      <c r="A109" s="1734" t="s">
        <v>266</v>
      </c>
      <c r="B109" s="1735" t="s">
        <v>591</v>
      </c>
      <c r="C109" s="1736">
        <f t="shared" ref="C109:K109" si="4">SUM(C12,C18,C40,C63,C67,C75,C82,C93,C108,)</f>
        <v>6810229</v>
      </c>
      <c r="D109" s="1736">
        <f t="shared" si="4"/>
        <v>1053909</v>
      </c>
      <c r="E109" s="1736">
        <f t="shared" si="4"/>
        <v>1812044</v>
      </c>
      <c r="F109" s="1736">
        <f t="shared" si="4"/>
        <v>353524</v>
      </c>
      <c r="G109" s="1736">
        <f t="shared" si="4"/>
        <v>452132</v>
      </c>
      <c r="H109" s="1736">
        <f t="shared" si="4"/>
        <v>22677</v>
      </c>
      <c r="I109" s="1736">
        <f t="shared" si="4"/>
        <v>87009</v>
      </c>
      <c r="J109" s="1736">
        <f t="shared" si="4"/>
        <v>522981</v>
      </c>
      <c r="K109" s="1723">
        <f t="shared" si="4"/>
        <v>84388</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5981089</v>
      </c>
      <c r="D117" s="481">
        <v>190000</v>
      </c>
      <c r="E117" s="466"/>
      <c r="F117" s="481">
        <v>160000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5981089</v>
      </c>
      <c r="D121" s="1728">
        <f t="shared" si="5"/>
        <v>190000</v>
      </c>
      <c r="E121" s="1728">
        <f t="shared" si="5"/>
        <v>0</v>
      </c>
      <c r="F121" s="1728">
        <f t="shared" si="5"/>
        <v>160000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111494</v>
      </c>
      <c r="D125" s="561"/>
      <c r="E125" s="468"/>
      <c r="F125" s="466"/>
      <c r="G125" s="468"/>
      <c r="H125" s="468"/>
      <c r="I125" s="468"/>
      <c r="J125" s="468"/>
      <c r="K125" s="468"/>
    </row>
    <row r="126" spans="1:11" ht="12.75" customHeight="1" x14ac:dyDescent="0.2">
      <c r="A126" s="463" t="s">
        <v>922</v>
      </c>
      <c r="B126" s="562">
        <v>3110</v>
      </c>
      <c r="C126" s="551">
        <v>119812</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2371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233677</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5359</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4830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10189</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31989</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31989</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3362</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24594</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829621</v>
      </c>
      <c r="G151" s="467"/>
      <c r="H151" s="468"/>
      <c r="I151" s="468"/>
      <c r="J151" s="468"/>
      <c r="K151" s="468"/>
    </row>
    <row r="152" spans="1:11" ht="12.75" customHeight="1" x14ac:dyDescent="0.2">
      <c r="A152" s="463" t="s">
        <v>1117</v>
      </c>
      <c r="B152" s="562">
        <v>3510</v>
      </c>
      <c r="C152" s="551"/>
      <c r="D152" s="466"/>
      <c r="E152" s="561"/>
      <c r="F152" s="466">
        <v>262337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1091958</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152540</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2351</v>
      </c>
      <c r="D171" s="580"/>
      <c r="E171" s="580"/>
      <c r="F171" s="580"/>
      <c r="G171" s="581"/>
      <c r="H171" s="582"/>
      <c r="I171" s="581"/>
      <c r="J171" s="581"/>
      <c r="K171" s="582"/>
    </row>
    <row r="172" spans="1:11" ht="12.75" customHeight="1" thickTop="1" thickBot="1" x14ac:dyDescent="0.25">
      <c r="A172" s="2171" t="s">
        <v>418</v>
      </c>
      <c r="B172" s="2172"/>
      <c r="C172" s="1743">
        <f t="shared" ref="C172:K172" si="6">SUM(C131,C140,C144,C145:C149,C154,C155:C170,C171)</f>
        <v>458702</v>
      </c>
      <c r="D172" s="1743">
        <f t="shared" si="6"/>
        <v>0</v>
      </c>
      <c r="E172" s="1743">
        <f t="shared" si="6"/>
        <v>0</v>
      </c>
      <c r="F172" s="1743">
        <f t="shared" si="6"/>
        <v>1091958</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6439791</v>
      </c>
      <c r="D173" s="1736">
        <f>SUM(D121,D172)</f>
        <v>190000</v>
      </c>
      <c r="E173" s="1736">
        <f>SUM(E121,E172)</f>
        <v>0</v>
      </c>
      <c r="F173" s="1736">
        <f t="shared" ref="F173:K173" si="7">SUM(F121,F172)</f>
        <v>1251958</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3" t="s">
        <v>1572</v>
      </c>
      <c r="B175" s="217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7" t="s">
        <v>1764</v>
      </c>
      <c r="B178" s="217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1" t="s">
        <v>1763</v>
      </c>
      <c r="B179" s="218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9" t="s">
        <v>818</v>
      </c>
      <c r="B184" s="2180"/>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5" t="s">
        <v>1906</v>
      </c>
      <c r="B185" s="2176"/>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199486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47053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246539</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210071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210071</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535</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535</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1991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91512</v>
      </c>
      <c r="D220" s="466"/>
      <c r="E220" s="468"/>
      <c r="F220" s="466"/>
      <c r="G220" s="466"/>
      <c r="H220" s="468"/>
      <c r="I220" s="468"/>
      <c r="J220" s="468"/>
      <c r="K220" s="468"/>
    </row>
    <row r="221" spans="1:11" ht="12.75" customHeight="1" x14ac:dyDescent="0.2">
      <c r="A221" s="463" t="s">
        <v>1114</v>
      </c>
      <c r="B221" s="470">
        <v>4625</v>
      </c>
      <c r="C221" s="551">
        <v>1659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95162</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7800</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62732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23835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646674</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646674</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13896694</v>
      </c>
      <c r="D275" s="1736">
        <f t="shared" si="12"/>
        <v>1243909</v>
      </c>
      <c r="E275" s="1736">
        <f t="shared" si="12"/>
        <v>1812044</v>
      </c>
      <c r="F275" s="1736">
        <f t="shared" si="12"/>
        <v>1605482</v>
      </c>
      <c r="G275" s="1736">
        <f t="shared" si="12"/>
        <v>452132</v>
      </c>
      <c r="H275" s="1736">
        <f t="shared" si="12"/>
        <v>22677</v>
      </c>
      <c r="I275" s="1736">
        <f t="shared" si="12"/>
        <v>87009</v>
      </c>
      <c r="J275" s="1736">
        <f t="shared" si="12"/>
        <v>522981</v>
      </c>
      <c r="K275" s="1723">
        <f t="shared" si="12"/>
        <v>84388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74" activePane="bottomLeft" state="frozen"/>
      <selection sqref="A1:F1"/>
      <selection pane="bottomLeft"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1" t="s">
        <v>315</v>
      </c>
      <c r="B3" s="2192"/>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4521303</v>
      </c>
      <c r="D5" s="466">
        <v>1058715</v>
      </c>
      <c r="E5" s="466">
        <v>6413</v>
      </c>
      <c r="F5" s="466">
        <v>210438</v>
      </c>
      <c r="G5" s="466"/>
      <c r="H5" s="466"/>
      <c r="I5" s="467"/>
      <c r="J5" s="467"/>
      <c r="K5" s="1692">
        <f>SUM(C5:J5)</f>
        <v>5796869</v>
      </c>
      <c r="L5" s="466">
        <v>6645950</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78689</v>
      </c>
      <c r="D7" s="467">
        <v>22158</v>
      </c>
      <c r="E7" s="467">
        <v>526</v>
      </c>
      <c r="F7" s="467">
        <v>6489</v>
      </c>
      <c r="G7" s="467"/>
      <c r="H7" s="467"/>
      <c r="I7" s="467"/>
      <c r="J7" s="467"/>
      <c r="K7" s="1692">
        <f t="shared" ref="K7:K32" si="0">SUM(C7:J7)</f>
        <v>107862</v>
      </c>
      <c r="L7" s="466">
        <v>73945</v>
      </c>
    </row>
    <row r="8" spans="1:14" x14ac:dyDescent="0.2">
      <c r="A8" s="1525" t="s">
        <v>166</v>
      </c>
      <c r="B8" s="615">
        <v>1200</v>
      </c>
      <c r="C8" s="466">
        <v>1096016</v>
      </c>
      <c r="D8" s="466">
        <v>192585</v>
      </c>
      <c r="E8" s="466">
        <v>349</v>
      </c>
      <c r="F8" s="466">
        <v>157</v>
      </c>
      <c r="G8" s="466"/>
      <c r="H8" s="466"/>
      <c r="I8" s="467"/>
      <c r="J8" s="467"/>
      <c r="K8" s="1692">
        <f t="shared" si="0"/>
        <v>1289107</v>
      </c>
      <c r="L8" s="466">
        <v>578935</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82769</v>
      </c>
      <c r="D10" s="466">
        <v>26995</v>
      </c>
      <c r="E10" s="466">
        <v>404</v>
      </c>
      <c r="F10" s="466">
        <v>9067</v>
      </c>
      <c r="G10" s="466"/>
      <c r="H10" s="466"/>
      <c r="I10" s="467"/>
      <c r="J10" s="467"/>
      <c r="K10" s="1692">
        <f t="shared" si="0"/>
        <v>119235</v>
      </c>
      <c r="L10" s="466">
        <v>126460</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290669</v>
      </c>
      <c r="D13" s="466">
        <v>73413</v>
      </c>
      <c r="E13" s="466"/>
      <c r="F13" s="466">
        <v>5651</v>
      </c>
      <c r="G13" s="466"/>
      <c r="H13" s="466"/>
      <c r="I13" s="467"/>
      <c r="J13" s="467"/>
      <c r="K13" s="1692">
        <f t="shared" si="0"/>
        <v>369733</v>
      </c>
      <c r="L13" s="466">
        <v>331165</v>
      </c>
    </row>
    <row r="14" spans="1:14" x14ac:dyDescent="0.2">
      <c r="A14" s="1525" t="s">
        <v>1020</v>
      </c>
      <c r="B14" s="615">
        <v>1500</v>
      </c>
      <c r="C14" s="466">
        <v>338991</v>
      </c>
      <c r="D14" s="466">
        <v>31491</v>
      </c>
      <c r="E14" s="466">
        <v>107701</v>
      </c>
      <c r="F14" s="466">
        <v>46196</v>
      </c>
      <c r="G14" s="466">
        <v>11478</v>
      </c>
      <c r="H14" s="466">
        <v>2055</v>
      </c>
      <c r="I14" s="467"/>
      <c r="J14" s="467"/>
      <c r="K14" s="1692">
        <f t="shared" si="0"/>
        <v>537912</v>
      </c>
      <c r="L14" s="466">
        <v>532000</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12284</v>
      </c>
      <c r="D17" s="467">
        <v>2074</v>
      </c>
      <c r="E17" s="467"/>
      <c r="F17" s="467">
        <v>980</v>
      </c>
      <c r="G17" s="467"/>
      <c r="H17" s="467"/>
      <c r="I17" s="467"/>
      <c r="J17" s="467"/>
      <c r="K17" s="1692">
        <f t="shared" si="0"/>
        <v>15338</v>
      </c>
      <c r="L17" s="466">
        <v>6470</v>
      </c>
    </row>
    <row r="18" spans="1:12" x14ac:dyDescent="0.2">
      <c r="A18" s="1525" t="s">
        <v>1148</v>
      </c>
      <c r="B18" s="615">
        <v>1800</v>
      </c>
      <c r="C18" s="466">
        <v>42956</v>
      </c>
      <c r="D18" s="466">
        <v>8496</v>
      </c>
      <c r="E18" s="466"/>
      <c r="F18" s="466">
        <v>214</v>
      </c>
      <c r="G18" s="466"/>
      <c r="H18" s="466"/>
      <c r="I18" s="467"/>
      <c r="J18" s="467"/>
      <c r="K18" s="1692">
        <f t="shared" si="0"/>
        <v>51666</v>
      </c>
      <c r="L18" s="466">
        <v>194601</v>
      </c>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6463677</v>
      </c>
      <c r="D33" s="1691">
        <f t="shared" ref="D33:L33" si="1">SUM(D5:D32)</f>
        <v>1415927</v>
      </c>
      <c r="E33" s="1691">
        <f t="shared" si="1"/>
        <v>115393</v>
      </c>
      <c r="F33" s="1691">
        <f t="shared" si="1"/>
        <v>279192</v>
      </c>
      <c r="G33" s="1691">
        <f t="shared" si="1"/>
        <v>11478</v>
      </c>
      <c r="H33" s="1691">
        <f t="shared" si="1"/>
        <v>2055</v>
      </c>
      <c r="I33" s="1691">
        <f t="shared" si="1"/>
        <v>0</v>
      </c>
      <c r="J33" s="1691">
        <f t="shared" si="1"/>
        <v>0</v>
      </c>
      <c r="K33" s="1691">
        <f t="shared" si="1"/>
        <v>8287722</v>
      </c>
      <c r="L33" s="1691">
        <f t="shared" si="1"/>
        <v>8489526</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196319</v>
      </c>
      <c r="D37" s="466">
        <v>39045</v>
      </c>
      <c r="E37" s="466">
        <v>168</v>
      </c>
      <c r="F37" s="466"/>
      <c r="G37" s="466"/>
      <c r="H37" s="466"/>
      <c r="I37" s="467"/>
      <c r="J37" s="467"/>
      <c r="K37" s="1692">
        <f t="shared" si="2"/>
        <v>235532</v>
      </c>
      <c r="L37" s="466">
        <v>292613</v>
      </c>
    </row>
    <row r="38" spans="1:14" x14ac:dyDescent="0.2">
      <c r="A38" s="1525" t="s">
        <v>207</v>
      </c>
      <c r="B38" s="615">
        <v>2130</v>
      </c>
      <c r="C38" s="466">
        <v>99634</v>
      </c>
      <c r="D38" s="466">
        <v>5974</v>
      </c>
      <c r="E38" s="466">
        <v>3367</v>
      </c>
      <c r="F38" s="466">
        <v>3454</v>
      </c>
      <c r="G38" s="466"/>
      <c r="H38" s="466"/>
      <c r="I38" s="467"/>
      <c r="J38" s="467"/>
      <c r="K38" s="1692">
        <f t="shared" si="2"/>
        <v>112429</v>
      </c>
      <c r="L38" s="466">
        <v>121853</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7195</v>
      </c>
      <c r="D40" s="466">
        <v>1641</v>
      </c>
      <c r="E40" s="466"/>
      <c r="F40" s="466"/>
      <c r="G40" s="466"/>
      <c r="H40" s="466"/>
      <c r="I40" s="467"/>
      <c r="J40" s="467"/>
      <c r="K40" s="1692">
        <f t="shared" si="2"/>
        <v>8836</v>
      </c>
      <c r="L40" s="466">
        <v>82520</v>
      </c>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303148</v>
      </c>
      <c r="D42" s="1691">
        <f t="shared" ref="D42:L42" si="3">SUM(D36:D41)</f>
        <v>46660</v>
      </c>
      <c r="E42" s="1691">
        <f t="shared" si="3"/>
        <v>3535</v>
      </c>
      <c r="F42" s="1691">
        <f t="shared" si="3"/>
        <v>3454</v>
      </c>
      <c r="G42" s="1691">
        <f t="shared" si="3"/>
        <v>0</v>
      </c>
      <c r="H42" s="1691">
        <f t="shared" si="3"/>
        <v>0</v>
      </c>
      <c r="I42" s="1691">
        <f t="shared" si="3"/>
        <v>0</v>
      </c>
      <c r="J42" s="1691">
        <f t="shared" si="3"/>
        <v>0</v>
      </c>
      <c r="K42" s="1691">
        <f t="shared" si="3"/>
        <v>356797</v>
      </c>
      <c r="L42" s="1691">
        <f t="shared" si="3"/>
        <v>496986</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84175</v>
      </c>
      <c r="F44" s="481">
        <v>260</v>
      </c>
      <c r="G44" s="481"/>
      <c r="H44" s="481"/>
      <c r="I44" s="467"/>
      <c r="J44" s="467"/>
      <c r="K44" s="1693">
        <f>SUM(C44:J44)</f>
        <v>84435</v>
      </c>
      <c r="L44" s="481">
        <v>52000</v>
      </c>
    </row>
    <row r="45" spans="1:14" x14ac:dyDescent="0.2">
      <c r="A45" s="1525" t="s">
        <v>869</v>
      </c>
      <c r="B45" s="615">
        <v>2220</v>
      </c>
      <c r="C45" s="466">
        <v>198775</v>
      </c>
      <c r="D45" s="466">
        <v>32612</v>
      </c>
      <c r="E45" s="466"/>
      <c r="F45" s="466">
        <v>21461</v>
      </c>
      <c r="G45" s="466"/>
      <c r="H45" s="466"/>
      <c r="I45" s="467"/>
      <c r="J45" s="467"/>
      <c r="K45" s="1693">
        <f>SUM(C45:J45)</f>
        <v>252848</v>
      </c>
      <c r="L45" s="466">
        <v>254397</v>
      </c>
    </row>
    <row r="46" spans="1:14" x14ac:dyDescent="0.2">
      <c r="A46" s="1525" t="s">
        <v>870</v>
      </c>
      <c r="B46" s="615">
        <v>2230</v>
      </c>
      <c r="C46" s="466"/>
      <c r="D46" s="466"/>
      <c r="E46" s="466">
        <v>18647</v>
      </c>
      <c r="F46" s="466">
        <v>41433</v>
      </c>
      <c r="G46" s="466"/>
      <c r="H46" s="466"/>
      <c r="I46" s="467"/>
      <c r="J46" s="467"/>
      <c r="K46" s="1693">
        <f>SUM(C46:J46)</f>
        <v>60080</v>
      </c>
      <c r="L46" s="466">
        <v>7400</v>
      </c>
    </row>
    <row r="47" spans="1:14" ht="12.75" customHeight="1" thickBot="1" x14ac:dyDescent="0.25">
      <c r="A47" s="1689" t="s">
        <v>582</v>
      </c>
      <c r="B47" s="1690" t="s">
        <v>32</v>
      </c>
      <c r="C47" s="1691">
        <f>SUM(C44:C46)</f>
        <v>198775</v>
      </c>
      <c r="D47" s="1691">
        <f t="shared" ref="D47:K47" si="4">SUM(D44:D46)</f>
        <v>32612</v>
      </c>
      <c r="E47" s="1691">
        <f t="shared" si="4"/>
        <v>102822</v>
      </c>
      <c r="F47" s="1691">
        <f t="shared" si="4"/>
        <v>63154</v>
      </c>
      <c r="G47" s="1691">
        <f t="shared" si="4"/>
        <v>0</v>
      </c>
      <c r="H47" s="1691">
        <f t="shared" si="4"/>
        <v>0</v>
      </c>
      <c r="I47" s="1691">
        <f t="shared" si="4"/>
        <v>0</v>
      </c>
      <c r="J47" s="1691">
        <f t="shared" si="4"/>
        <v>0</v>
      </c>
      <c r="K47" s="1691">
        <f t="shared" si="4"/>
        <v>397363</v>
      </c>
      <c r="L47" s="1691">
        <f>SUM(L44:L46)</f>
        <v>313797</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v>4483</v>
      </c>
      <c r="E49" s="481">
        <v>157422</v>
      </c>
      <c r="F49" s="481">
        <v>15480</v>
      </c>
      <c r="G49" s="481"/>
      <c r="H49" s="481">
        <v>8878</v>
      </c>
      <c r="I49" s="467"/>
      <c r="J49" s="467"/>
      <c r="K49" s="1693">
        <f>SUM(C49:J49)</f>
        <v>186263</v>
      </c>
      <c r="L49" s="481">
        <v>179000</v>
      </c>
    </row>
    <row r="50" spans="1:14" x14ac:dyDescent="0.2">
      <c r="A50" s="1525" t="s">
        <v>872</v>
      </c>
      <c r="B50" s="615">
        <v>2320</v>
      </c>
      <c r="C50" s="466">
        <v>210625</v>
      </c>
      <c r="D50" s="466">
        <v>40818</v>
      </c>
      <c r="E50" s="466">
        <v>7957</v>
      </c>
      <c r="F50" s="466">
        <v>761</v>
      </c>
      <c r="G50" s="466"/>
      <c r="H50" s="466">
        <v>6660</v>
      </c>
      <c r="I50" s="467"/>
      <c r="J50" s="467"/>
      <c r="K50" s="1693">
        <f>SUM(C50:J50)</f>
        <v>266821</v>
      </c>
      <c r="L50" s="466">
        <v>263900</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v>107971</v>
      </c>
      <c r="F52" s="474"/>
      <c r="G52" s="474"/>
      <c r="H52" s="474"/>
      <c r="I52" s="474"/>
      <c r="J52" s="474"/>
      <c r="K52" s="1693">
        <f>SUM(C52:J52)</f>
        <v>107971</v>
      </c>
      <c r="L52" s="474">
        <v>98000</v>
      </c>
    </row>
    <row r="53" spans="1:14" ht="12.75" customHeight="1" thickBot="1" x14ac:dyDescent="0.25">
      <c r="A53" s="1689" t="s">
        <v>741</v>
      </c>
      <c r="B53" s="1690" t="s">
        <v>33</v>
      </c>
      <c r="C53" s="1691">
        <f>SUM(C49:C52)</f>
        <v>210625</v>
      </c>
      <c r="D53" s="1691">
        <f t="shared" ref="D53:L53" si="5">SUM(D49:D52)</f>
        <v>45301</v>
      </c>
      <c r="E53" s="1691">
        <f t="shared" si="5"/>
        <v>273350</v>
      </c>
      <c r="F53" s="1691">
        <f t="shared" si="5"/>
        <v>16241</v>
      </c>
      <c r="G53" s="1691">
        <f t="shared" si="5"/>
        <v>0</v>
      </c>
      <c r="H53" s="1691">
        <f t="shared" si="5"/>
        <v>15538</v>
      </c>
      <c r="I53" s="1691">
        <f t="shared" si="5"/>
        <v>0</v>
      </c>
      <c r="J53" s="1691">
        <f t="shared" si="5"/>
        <v>0</v>
      </c>
      <c r="K53" s="1691">
        <f t="shared" si="5"/>
        <v>561055</v>
      </c>
      <c r="L53" s="1691">
        <f t="shared" si="5"/>
        <v>540900</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685133</v>
      </c>
      <c r="D55" s="481">
        <v>137547</v>
      </c>
      <c r="E55" s="481">
        <v>4525</v>
      </c>
      <c r="F55" s="481">
        <v>15507</v>
      </c>
      <c r="G55" s="481"/>
      <c r="H55" s="481">
        <v>3058</v>
      </c>
      <c r="I55" s="467"/>
      <c r="J55" s="467"/>
      <c r="K55" s="1693">
        <f>SUM(C55:J55)</f>
        <v>845770</v>
      </c>
      <c r="L55" s="481">
        <v>889400</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685133</v>
      </c>
      <c r="D57" s="1695">
        <f t="shared" ref="D57:K57" si="6">SUM(D55:D56)</f>
        <v>137547</v>
      </c>
      <c r="E57" s="1695">
        <f t="shared" si="6"/>
        <v>4525</v>
      </c>
      <c r="F57" s="1695">
        <f t="shared" si="6"/>
        <v>15507</v>
      </c>
      <c r="G57" s="1695">
        <f t="shared" si="6"/>
        <v>0</v>
      </c>
      <c r="H57" s="1695">
        <f t="shared" si="6"/>
        <v>3058</v>
      </c>
      <c r="I57" s="1695">
        <f t="shared" si="6"/>
        <v>0</v>
      </c>
      <c r="J57" s="1695">
        <f t="shared" si="6"/>
        <v>0</v>
      </c>
      <c r="K57" s="1695">
        <f t="shared" si="6"/>
        <v>845770</v>
      </c>
      <c r="L57" s="1691">
        <f>SUM(L55:L56)</f>
        <v>889400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52394</v>
      </c>
      <c r="D60" s="466">
        <v>29</v>
      </c>
      <c r="E60" s="466">
        <v>5470</v>
      </c>
      <c r="F60" s="466">
        <v>3596</v>
      </c>
      <c r="G60" s="466"/>
      <c r="H60" s="466"/>
      <c r="I60" s="467"/>
      <c r="J60" s="467"/>
      <c r="K60" s="1693">
        <f t="shared" si="7"/>
        <v>61489</v>
      </c>
      <c r="L60" s="466">
        <v>72500</v>
      </c>
      <c r="M60" s="610"/>
      <c r="N60" s="610"/>
    </row>
    <row r="61" spans="1:14" s="343" customFormat="1" x14ac:dyDescent="0.2">
      <c r="A61" s="1525" t="s">
        <v>206</v>
      </c>
      <c r="B61" s="615">
        <v>2540</v>
      </c>
      <c r="C61" s="466"/>
      <c r="D61" s="466"/>
      <c r="E61" s="466"/>
      <c r="F61" s="466">
        <v>1186</v>
      </c>
      <c r="G61" s="466"/>
      <c r="H61" s="466"/>
      <c r="I61" s="467"/>
      <c r="J61" s="467"/>
      <c r="K61" s="1693">
        <f t="shared" si="7"/>
        <v>1186</v>
      </c>
      <c r="L61" s="466">
        <v>7863</v>
      </c>
      <c r="M61" s="610"/>
      <c r="N61" s="610"/>
    </row>
    <row r="62" spans="1:14" s="343" customFormat="1" x14ac:dyDescent="0.2">
      <c r="A62" s="1525" t="s">
        <v>1010</v>
      </c>
      <c r="B62" s="615">
        <v>2550</v>
      </c>
      <c r="C62" s="466"/>
      <c r="D62" s="466"/>
      <c r="E62" s="466">
        <v>10000</v>
      </c>
      <c r="F62" s="466"/>
      <c r="G62" s="466"/>
      <c r="H62" s="466"/>
      <c r="I62" s="467"/>
      <c r="J62" s="467"/>
      <c r="K62" s="1693">
        <f t="shared" si="7"/>
        <v>10000</v>
      </c>
      <c r="L62" s="466"/>
      <c r="M62" s="610"/>
      <c r="N62" s="610"/>
    </row>
    <row r="63" spans="1:14" s="610" customFormat="1" x14ac:dyDescent="0.2">
      <c r="A63" s="1525" t="s">
        <v>102</v>
      </c>
      <c r="B63" s="615">
        <v>2560</v>
      </c>
      <c r="C63" s="466">
        <v>180059</v>
      </c>
      <c r="D63" s="466">
        <v>8824</v>
      </c>
      <c r="E63" s="466">
        <v>852</v>
      </c>
      <c r="F63" s="466">
        <v>306192</v>
      </c>
      <c r="G63" s="466"/>
      <c r="H63" s="466">
        <v>20</v>
      </c>
      <c r="I63" s="467"/>
      <c r="J63" s="467"/>
      <c r="K63" s="1693">
        <f t="shared" si="7"/>
        <v>495947</v>
      </c>
      <c r="L63" s="466">
        <v>543000</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232453</v>
      </c>
      <c r="D65" s="1691">
        <f t="shared" ref="D65:L65" si="8">SUM(D59:D64)</f>
        <v>8853</v>
      </c>
      <c r="E65" s="1691">
        <f t="shared" si="8"/>
        <v>16322</v>
      </c>
      <c r="F65" s="1691">
        <f t="shared" si="8"/>
        <v>310974</v>
      </c>
      <c r="G65" s="1691">
        <f t="shared" si="8"/>
        <v>0</v>
      </c>
      <c r="H65" s="1691">
        <f t="shared" si="8"/>
        <v>20</v>
      </c>
      <c r="I65" s="1691">
        <f t="shared" si="8"/>
        <v>0</v>
      </c>
      <c r="J65" s="1691">
        <f t="shared" si="8"/>
        <v>0</v>
      </c>
      <c r="K65" s="1691">
        <f t="shared" si="8"/>
        <v>568622</v>
      </c>
      <c r="L65" s="1691">
        <f t="shared" si="8"/>
        <v>623363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v>68074</v>
      </c>
      <c r="D69" s="466">
        <v>14424</v>
      </c>
      <c r="E69" s="466">
        <v>133827</v>
      </c>
      <c r="F69" s="466">
        <v>40169</v>
      </c>
      <c r="G69" s="466">
        <v>641136</v>
      </c>
      <c r="H69" s="466"/>
      <c r="I69" s="467"/>
      <c r="J69" s="467"/>
      <c r="K69" s="1693">
        <f>SUM(C69:J69)</f>
        <v>897630</v>
      </c>
      <c r="L69" s="466">
        <v>760500</v>
      </c>
      <c r="M69" s="610"/>
      <c r="N69" s="610"/>
    </row>
    <row r="70" spans="1:14" s="343" customFormat="1" x14ac:dyDescent="0.2">
      <c r="A70" s="1525" t="s">
        <v>423</v>
      </c>
      <c r="B70" s="615">
        <v>2640</v>
      </c>
      <c r="C70" s="466"/>
      <c r="D70" s="466">
        <v>16094</v>
      </c>
      <c r="E70" s="466">
        <v>14563</v>
      </c>
      <c r="F70" s="466"/>
      <c r="G70" s="466"/>
      <c r="H70" s="466"/>
      <c r="I70" s="467"/>
      <c r="J70" s="467"/>
      <c r="K70" s="1693">
        <f>SUM(C70:J70)</f>
        <v>30657</v>
      </c>
      <c r="L70" s="466">
        <v>13000</v>
      </c>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68074</v>
      </c>
      <c r="D72" s="1691">
        <f t="shared" ref="D72:K72" si="9">SUM(D67:D71)</f>
        <v>30518</v>
      </c>
      <c r="E72" s="1691">
        <f t="shared" si="9"/>
        <v>148390</v>
      </c>
      <c r="F72" s="1691">
        <f t="shared" si="9"/>
        <v>40169</v>
      </c>
      <c r="G72" s="1691">
        <f t="shared" si="9"/>
        <v>641136</v>
      </c>
      <c r="H72" s="1691">
        <f t="shared" si="9"/>
        <v>0</v>
      </c>
      <c r="I72" s="1691">
        <f t="shared" si="9"/>
        <v>0</v>
      </c>
      <c r="J72" s="1691">
        <f t="shared" si="9"/>
        <v>0</v>
      </c>
      <c r="K72" s="1691">
        <f t="shared" si="9"/>
        <v>928287</v>
      </c>
      <c r="L72" s="1691">
        <f>SUM(L67:L71)</f>
        <v>773500</v>
      </c>
      <c r="M72" s="610"/>
      <c r="N72" s="610"/>
    </row>
    <row r="73" spans="1:14" s="343" customFormat="1" ht="14.25" thickTop="1" thickBot="1" x14ac:dyDescent="0.25">
      <c r="A73" s="1531" t="s">
        <v>1037</v>
      </c>
      <c r="B73" s="633" t="s">
        <v>595</v>
      </c>
      <c r="C73" s="573"/>
      <c r="D73" s="573"/>
      <c r="E73" s="573">
        <v>4001</v>
      </c>
      <c r="F73" s="573"/>
      <c r="G73" s="573"/>
      <c r="H73" s="573"/>
      <c r="I73" s="531"/>
      <c r="J73" s="531"/>
      <c r="K73" s="1691">
        <f>SUM(C73:J73)</f>
        <v>4001</v>
      </c>
      <c r="L73" s="576"/>
      <c r="M73" s="610"/>
      <c r="N73" s="610"/>
    </row>
    <row r="74" spans="1:14" ht="12.75" customHeight="1" thickTop="1" thickBot="1" x14ac:dyDescent="0.25">
      <c r="A74" s="1689" t="s">
        <v>865</v>
      </c>
      <c r="B74" s="1697">
        <v>2000</v>
      </c>
      <c r="C74" s="1698">
        <f>SUM(C42,C47,C53,C57,C65,C72,C73)</f>
        <v>1698208</v>
      </c>
      <c r="D74" s="1698">
        <f t="shared" ref="D74:K74" si="10">SUM(D42,D47,D53,D57,D65,D72,D73)</f>
        <v>301491</v>
      </c>
      <c r="E74" s="1698">
        <f t="shared" si="10"/>
        <v>552945</v>
      </c>
      <c r="F74" s="1698">
        <f t="shared" si="10"/>
        <v>449499</v>
      </c>
      <c r="G74" s="1698">
        <f t="shared" si="10"/>
        <v>641136</v>
      </c>
      <c r="H74" s="1698">
        <f t="shared" si="10"/>
        <v>18616</v>
      </c>
      <c r="I74" s="1698">
        <f t="shared" si="10"/>
        <v>0</v>
      </c>
      <c r="J74" s="1698">
        <f t="shared" si="10"/>
        <v>0</v>
      </c>
      <c r="K74" s="1698">
        <f t="shared" si="10"/>
        <v>3661895</v>
      </c>
      <c r="L74" s="1698">
        <f>SUM(L42,L47,L53,L57,L65,L72,L73)</f>
        <v>3637946</v>
      </c>
    </row>
    <row r="75" spans="1:14" s="259" customFormat="1" ht="15.75" customHeight="1" thickTop="1" thickBot="1" x14ac:dyDescent="0.25">
      <c r="A75" s="1631" t="s">
        <v>49</v>
      </c>
      <c r="B75" s="1632" t="s">
        <v>596</v>
      </c>
      <c r="C75" s="573">
        <v>131</v>
      </c>
      <c r="D75" s="573">
        <v>20</v>
      </c>
      <c r="E75" s="573">
        <v>500</v>
      </c>
      <c r="F75" s="573">
        <v>4127</v>
      </c>
      <c r="G75" s="573"/>
      <c r="H75" s="573"/>
      <c r="I75" s="531"/>
      <c r="J75" s="531"/>
      <c r="K75" s="1691">
        <f>SUM(C75:J75)</f>
        <v>4778</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c r="F79" s="617"/>
      <c r="G79" s="617"/>
      <c r="H79" s="466"/>
      <c r="I79" s="477"/>
      <c r="J79" s="477"/>
      <c r="K79" s="1692">
        <f t="shared" si="11"/>
        <v>0</v>
      </c>
      <c r="L79" s="466"/>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v>20250</v>
      </c>
      <c r="F83" s="617"/>
      <c r="G83" s="617"/>
      <c r="H83" s="466"/>
      <c r="I83" s="477"/>
      <c r="J83" s="477"/>
      <c r="K83" s="1692">
        <f t="shared" si="11"/>
        <v>20250</v>
      </c>
      <c r="L83" s="466">
        <v>70000</v>
      </c>
    </row>
    <row r="84" spans="1:12" ht="13.5" thickBot="1" x14ac:dyDescent="0.25">
      <c r="A84" s="1689" t="s">
        <v>1565</v>
      </c>
      <c r="B84" s="1699">
        <v>4100</v>
      </c>
      <c r="C84" s="617"/>
      <c r="D84" s="617"/>
      <c r="E84" s="1691">
        <f>SUM(E78:E83)</f>
        <v>20250</v>
      </c>
      <c r="F84" s="617"/>
      <c r="G84" s="617"/>
      <c r="H84" s="1691">
        <f>SUM(H78:H83)</f>
        <v>0</v>
      </c>
      <c r="I84" s="477"/>
      <c r="J84" s="477"/>
      <c r="K84" s="1691">
        <f>SUM(K78:K83)</f>
        <v>20250</v>
      </c>
      <c r="L84" s="1691">
        <f>SUM(L78:L83)</f>
        <v>70000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437776</v>
      </c>
      <c r="I86" s="477"/>
      <c r="J86" s="477"/>
      <c r="K86" s="1698">
        <f t="shared" ref="K86:K98" si="12">H86</f>
        <v>437776</v>
      </c>
      <c r="L86" s="530">
        <v>450000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v>18292</v>
      </c>
      <c r="I88" s="477"/>
      <c r="J88" s="477"/>
      <c r="K88" s="1698">
        <f t="shared" si="12"/>
        <v>18292</v>
      </c>
      <c r="L88" s="530">
        <v>20000</v>
      </c>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456068</v>
      </c>
      <c r="I92" s="477"/>
      <c r="J92" s="477"/>
      <c r="K92" s="1698">
        <f t="shared" si="12"/>
        <v>456068</v>
      </c>
      <c r="L92" s="1691">
        <f>SUM(L85:L91)</f>
        <v>470000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20250</v>
      </c>
      <c r="F102" s="617"/>
      <c r="G102" s="617"/>
      <c r="H102" s="1698">
        <f>SUM(H84,H92,H100,H101)</f>
        <v>456068</v>
      </c>
      <c r="I102" s="477"/>
      <c r="J102" s="477"/>
      <c r="K102" s="1698">
        <f>SUM(K84,K92,K100,K101)</f>
        <v>476318</v>
      </c>
      <c r="L102" s="1698">
        <f>SUM(L84,L92,L100,L101)</f>
        <v>540000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8162016</v>
      </c>
      <c r="D114" s="1691">
        <f t="shared" ref="D114:K114" si="13">SUM(D33,D74,D75,D102,D112,D113)</f>
        <v>1717438</v>
      </c>
      <c r="E114" s="1691">
        <f t="shared" si="13"/>
        <v>689088</v>
      </c>
      <c r="F114" s="1691">
        <f t="shared" si="13"/>
        <v>732818</v>
      </c>
      <c r="G114" s="1691">
        <f t="shared" si="13"/>
        <v>652614</v>
      </c>
      <c r="H114" s="1691">
        <f>SUM(H33,H74,H75,H102,H112,H113)</f>
        <v>476739</v>
      </c>
      <c r="I114" s="1691">
        <f t="shared" si="13"/>
        <v>0</v>
      </c>
      <c r="J114" s="1691">
        <f t="shared" si="13"/>
        <v>0</v>
      </c>
      <c r="K114" s="1691">
        <f t="shared" si="13"/>
        <v>12430713</v>
      </c>
      <c r="L114" s="1691">
        <f>SUM(L33,L74,L75,L102,L112,L113)</f>
        <v>12667472</v>
      </c>
    </row>
    <row r="115" spans="1:14" ht="13.5" thickTop="1" x14ac:dyDescent="0.2">
      <c r="A115" s="2183" t="s">
        <v>1053</v>
      </c>
      <c r="B115" s="2184"/>
      <c r="C115" s="619"/>
      <c r="D115" s="619"/>
      <c r="E115" s="619"/>
      <c r="F115" s="619"/>
      <c r="G115" s="619"/>
      <c r="H115" s="619"/>
      <c r="I115" s="619"/>
      <c r="J115" s="619"/>
      <c r="K115" s="1705">
        <f>'Revenues 9-14'!C275-'Expenditures 15-22'!K114</f>
        <v>1465981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8" t="s">
        <v>314</v>
      </c>
      <c r="B117" s="2189"/>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424205</v>
      </c>
      <c r="D124" s="466">
        <v>88402</v>
      </c>
      <c r="E124" s="466">
        <v>245624</v>
      </c>
      <c r="F124" s="466">
        <v>386084</v>
      </c>
      <c r="G124" s="466">
        <v>61309</v>
      </c>
      <c r="H124" s="466"/>
      <c r="I124" s="467"/>
      <c r="J124" s="467"/>
      <c r="K124" s="1691">
        <f>SUM(C124:J124)</f>
        <v>1205624</v>
      </c>
      <c r="L124" s="466">
        <v>1219500</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424205</v>
      </c>
      <c r="D127" s="1691">
        <f t="shared" ref="D127:L127" si="14">SUM(D122:D126)</f>
        <v>88402</v>
      </c>
      <c r="E127" s="1691">
        <f t="shared" si="14"/>
        <v>245624</v>
      </c>
      <c r="F127" s="1691">
        <f t="shared" si="14"/>
        <v>386084</v>
      </c>
      <c r="G127" s="1691">
        <f t="shared" si="14"/>
        <v>61309</v>
      </c>
      <c r="H127" s="1691">
        <f t="shared" si="14"/>
        <v>0</v>
      </c>
      <c r="I127" s="1691">
        <f t="shared" si="14"/>
        <v>0</v>
      </c>
      <c r="J127" s="1691">
        <f t="shared" si="14"/>
        <v>0</v>
      </c>
      <c r="K127" s="1691">
        <f t="shared" si="14"/>
        <v>1205624</v>
      </c>
      <c r="L127" s="1691">
        <f t="shared" si="14"/>
        <v>1219500</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424205</v>
      </c>
      <c r="D129" s="1698">
        <f t="shared" ref="D129:L129" si="15">SUM(D120,D127,D128)</f>
        <v>88402</v>
      </c>
      <c r="E129" s="1698">
        <f t="shared" si="15"/>
        <v>245624</v>
      </c>
      <c r="F129" s="1698">
        <f t="shared" si="15"/>
        <v>386084</v>
      </c>
      <c r="G129" s="1698">
        <f t="shared" si="15"/>
        <v>61309</v>
      </c>
      <c r="H129" s="1698">
        <f t="shared" si="15"/>
        <v>0</v>
      </c>
      <c r="I129" s="1698">
        <f t="shared" si="15"/>
        <v>0</v>
      </c>
      <c r="J129" s="1698">
        <f t="shared" si="15"/>
        <v>0</v>
      </c>
      <c r="K129" s="1698">
        <f t="shared" si="15"/>
        <v>1205624</v>
      </c>
      <c r="L129" s="1698">
        <f t="shared" si="15"/>
        <v>1219500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0" t="s">
        <v>641</v>
      </c>
      <c r="B151" s="2180"/>
      <c r="C151" s="1691">
        <f>SUM(C129,C130,C139,C149,C150)</f>
        <v>424205</v>
      </c>
      <c r="D151" s="1691">
        <f t="shared" ref="D151:K151" si="16">SUM(D129,D130,D139,D149,D150)</f>
        <v>88402</v>
      </c>
      <c r="E151" s="1691">
        <f t="shared" si="16"/>
        <v>245624</v>
      </c>
      <c r="F151" s="1691">
        <f t="shared" si="16"/>
        <v>386084</v>
      </c>
      <c r="G151" s="1691">
        <f t="shared" si="16"/>
        <v>61309</v>
      </c>
      <c r="H151" s="1691">
        <f t="shared" si="16"/>
        <v>0</v>
      </c>
      <c r="I151" s="1691">
        <f t="shared" si="16"/>
        <v>0</v>
      </c>
      <c r="J151" s="1691">
        <f t="shared" si="16"/>
        <v>0</v>
      </c>
      <c r="K151" s="1691">
        <f t="shared" si="16"/>
        <v>1205624</v>
      </c>
      <c r="L151" s="1691">
        <f>SUM(L129,L130,L139,L149,L150)</f>
        <v>1219500</v>
      </c>
    </row>
    <row r="152" spans="1:14" ht="12.75" customHeight="1" thickTop="1" x14ac:dyDescent="0.2">
      <c r="A152" s="2203" t="s">
        <v>1240</v>
      </c>
      <c r="B152" s="2204"/>
      <c r="C152" s="619"/>
      <c r="D152" s="619"/>
      <c r="E152" s="619"/>
      <c r="F152" s="619"/>
      <c r="G152" s="619"/>
      <c r="H152" s="619"/>
      <c r="I152" s="619"/>
      <c r="J152" s="617"/>
      <c r="K152" s="1705">
        <f>'Revenues 9-14'!D275-'Expenditures 15-22'!K151</f>
        <v>38285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8" t="s">
        <v>642</v>
      </c>
      <c r="B154" s="2190"/>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527598</v>
      </c>
      <c r="I169" s="617"/>
      <c r="J169" s="617"/>
      <c r="K169" s="1692">
        <f>SUM(C169:H169)</f>
        <v>527598</v>
      </c>
      <c r="L169" s="657">
        <v>1791119</v>
      </c>
    </row>
    <row r="170" spans="1:14" ht="33.75" customHeight="1" x14ac:dyDescent="0.2">
      <c r="A170" s="670" t="s">
        <v>1769</v>
      </c>
      <c r="B170" s="672" t="s">
        <v>31</v>
      </c>
      <c r="C170" s="617"/>
      <c r="D170" s="617"/>
      <c r="E170" s="617"/>
      <c r="F170" s="617"/>
      <c r="G170" s="617"/>
      <c r="H170" s="569">
        <v>1263520</v>
      </c>
      <c r="I170" s="617"/>
      <c r="J170" s="617"/>
      <c r="K170" s="1692">
        <f>SUM(C170:J170)</f>
        <v>1263520</v>
      </c>
      <c r="L170" s="569"/>
    </row>
    <row r="171" spans="1:14" ht="15.75" customHeight="1" x14ac:dyDescent="0.2">
      <c r="A171" s="622" t="s">
        <v>790</v>
      </c>
      <c r="B171" s="673" t="s">
        <v>86</v>
      </c>
      <c r="C171" s="617"/>
      <c r="D171" s="617"/>
      <c r="E171" s="466"/>
      <c r="F171" s="617"/>
      <c r="G171" s="617"/>
      <c r="H171" s="569">
        <v>449</v>
      </c>
      <c r="I171" s="477"/>
      <c r="J171" s="617"/>
      <c r="K171" s="1692">
        <f>SUM(C171:J171)</f>
        <v>449</v>
      </c>
      <c r="L171" s="569"/>
    </row>
    <row r="172" spans="1:14" ht="12.75" customHeight="1" thickBot="1" x14ac:dyDescent="0.25">
      <c r="A172" s="1689" t="s">
        <v>659</v>
      </c>
      <c r="B172" s="1690" t="s">
        <v>513</v>
      </c>
      <c r="C172" s="617"/>
      <c r="D172" s="617"/>
      <c r="E172" s="1698">
        <f>SUM(E168,E169,E170,E171)</f>
        <v>0</v>
      </c>
      <c r="F172" s="617"/>
      <c r="G172" s="617"/>
      <c r="H172" s="1698">
        <f>SUM(H168,H169,H170,H171)</f>
        <v>1791567</v>
      </c>
      <c r="I172" s="639"/>
      <c r="J172" s="617"/>
      <c r="K172" s="1698">
        <f>SUM(K168,K169,K170,K171)</f>
        <v>1791567</v>
      </c>
      <c r="L172" s="1698">
        <f>SUM(L168,L169,L170,L171)</f>
        <v>1791119</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1791567</v>
      </c>
      <c r="I174" s="639"/>
      <c r="J174" s="617"/>
      <c r="K174" s="1698">
        <f>SUM(K160,K172,K173)</f>
        <v>1791567</v>
      </c>
      <c r="L174" s="1698">
        <f>SUM(L160,L172,L173)</f>
        <v>1791119</v>
      </c>
    </row>
    <row r="175" spans="1:14" ht="13.5" thickTop="1" x14ac:dyDescent="0.2">
      <c r="A175" s="2183" t="s">
        <v>1053</v>
      </c>
      <c r="B175" s="2184"/>
      <c r="C175" s="617"/>
      <c r="D175" s="617"/>
      <c r="E175" s="617"/>
      <c r="F175" s="617"/>
      <c r="G175" s="617"/>
      <c r="H175" s="619"/>
      <c r="I175" s="617"/>
      <c r="J175" s="617"/>
      <c r="K175" s="1705">
        <f>'Revenues 9-14'!E275-'Expenditures 15-22'!K174</f>
        <v>20477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497172</v>
      </c>
      <c r="D182" s="466">
        <v>158657</v>
      </c>
      <c r="E182" s="466">
        <v>752890</v>
      </c>
      <c r="F182" s="466">
        <v>97321</v>
      </c>
      <c r="G182" s="466">
        <v>36188</v>
      </c>
      <c r="H182" s="466">
        <v>130</v>
      </c>
      <c r="I182" s="467"/>
      <c r="J182" s="467"/>
      <c r="K182" s="1692">
        <f>SUM(C182:J182)</f>
        <v>1542358</v>
      </c>
      <c r="L182" s="466">
        <v>1088915</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497172</v>
      </c>
      <c r="D184" s="1698">
        <f t="shared" ref="D184:J184" si="17">SUM(D180,D182,D183)</f>
        <v>158657</v>
      </c>
      <c r="E184" s="1698">
        <f t="shared" si="17"/>
        <v>752890</v>
      </c>
      <c r="F184" s="1698">
        <f t="shared" si="17"/>
        <v>97321</v>
      </c>
      <c r="G184" s="1698">
        <f t="shared" si="17"/>
        <v>36188</v>
      </c>
      <c r="H184" s="1698">
        <f t="shared" si="17"/>
        <v>130</v>
      </c>
      <c r="I184" s="1698">
        <f t="shared" si="17"/>
        <v>0</v>
      </c>
      <c r="J184" s="1698">
        <f t="shared" si="17"/>
        <v>0</v>
      </c>
      <c r="K184" s="1698">
        <f>SUM(K180,K182,K183)</f>
        <v>1542358</v>
      </c>
      <c r="L184" s="1698">
        <f>SUM(L180, L182:L183)</f>
        <v>1088915</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497172</v>
      </c>
      <c r="D210" s="1691">
        <f>SUM(D184,D185)</f>
        <v>158657</v>
      </c>
      <c r="E210" s="1691">
        <f>SUM(E184,E185,E196)</f>
        <v>752890</v>
      </c>
      <c r="F210" s="1691">
        <f>SUM(F184,F185)</f>
        <v>97321</v>
      </c>
      <c r="G210" s="1691">
        <f>SUM(G184,G185)</f>
        <v>36188</v>
      </c>
      <c r="H210" s="1691">
        <f>SUM(H184,H185,H196,H208,H209)</f>
        <v>130</v>
      </c>
      <c r="I210" s="1691">
        <f>SUM(I184,I185)</f>
        <v>0</v>
      </c>
      <c r="J210" s="1691">
        <f>SUM(J184,J185)</f>
        <v>0</v>
      </c>
      <c r="K210" s="1692">
        <f>SUM(K184,K185,K196,K208,K209)</f>
        <v>1542358</v>
      </c>
      <c r="L210" s="1691">
        <f>SUM(L184,L185,L196,L208,L209)</f>
        <v>1088915</v>
      </c>
    </row>
    <row r="211" spans="1:14" ht="13.5" thickTop="1" x14ac:dyDescent="0.2">
      <c r="A211" s="2183" t="s">
        <v>1053</v>
      </c>
      <c r="B211" s="2184"/>
      <c r="C211" s="619"/>
      <c r="D211" s="619"/>
      <c r="E211" s="619"/>
      <c r="F211" s="619"/>
      <c r="G211" s="619"/>
      <c r="H211" s="619"/>
      <c r="I211" s="617"/>
      <c r="J211" s="617"/>
      <c r="K211" s="1705">
        <f>'Revenues 9-14'!F275-'Expenditures 15-22'!K210</f>
        <v>63124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5" t="s">
        <v>1022</v>
      </c>
      <c r="B213" s="2206"/>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73637</v>
      </c>
      <c r="E215" s="617"/>
      <c r="F215" s="617"/>
      <c r="G215" s="617"/>
      <c r="H215" s="617"/>
      <c r="I215" s="617"/>
      <c r="J215" s="617"/>
      <c r="K215" s="1692">
        <f>D215</f>
        <v>73637</v>
      </c>
      <c r="L215" s="466">
        <v>75419</v>
      </c>
    </row>
    <row r="216" spans="1:14" x14ac:dyDescent="0.2">
      <c r="A216" s="1525" t="s">
        <v>165</v>
      </c>
      <c r="B216" s="615" t="s">
        <v>1024</v>
      </c>
      <c r="C216" s="617"/>
      <c r="D216" s="467">
        <v>1483</v>
      </c>
      <c r="E216" s="617"/>
      <c r="F216" s="617"/>
      <c r="G216" s="617"/>
      <c r="H216" s="617"/>
      <c r="I216" s="617"/>
      <c r="J216" s="617"/>
      <c r="K216" s="1692">
        <f t="shared" ref="K216:K228" si="19">D216</f>
        <v>1483</v>
      </c>
      <c r="L216" s="466">
        <v>1807</v>
      </c>
    </row>
    <row r="217" spans="1:14" x14ac:dyDescent="0.2">
      <c r="A217" s="1525" t="s">
        <v>166</v>
      </c>
      <c r="B217" s="615">
        <v>1200</v>
      </c>
      <c r="C217" s="617"/>
      <c r="D217" s="466">
        <v>73423</v>
      </c>
      <c r="E217" s="617"/>
      <c r="F217" s="617"/>
      <c r="G217" s="617"/>
      <c r="H217" s="617"/>
      <c r="I217" s="617"/>
      <c r="J217" s="617"/>
      <c r="K217" s="1692">
        <f t="shared" si="19"/>
        <v>73423</v>
      </c>
      <c r="L217" s="466">
        <v>66696</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1200</v>
      </c>
      <c r="E219" s="617"/>
      <c r="F219" s="617"/>
      <c r="G219" s="617"/>
      <c r="H219" s="617"/>
      <c r="I219" s="617"/>
      <c r="J219" s="617"/>
      <c r="K219" s="1692">
        <f t="shared" si="19"/>
        <v>1200</v>
      </c>
      <c r="L219" s="466"/>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3995</v>
      </c>
      <c r="E222" s="617"/>
      <c r="F222" s="617"/>
      <c r="G222" s="617"/>
      <c r="H222" s="617"/>
      <c r="I222" s="617"/>
      <c r="J222" s="617"/>
      <c r="K222" s="1692">
        <f t="shared" si="19"/>
        <v>3995</v>
      </c>
      <c r="L222" s="466">
        <v>4151</v>
      </c>
    </row>
    <row r="223" spans="1:14" x14ac:dyDescent="0.2">
      <c r="A223" s="1525" t="s">
        <v>1020</v>
      </c>
      <c r="B223" s="615">
        <v>1500</v>
      </c>
      <c r="C223" s="617"/>
      <c r="D223" s="466">
        <v>17772</v>
      </c>
      <c r="E223" s="617"/>
      <c r="F223" s="617"/>
      <c r="G223" s="617"/>
      <c r="H223" s="617"/>
      <c r="I223" s="617"/>
      <c r="J223" s="617"/>
      <c r="K223" s="1692">
        <f t="shared" si="19"/>
        <v>17772</v>
      </c>
      <c r="L223" s="466">
        <v>16966</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158</v>
      </c>
      <c r="E226" s="617"/>
      <c r="F226" s="617"/>
      <c r="G226" s="617"/>
      <c r="H226" s="617"/>
      <c r="I226" s="617"/>
      <c r="J226" s="617"/>
      <c r="K226" s="1692">
        <f t="shared" si="19"/>
        <v>158</v>
      </c>
      <c r="L226" s="466">
        <v>26</v>
      </c>
    </row>
    <row r="227" spans="1:12" x14ac:dyDescent="0.2">
      <c r="A227" s="1525" t="s">
        <v>1148</v>
      </c>
      <c r="B227" s="615">
        <v>1800</v>
      </c>
      <c r="C227" s="617"/>
      <c r="D227" s="466">
        <v>1729</v>
      </c>
      <c r="E227" s="617"/>
      <c r="F227" s="617"/>
      <c r="G227" s="617"/>
      <c r="H227" s="617"/>
      <c r="I227" s="617"/>
      <c r="J227" s="617"/>
      <c r="K227" s="1692">
        <f t="shared" si="19"/>
        <v>1729</v>
      </c>
      <c r="L227" s="466">
        <v>1321</v>
      </c>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173397</v>
      </c>
      <c r="E229" s="617"/>
      <c r="F229" s="617"/>
      <c r="G229" s="617"/>
      <c r="H229" s="617"/>
      <c r="I229" s="617"/>
      <c r="J229" s="617"/>
      <c r="K229" s="1691">
        <f>SUM(K215:K228)</f>
        <v>173397</v>
      </c>
      <c r="L229" s="1691">
        <f>SUM(L215:L228)</f>
        <v>166386</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2847</v>
      </c>
      <c r="E233" s="617"/>
      <c r="F233" s="617"/>
      <c r="G233" s="617"/>
      <c r="H233" s="617"/>
      <c r="I233" s="617"/>
      <c r="J233" s="617"/>
      <c r="K233" s="1692">
        <f t="shared" si="20"/>
        <v>2847</v>
      </c>
      <c r="L233" s="466">
        <v>3005</v>
      </c>
    </row>
    <row r="234" spans="1:12" x14ac:dyDescent="0.2">
      <c r="A234" s="1525" t="s">
        <v>207</v>
      </c>
      <c r="B234" s="615">
        <v>2130</v>
      </c>
      <c r="C234" s="617"/>
      <c r="D234" s="466">
        <v>13880</v>
      </c>
      <c r="E234" s="617"/>
      <c r="F234" s="617"/>
      <c r="G234" s="617"/>
      <c r="H234" s="617"/>
      <c r="I234" s="617"/>
      <c r="J234" s="617"/>
      <c r="K234" s="1692">
        <f t="shared" si="20"/>
        <v>13880</v>
      </c>
      <c r="L234" s="466">
        <v>12168</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96</v>
      </c>
      <c r="E236" s="617"/>
      <c r="F236" s="617"/>
      <c r="G236" s="617"/>
      <c r="H236" s="617"/>
      <c r="I236" s="617"/>
      <c r="J236" s="617"/>
      <c r="K236" s="1692">
        <f t="shared" si="20"/>
        <v>96</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16823</v>
      </c>
      <c r="E238" s="617"/>
      <c r="F238" s="617"/>
      <c r="G238" s="617"/>
      <c r="H238" s="617"/>
      <c r="I238" s="617"/>
      <c r="J238" s="617"/>
      <c r="K238" s="1691">
        <f>SUM(K232:K237)</f>
        <v>16823</v>
      </c>
      <c r="L238" s="1691">
        <f>SUM(L232:L237)</f>
        <v>15173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v>16</v>
      </c>
    </row>
    <row r="241" spans="1:12" x14ac:dyDescent="0.2">
      <c r="A241" s="1525" t="s">
        <v>869</v>
      </c>
      <c r="B241" s="615">
        <v>2220</v>
      </c>
      <c r="C241" s="617"/>
      <c r="D241" s="466">
        <v>11694</v>
      </c>
      <c r="E241" s="617"/>
      <c r="F241" s="617"/>
      <c r="G241" s="617"/>
      <c r="H241" s="617"/>
      <c r="I241" s="617"/>
      <c r="J241" s="617"/>
      <c r="K241" s="1693">
        <f>D241</f>
        <v>11694</v>
      </c>
      <c r="L241" s="466">
        <v>11606</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11694</v>
      </c>
      <c r="E243" s="617"/>
      <c r="F243" s="617"/>
      <c r="G243" s="617"/>
      <c r="H243" s="617"/>
      <c r="I243" s="617"/>
      <c r="J243" s="617"/>
      <c r="K243" s="1691">
        <f>SUM(K240:K242)</f>
        <v>11694</v>
      </c>
      <c r="L243" s="1691">
        <f>SUM(L240:L242)</f>
        <v>11622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v>15282</v>
      </c>
      <c r="E246" s="617"/>
      <c r="F246" s="617"/>
      <c r="G246" s="617"/>
      <c r="H246" s="617"/>
      <c r="I246" s="617"/>
      <c r="J246" s="617"/>
      <c r="K246" s="1693">
        <f t="shared" ref="K246:K256" si="21">D246</f>
        <v>15282</v>
      </c>
      <c r="L246" s="466">
        <v>18023</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v>1250</v>
      </c>
      <c r="E254" s="617"/>
      <c r="F254" s="617"/>
      <c r="G254" s="617"/>
      <c r="H254" s="617"/>
      <c r="I254" s="617"/>
      <c r="J254" s="617"/>
      <c r="K254" s="1693">
        <f t="shared" si="21"/>
        <v>1250</v>
      </c>
      <c r="L254" s="466">
        <v>3061</v>
      </c>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16532</v>
      </c>
      <c r="E257" s="617"/>
      <c r="F257" s="617"/>
      <c r="G257" s="617"/>
      <c r="H257" s="617"/>
      <c r="I257" s="617"/>
      <c r="J257" s="617"/>
      <c r="K257" s="1691">
        <f>SUM(K245:K256)</f>
        <v>16532</v>
      </c>
      <c r="L257" s="1691">
        <f>SUM(L245:L256)</f>
        <v>21084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42288</v>
      </c>
      <c r="E259" s="617"/>
      <c r="F259" s="617"/>
      <c r="G259" s="617"/>
      <c r="H259" s="617"/>
      <c r="I259" s="617"/>
      <c r="J259" s="617"/>
      <c r="K259" s="1693">
        <f>D259</f>
        <v>42288</v>
      </c>
      <c r="L259" s="481">
        <v>43157</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42288</v>
      </c>
      <c r="E261" s="617"/>
      <c r="F261" s="617"/>
      <c r="G261" s="617"/>
      <c r="H261" s="617"/>
      <c r="I261" s="617"/>
      <c r="J261" s="617"/>
      <c r="K261" s="1691">
        <f>SUM(K259:K260)</f>
        <v>42288</v>
      </c>
      <c r="L261" s="1691">
        <f>SUM(L259:L260)</f>
        <v>43157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9544</v>
      </c>
      <c r="E264" s="617"/>
      <c r="F264" s="617"/>
      <c r="G264" s="617"/>
      <c r="H264" s="617"/>
      <c r="I264" s="617"/>
      <c r="J264" s="617"/>
      <c r="K264" s="1693">
        <f t="shared" ref="K264:K269" si="22">D264</f>
        <v>9544</v>
      </c>
      <c r="L264" s="466">
        <v>8475</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74385</v>
      </c>
      <c r="E266" s="617"/>
      <c r="F266" s="617"/>
      <c r="G266" s="617"/>
      <c r="H266" s="617"/>
      <c r="I266" s="617"/>
      <c r="J266" s="617"/>
      <c r="K266" s="1693">
        <f t="shared" si="22"/>
        <v>74385</v>
      </c>
      <c r="L266" s="466">
        <v>82792</v>
      </c>
    </row>
    <row r="267" spans="1:14" x14ac:dyDescent="0.2">
      <c r="A267" s="1525" t="s">
        <v>1010</v>
      </c>
      <c r="B267" s="615">
        <v>2550</v>
      </c>
      <c r="C267" s="617"/>
      <c r="D267" s="466">
        <v>75244</v>
      </c>
      <c r="E267" s="617"/>
      <c r="F267" s="617"/>
      <c r="G267" s="617"/>
      <c r="H267" s="617"/>
      <c r="I267" s="617"/>
      <c r="J267" s="617"/>
      <c r="K267" s="1693">
        <f t="shared" si="22"/>
        <v>75244</v>
      </c>
      <c r="L267" s="466">
        <v>79776</v>
      </c>
    </row>
    <row r="268" spans="1:14" x14ac:dyDescent="0.2">
      <c r="A268" s="1525" t="s">
        <v>102</v>
      </c>
      <c r="B268" s="615">
        <v>2560</v>
      </c>
      <c r="C268" s="617"/>
      <c r="D268" s="466">
        <v>28189</v>
      </c>
      <c r="E268" s="617"/>
      <c r="F268" s="617"/>
      <c r="G268" s="617"/>
      <c r="H268" s="617"/>
      <c r="I268" s="617"/>
      <c r="J268" s="617"/>
      <c r="K268" s="1693">
        <f t="shared" si="22"/>
        <v>28189</v>
      </c>
      <c r="L268" s="466">
        <v>29117</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187362</v>
      </c>
      <c r="E270" s="617"/>
      <c r="F270" s="617"/>
      <c r="G270" s="617"/>
      <c r="H270" s="617"/>
      <c r="I270" s="617"/>
      <c r="J270" s="617"/>
      <c r="K270" s="1691">
        <f>SUM(K263:K269)</f>
        <v>187362</v>
      </c>
      <c r="L270" s="1691">
        <f>SUM(L263:L269)</f>
        <v>200160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v>9867</v>
      </c>
      <c r="E274" s="617"/>
      <c r="F274" s="617"/>
      <c r="G274" s="617"/>
      <c r="H274" s="617"/>
      <c r="I274" s="617"/>
      <c r="J274" s="617"/>
      <c r="K274" s="1693">
        <f>D274</f>
        <v>9867</v>
      </c>
      <c r="L274" s="466">
        <v>11578</v>
      </c>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9867</v>
      </c>
      <c r="E277" s="617"/>
      <c r="F277" s="617"/>
      <c r="G277" s="617"/>
      <c r="H277" s="617"/>
      <c r="I277" s="617"/>
      <c r="J277" s="617"/>
      <c r="K277" s="1691">
        <f>SUM(K272:K276)</f>
        <v>9867</v>
      </c>
      <c r="L277" s="1691">
        <f>SUM(L272:L276)</f>
        <v>11578</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284566</v>
      </c>
      <c r="E279" s="617"/>
      <c r="F279" s="617"/>
      <c r="G279" s="617"/>
      <c r="H279" s="617"/>
      <c r="I279" s="617"/>
      <c r="J279" s="617"/>
      <c r="K279" s="1698">
        <f>SUM(K238,K243,K257,K261,K270,K277,K278)</f>
        <v>284566</v>
      </c>
      <c r="L279" s="1698">
        <f>SUM(L238,L243,L257,L261,L270,L277,L278)</f>
        <v>302774</v>
      </c>
    </row>
    <row r="280" spans="1:12" ht="15.75" customHeight="1" thickTop="1" thickBot="1" x14ac:dyDescent="0.25">
      <c r="A280" s="1645" t="s">
        <v>930</v>
      </c>
      <c r="B280" s="1634">
        <v>3000</v>
      </c>
      <c r="C280" s="617"/>
      <c r="D280" s="576">
        <v>2</v>
      </c>
      <c r="E280" s="617"/>
      <c r="F280" s="617"/>
      <c r="G280" s="617"/>
      <c r="H280" s="617"/>
      <c r="I280" s="617"/>
      <c r="J280" s="617"/>
      <c r="K280" s="1700">
        <f>D280</f>
        <v>2</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1" t="s">
        <v>526</v>
      </c>
      <c r="B295" s="2202"/>
      <c r="C295" s="617"/>
      <c r="D295" s="1691">
        <f>SUM(D229,D279,D280,D285)</f>
        <v>457965</v>
      </c>
      <c r="E295" s="617"/>
      <c r="F295" s="617"/>
      <c r="G295" s="617"/>
      <c r="H295" s="1691">
        <f>H293</f>
        <v>0</v>
      </c>
      <c r="I295" s="617"/>
      <c r="J295" s="617"/>
      <c r="K295" s="1691">
        <f>SUM(K229,K279,K280,K285,K293,K294)</f>
        <v>457965</v>
      </c>
      <c r="L295" s="1691">
        <f>SUM(L229,L279,L280,L285,L293,L294)</f>
        <v>469160</v>
      </c>
    </row>
    <row r="296" spans="1:14" ht="13.5" thickTop="1" x14ac:dyDescent="0.2">
      <c r="A296" s="2183" t="s">
        <v>1053</v>
      </c>
      <c r="B296" s="2184"/>
      <c r="C296" s="617"/>
      <c r="D296" s="619"/>
      <c r="E296" s="617"/>
      <c r="F296" s="617"/>
      <c r="G296" s="617"/>
      <c r="H296" s="688"/>
      <c r="I296" s="617"/>
      <c r="J296" s="617"/>
      <c r="K296" s="1705">
        <f>'Revenues 9-14'!G275-'Expenditures 15-22'!K295</f>
        <v>-5833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3" t="s">
        <v>145</v>
      </c>
      <c r="B298" s="2187"/>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v>226250</v>
      </c>
      <c r="H301" s="466"/>
      <c r="I301" s="467"/>
      <c r="J301" s="467"/>
      <c r="K301" s="1692">
        <f>SUM(C301:J301)</f>
        <v>226250</v>
      </c>
      <c r="L301" s="467">
        <v>230000</v>
      </c>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226250</v>
      </c>
      <c r="H303" s="1698">
        <f t="shared" si="23"/>
        <v>0</v>
      </c>
      <c r="I303" s="1698">
        <f t="shared" si="23"/>
        <v>0</v>
      </c>
      <c r="J303" s="1698">
        <f t="shared" si="23"/>
        <v>0</v>
      </c>
      <c r="K303" s="1698">
        <f t="shared" si="23"/>
        <v>226250</v>
      </c>
      <c r="L303" s="1698">
        <f t="shared" si="23"/>
        <v>230000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8" t="s">
        <v>295</v>
      </c>
      <c r="B312" s="2199"/>
      <c r="C312" s="1691">
        <f>SUM(C303)</f>
        <v>0</v>
      </c>
      <c r="D312" s="1691">
        <f>SUM(D303)</f>
        <v>0</v>
      </c>
      <c r="E312" s="1691">
        <f>SUM(E303,E310)</f>
        <v>0</v>
      </c>
      <c r="F312" s="1691">
        <f>SUM(F303)</f>
        <v>0</v>
      </c>
      <c r="G312" s="1691">
        <f>SUM(G303)</f>
        <v>226250</v>
      </c>
      <c r="H312" s="1691">
        <f>SUM(H303,H310)</f>
        <v>0</v>
      </c>
      <c r="I312" s="1691">
        <f>SUM(I303)</f>
        <v>0</v>
      </c>
      <c r="J312" s="1691">
        <f>SUM(J303)</f>
        <v>0</v>
      </c>
      <c r="K312" s="1691">
        <f>SUM(K303,K310,K311)</f>
        <v>226250</v>
      </c>
      <c r="L312" s="1691">
        <f>SUM(L303,L310,L311)</f>
        <v>230000</v>
      </c>
      <c r="M312" s="666"/>
      <c r="N312" s="666"/>
    </row>
    <row r="313" spans="1:14" ht="13.5" thickTop="1" x14ac:dyDescent="0.2">
      <c r="A313" s="2194" t="s">
        <v>1053</v>
      </c>
      <c r="B313" s="2195"/>
      <c r="C313" s="627"/>
      <c r="D313" s="627"/>
      <c r="E313" s="627"/>
      <c r="F313" s="627"/>
      <c r="G313" s="627"/>
      <c r="H313" s="627"/>
      <c r="I313" s="627"/>
      <c r="J313" s="627"/>
      <c r="K313" s="1706">
        <f>'Revenues 9-14'!H275-'Expenditures 15-22'!K312</f>
        <v>-203573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7" t="s">
        <v>151</v>
      </c>
      <c r="B315" s="2208"/>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9" t="s">
        <v>954</v>
      </c>
      <c r="B317" s="2208"/>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0" t="s">
        <v>318</v>
      </c>
      <c r="B321" s="698" t="s">
        <v>301</v>
      </c>
      <c r="C321" s="467"/>
      <c r="D321" s="467"/>
      <c r="E321" s="467">
        <v>4268</v>
      </c>
      <c r="F321" s="467"/>
      <c r="G321" s="467"/>
      <c r="H321" s="467"/>
      <c r="I321" s="467"/>
      <c r="J321" s="467"/>
      <c r="K321" s="1692">
        <f t="shared" si="24"/>
        <v>4268</v>
      </c>
      <c r="L321" s="467"/>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0" t="s">
        <v>726</v>
      </c>
      <c r="B323" s="698" t="s">
        <v>303</v>
      </c>
      <c r="C323" s="467"/>
      <c r="D323" s="467"/>
      <c r="E323" s="467">
        <v>203730</v>
      </c>
      <c r="F323" s="467"/>
      <c r="G323" s="467"/>
      <c r="H323" s="467"/>
      <c r="I323" s="467"/>
      <c r="J323" s="467"/>
      <c r="K323" s="1692">
        <f t="shared" si="24"/>
        <v>203730</v>
      </c>
      <c r="L323" s="467">
        <v>125000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86588</v>
      </c>
      <c r="D325" s="467">
        <v>21131</v>
      </c>
      <c r="E325" s="467">
        <v>151755</v>
      </c>
      <c r="F325" s="467">
        <v>2178</v>
      </c>
      <c r="G325" s="467"/>
      <c r="H325" s="467"/>
      <c r="I325" s="467"/>
      <c r="J325" s="467"/>
      <c r="K325" s="1692">
        <f t="shared" si="24"/>
        <v>261652</v>
      </c>
      <c r="L325" s="467">
        <v>374515</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86588</v>
      </c>
      <c r="D330" s="1691">
        <f t="shared" ref="D330:J330" si="25">SUM(D319:D329)</f>
        <v>21131</v>
      </c>
      <c r="E330" s="1691">
        <f t="shared" si="25"/>
        <v>359753</v>
      </c>
      <c r="F330" s="1691">
        <f t="shared" si="25"/>
        <v>2178</v>
      </c>
      <c r="G330" s="1691">
        <f t="shared" si="25"/>
        <v>0</v>
      </c>
      <c r="H330" s="1691">
        <f t="shared" si="25"/>
        <v>0</v>
      </c>
      <c r="I330" s="1691">
        <f t="shared" si="25"/>
        <v>0</v>
      </c>
      <c r="J330" s="1691">
        <f t="shared" si="25"/>
        <v>0</v>
      </c>
      <c r="K330" s="1691">
        <f>SUM(K319:K329)</f>
        <v>469650</v>
      </c>
      <c r="L330" s="1691">
        <f>SUM(L319:L329)</f>
        <v>499515</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86588</v>
      </c>
      <c r="D342" s="1691">
        <f>SUM(D330)</f>
        <v>21131</v>
      </c>
      <c r="E342" s="1691">
        <f>SUM(E330)</f>
        <v>359753</v>
      </c>
      <c r="F342" s="1691">
        <f>SUM(F330)</f>
        <v>2178</v>
      </c>
      <c r="G342" s="1691">
        <f>SUM(G330)</f>
        <v>0</v>
      </c>
      <c r="H342" s="1691">
        <f>SUM(H330,H334,H340)</f>
        <v>0</v>
      </c>
      <c r="I342" s="1691">
        <f>SUM(I330)</f>
        <v>0</v>
      </c>
      <c r="J342" s="1691">
        <f>SUM(J330)</f>
        <v>0</v>
      </c>
      <c r="K342" s="1691">
        <f>SUM(K330,K334,K340)</f>
        <v>469650</v>
      </c>
      <c r="L342" s="1698">
        <f>SUM(L330,L340,L341)</f>
        <v>499515</v>
      </c>
    </row>
    <row r="343" spans="1:14" ht="12.75" customHeight="1" thickTop="1" x14ac:dyDescent="0.2">
      <c r="A343" s="2196" t="s">
        <v>1053</v>
      </c>
      <c r="B343" s="2197"/>
      <c r="C343" s="617"/>
      <c r="D343" s="617"/>
      <c r="E343" s="617"/>
      <c r="F343" s="617"/>
      <c r="G343" s="617"/>
      <c r="H343" s="617"/>
      <c r="I343" s="617"/>
      <c r="J343" s="617"/>
      <c r="K343" s="1705">
        <f>'Revenues 9-14'!J275-'Expenditures 15-22'!K342</f>
        <v>53331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6" t="s">
        <v>1023</v>
      </c>
      <c r="B345" s="2187"/>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83" t="s">
        <v>1053</v>
      </c>
      <c r="B368" s="2184"/>
      <c r="C368" s="655"/>
      <c r="D368" s="655"/>
      <c r="E368" s="627"/>
      <c r="F368" s="627"/>
      <c r="G368" s="627"/>
      <c r="H368" s="627"/>
      <c r="I368" s="627"/>
      <c r="J368" s="624"/>
      <c r="K368" s="1692">
        <f>'Revenues 9-14'!K275-'Expenditures 15-22'!K367</f>
        <v>84388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microsoft.com/office/infopath/2007/PartnerControls"/>
    <ds:schemaRef ds:uri="http://purl.org/dc/elements/1.1/"/>
    <ds:schemaRef ds:uri="http://www.w3.org/XML/1998/namespace"/>
    <ds:schemaRef ds:uri="http://schemas.microsoft.com/office/2006/documentManagement/types"/>
    <ds:schemaRef ds:uri="http://schemas.microsoft.com/sharepoint/v3"/>
    <ds:schemaRef ds:uri="http://purl.org/dc/terms/"/>
    <ds:schemaRef ds:uri="4d435f69-8686-490b-bd6d-b153bf22ab50"/>
    <ds:schemaRef ds:uri="http://purl.org/dc/dcmitype/"/>
    <ds:schemaRef ds:uri="http://schemas.openxmlformats.org/package/2006/metadata/core-propertie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2018-10-08T13:58:35Z</cp:lastPrinted>
  <dcterms:created xsi:type="dcterms:W3CDTF">2003-10-29T19:06:34Z</dcterms:created>
  <dcterms:modified xsi:type="dcterms:W3CDTF">2018-10-25T13:12:20Z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Meridian CUSD #223</vt:lpwstr>
  </property>
  <property fmtid="{D5CDD505-2E9C-101B-9397-08002B2CF9AE}" pid="6" name="PPC_Template_Engagement_Date">
    <vt:lpwstr>6/30/2018</vt:lpwstr>
  </property>
</Properties>
</file>