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360" tabRatio="959"/>
  </bookViews>
  <sheets>
    <sheet name="COVER" sheetId="24" r:id="rId1"/>
    <sheet name="TOC" sheetId="168" r:id="rId2"/>
    <sheet name="Aud Quest 2" sheetId="28" r:id="rId3"/>
    <sheet name="Audit Quest signature" sheetId="183"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17">'Shared Outsourced Services 31'!$A$2:$F$43</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F52" i="34" s="1"/>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s="1"/>
  <c r="B6394" i="106"/>
  <c r="D6394" i="106" s="1"/>
  <c r="B6395" i="106"/>
  <c r="D6395" i="106"/>
  <c r="B6398" i="106"/>
  <c r="D6398" i="106" s="1"/>
  <c r="B6399" i="106"/>
  <c r="D6399" i="106"/>
  <c r="B6401" i="106"/>
  <c r="D6401" i="106" s="1"/>
  <c r="B6402" i="106"/>
  <c r="D6402" i="106" s="1"/>
  <c r="B6403" i="106"/>
  <c r="D6403" i="106" s="1"/>
  <c r="B6404" i="106"/>
  <c r="D6404" i="106" s="1"/>
  <c r="B6405" i="106"/>
  <c r="D6405" i="106" s="1"/>
  <c r="B6406" i="106"/>
  <c r="D6406" i="106"/>
  <c r="B6407" i="106"/>
  <c r="D6407" i="106" s="1"/>
  <c r="B6408" i="106"/>
  <c r="D6408" i="106"/>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s="1"/>
  <c r="B6619" i="106"/>
  <c r="D6619" i="106" s="1"/>
  <c r="B6620" i="106"/>
  <c r="D6620" i="106" s="1"/>
  <c r="B6621" i="106"/>
  <c r="D6621" i="106" s="1"/>
  <c r="B6622" i="106"/>
  <c r="D6622" i="106"/>
  <c r="B6623" i="106"/>
  <c r="D6623" i="106" s="1"/>
  <c r="B6624" i="106"/>
  <c r="D6624" i="106"/>
  <c r="B6625" i="106"/>
  <c r="D6625" i="106" s="1"/>
  <c r="B6626" i="106"/>
  <c r="D6626" i="106" s="1"/>
  <c r="B6627" i="106"/>
  <c r="D6627" i="106" s="1"/>
  <c r="B6628" i="106"/>
  <c r="D6628" i="106" s="1"/>
  <c r="B6629" i="106"/>
  <c r="D6629" i="106" s="1"/>
  <c r="B6630" i="106"/>
  <c r="D6630" i="106"/>
  <c r="B6631" i="106"/>
  <c r="D6631" i="106" s="1"/>
  <c r="B6632" i="106"/>
  <c r="D6632" i="106"/>
  <c r="B6633" i="106"/>
  <c r="D6633" i="106" s="1"/>
  <c r="B6634" i="106"/>
  <c r="D6634" i="106" s="1"/>
  <c r="B6635" i="106"/>
  <c r="D6635" i="106" s="1"/>
  <c r="B6636" i="106"/>
  <c r="D6636" i="106" s="1"/>
  <c r="B6637" i="106"/>
  <c r="D6637" i="106" s="1"/>
  <c r="B6638" i="106"/>
  <c r="D6638" i="106"/>
  <c r="B6639" i="106"/>
  <c r="D6639" i="106" s="1"/>
  <c r="B6640" i="106"/>
  <c r="D6640" i="106"/>
  <c r="B6641" i="106"/>
  <c r="D6641" i="106" s="1"/>
  <c r="B6642" i="106"/>
  <c r="D6642" i="106" s="1"/>
  <c r="B6643" i="106"/>
  <c r="D6643" i="106" s="1"/>
  <c r="B6644" i="106"/>
  <c r="D6644" i="106" s="1"/>
  <c r="B6645" i="106"/>
  <c r="D6645" i="106" s="1"/>
  <c r="B6646" i="106"/>
  <c r="D6646" i="106"/>
  <c r="B6647" i="106"/>
  <c r="D6647" i="106" s="1"/>
  <c r="B6648" i="106"/>
  <c r="D6648" i="106"/>
  <c r="B6649" i="106"/>
  <c r="D6649" i="106" s="1"/>
  <c r="B6650" i="106"/>
  <c r="D6650" i="106" s="1"/>
  <c r="B6651" i="106"/>
  <c r="D6651" i="106" s="1"/>
  <c r="B6652" i="106"/>
  <c r="D6652" i="106" s="1"/>
  <c r="B6653" i="106"/>
  <c r="D6653" i="106" s="1"/>
  <c r="B6654" i="106"/>
  <c r="D6654" i="106"/>
  <c r="B6655" i="106"/>
  <c r="D6655" i="106" s="1"/>
  <c r="B6656" i="106"/>
  <c r="D6656" i="106"/>
  <c r="B6657" i="106"/>
  <c r="D6657" i="106" s="1"/>
  <c r="B6658" i="106"/>
  <c r="D6658" i="106" s="1"/>
  <c r="B6659" i="106"/>
  <c r="D6659" i="106" s="1"/>
  <c r="B6660" i="106"/>
  <c r="D6660" i="106" s="1"/>
  <c r="B6661" i="106"/>
  <c r="D6661" i="106" s="1"/>
  <c r="B6662" i="106"/>
  <c r="D6662" i="106"/>
  <c r="B6663" i="106"/>
  <c r="D6663" i="106" s="1"/>
  <c r="B6664" i="106"/>
  <c r="D6664" i="106"/>
  <c r="B6665" i="106"/>
  <c r="D6665" i="106" s="1"/>
  <c r="B6666" i="106"/>
  <c r="D6666" i="106" s="1"/>
  <c r="B6667" i="106"/>
  <c r="D6667" i="106" s="1"/>
  <c r="B6668" i="106"/>
  <c r="D6668" i="106" s="1"/>
  <c r="B6669" i="106"/>
  <c r="D6669" i="106" s="1"/>
  <c r="B6670" i="106"/>
  <c r="D6670" i="106"/>
  <c r="B6671" i="106"/>
  <c r="D6671" i="106" s="1"/>
  <c r="B6672" i="106"/>
  <c r="D6672" i="106"/>
  <c r="B6673" i="106"/>
  <c r="D6673" i="106" s="1"/>
  <c r="B6674" i="106"/>
  <c r="D6674" i="106" s="1"/>
  <c r="B6675" i="106"/>
  <c r="D6675" i="106" s="1"/>
  <c r="B6676" i="106"/>
  <c r="D6676" i="106" s="1"/>
  <c r="B6677" i="106"/>
  <c r="D6677" i="106" s="1"/>
  <c r="B6678" i="106"/>
  <c r="D6678" i="106"/>
  <c r="B6679" i="106"/>
  <c r="D6679" i="106" s="1"/>
  <c r="B6680" i="106"/>
  <c r="D6680" i="106"/>
  <c r="B6681" i="106"/>
  <c r="D6681" i="106" s="1"/>
  <c r="B6682" i="106"/>
  <c r="D6682" i="106" s="1"/>
  <c r="B6683" i="106"/>
  <c r="D6683" i="106" s="1"/>
  <c r="B6684" i="106"/>
  <c r="D6684" i="106" s="1"/>
  <c r="B6685" i="106"/>
  <c r="D6685" i="106" s="1"/>
  <c r="B6686" i="106"/>
  <c r="D6686" i="106"/>
  <c r="B6687" i="106"/>
  <c r="D6687" i="106" s="1"/>
  <c r="B6688" i="106"/>
  <c r="D6688" i="106"/>
  <c r="B6689" i="106"/>
  <c r="D6689" i="106" s="1"/>
  <c r="B6690" i="106"/>
  <c r="D6690" i="106" s="1"/>
  <c r="B6691" i="106"/>
  <c r="D6691" i="106" s="1"/>
  <c r="B6692" i="106"/>
  <c r="D6692" i="106" s="1"/>
  <c r="B6693" i="106"/>
  <c r="D6693" i="106" s="1"/>
  <c r="B6694" i="106"/>
  <c r="D6694" i="106"/>
  <c r="B6695" i="106"/>
  <c r="D6695" i="106" s="1"/>
  <c r="B6696" i="106"/>
  <c r="D6696" i="106"/>
  <c r="B6697" i="106"/>
  <c r="D6697" i="106" s="1"/>
  <c r="B6698" i="106"/>
  <c r="D6698" i="106" s="1"/>
  <c r="B6699" i="106"/>
  <c r="D6699" i="106" s="1"/>
  <c r="B6700" i="106"/>
  <c r="D6700" i="106" s="1"/>
  <c r="B6701" i="106"/>
  <c r="D6701" i="106" s="1"/>
  <c r="B6702" i="106"/>
  <c r="D6702" i="106"/>
  <c r="B6703" i="106"/>
  <c r="D6703" i="106" s="1"/>
  <c r="B6704" i="106"/>
  <c r="D6704" i="106"/>
  <c r="B6705" i="106"/>
  <c r="D6705" i="106" s="1"/>
  <c r="B6706" i="106"/>
  <c r="D6706" i="106" s="1"/>
  <c r="B6707" i="106"/>
  <c r="D6707" i="106" s="1"/>
  <c r="B6708" i="106"/>
  <c r="D6708" i="106" s="1"/>
  <c r="B6709" i="106"/>
  <c r="D6709" i="106" s="1"/>
  <c r="B6710" i="106"/>
  <c r="D6710" i="106"/>
  <c r="B6711" i="106"/>
  <c r="D6711" i="106" s="1"/>
  <c r="B6712" i="106"/>
  <c r="D6712" i="106"/>
  <c r="B6713" i="106"/>
  <c r="D6713" i="106" s="1"/>
  <c r="B6714" i="106"/>
  <c r="D6714" i="106" s="1"/>
  <c r="B6715" i="106"/>
  <c r="D6715" i="106" s="1"/>
  <c r="B6716" i="106"/>
  <c r="D6716" i="106" s="1"/>
  <c r="B6717" i="106"/>
  <c r="D6717" i="106" s="1"/>
  <c r="B6718" i="106"/>
  <c r="D6718" i="106"/>
  <c r="B6719" i="106"/>
  <c r="D6719" i="106" s="1"/>
  <c r="B6720" i="106"/>
  <c r="D6720" i="106"/>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c r="B6743" i="106"/>
  <c r="D6743" i="106" s="1"/>
  <c r="B6744" i="106"/>
  <c r="D6744" i="106" s="1"/>
  <c r="B6745" i="106"/>
  <c r="D6745" i="106" s="1"/>
  <c r="B6746" i="106"/>
  <c r="D6746" i="106" s="1"/>
  <c r="B6747" i="106"/>
  <c r="D6747" i="106" s="1"/>
  <c r="B6748" i="106"/>
  <c r="D6748" i="106"/>
  <c r="B6749" i="106"/>
  <c r="D6749" i="106" s="1"/>
  <c r="B6750" i="106"/>
  <c r="D6750" i="106"/>
  <c r="B6751" i="106"/>
  <c r="D6751" i="106" s="1"/>
  <c r="B6752" i="106"/>
  <c r="D6752" i="106" s="1"/>
  <c r="B6753" i="106"/>
  <c r="D6753" i="106" s="1"/>
  <c r="B6754" i="106"/>
  <c r="D6754" i="106" s="1"/>
  <c r="B6755" i="106"/>
  <c r="D6755" i="106" s="1"/>
  <c r="B6756" i="106"/>
  <c r="D6756" i="106"/>
  <c r="B6757" i="106"/>
  <c r="D6757" i="106" s="1"/>
  <c r="B6758" i="106"/>
  <c r="D6758" i="106"/>
  <c r="B6759" i="106"/>
  <c r="D6759" i="106" s="1"/>
  <c r="B6760" i="106"/>
  <c r="D6760" i="106" s="1"/>
  <c r="B6761" i="106"/>
  <c r="D6761" i="106" s="1"/>
  <c r="B6762" i="106"/>
  <c r="D6762" i="106" s="1"/>
  <c r="B6763" i="106"/>
  <c r="D6763" i="106" s="1"/>
  <c r="B6764" i="106"/>
  <c r="D6764" i="106"/>
  <c r="B6765" i="106"/>
  <c r="D6765" i="106" s="1"/>
  <c r="B6766" i="106"/>
  <c r="D6766" i="106"/>
  <c r="B6767" i="106"/>
  <c r="D6767" i="106" s="1"/>
  <c r="B6768" i="106"/>
  <c r="D6768" i="106" s="1"/>
  <c r="B6769" i="106"/>
  <c r="D6769" i="106" s="1"/>
  <c r="B6770" i="106"/>
  <c r="D6770" i="106" s="1"/>
  <c r="B6771" i="106"/>
  <c r="D6771" i="106" s="1"/>
  <c r="B6772" i="106"/>
  <c r="D6772" i="106"/>
  <c r="B6773" i="106"/>
  <c r="D6773" i="106" s="1"/>
  <c r="B6774" i="106"/>
  <c r="D6774" i="106"/>
  <c r="B6775" i="106"/>
  <c r="D6775" i="106" s="1"/>
  <c r="B6776" i="106"/>
  <c r="D6776" i="106" s="1"/>
  <c r="B6777" i="106"/>
  <c r="D6777" i="106" s="1"/>
  <c r="B6778" i="106"/>
  <c r="D6778" i="106" s="1"/>
  <c r="B6779" i="106"/>
  <c r="D6779" i="106" s="1"/>
  <c r="B6780" i="106"/>
  <c r="D6780" i="106"/>
  <c r="B6781" i="106"/>
  <c r="D6781" i="106" s="1"/>
  <c r="B6782" i="106"/>
  <c r="D6782" i="106"/>
  <c r="B6783" i="106"/>
  <c r="D6783" i="106" s="1"/>
  <c r="B6784" i="106"/>
  <c r="D6784" i="106" s="1"/>
  <c r="B6785" i="106"/>
  <c r="D6785" i="106" s="1"/>
  <c r="B6786" i="106"/>
  <c r="D6786" i="106" s="1"/>
  <c r="B6787" i="106"/>
  <c r="D6787" i="106" s="1"/>
  <c r="B6788" i="106"/>
  <c r="D6788" i="106"/>
  <c r="B6789" i="106"/>
  <c r="D6789" i="106" s="1"/>
  <c r="B6790" i="106"/>
  <c r="D6790" i="106"/>
  <c r="B6791" i="106"/>
  <c r="D6791" i="106" s="1"/>
  <c r="B6792" i="106"/>
  <c r="D6792" i="106" s="1"/>
  <c r="B6793" i="106"/>
  <c r="D6793" i="106" s="1"/>
  <c r="B6794" i="106"/>
  <c r="D6794" i="106" s="1"/>
  <c r="B6795" i="106"/>
  <c r="D6795" i="106" s="1"/>
  <c r="B6796" i="106"/>
  <c r="D6796" i="106"/>
  <c r="B6797" i="106"/>
  <c r="D6797" i="106" s="1"/>
  <c r="B6798" i="106"/>
  <c r="D6798" i="106"/>
  <c r="B6799" i="106"/>
  <c r="D6799" i="106" s="1"/>
  <c r="B6800" i="106"/>
  <c r="D6800" i="106" s="1"/>
  <c r="B6801" i="106"/>
  <c r="D6801" i="106" s="1"/>
  <c r="B6802" i="106"/>
  <c r="D6802" i="106" s="1"/>
  <c r="B6803" i="106"/>
  <c r="D6803" i="106" s="1"/>
  <c r="B6804" i="106"/>
  <c r="D6804" i="106"/>
  <c r="B6805" i="106"/>
  <c r="D6805" i="106" s="1"/>
  <c r="B6806" i="106"/>
  <c r="D6806" i="106"/>
  <c r="B6807" i="106"/>
  <c r="D6807" i="106" s="1"/>
  <c r="B6808" i="106"/>
  <c r="D6808" i="106" s="1"/>
  <c r="B6809" i="106"/>
  <c r="D6809" i="106" s="1"/>
  <c r="B6810" i="106"/>
  <c r="D6810" i="106" s="1"/>
  <c r="B6811" i="106"/>
  <c r="D6811" i="106" s="1"/>
  <c r="B6812" i="106"/>
  <c r="D6812" i="106"/>
  <c r="B6813" i="106"/>
  <c r="D6813" i="106" s="1"/>
  <c r="B6814" i="106"/>
  <c r="D6814" i="106"/>
  <c r="B6815" i="106"/>
  <c r="D6815" i="106" s="1"/>
  <c r="B6816" i="106"/>
  <c r="D6816" i="106" s="1"/>
  <c r="B6817" i="106"/>
  <c r="D6817" i="106" s="1"/>
  <c r="B6818" i="106"/>
  <c r="D6818" i="106" s="1"/>
  <c r="B6819" i="106"/>
  <c r="D6819" i="106" s="1"/>
  <c r="B6820" i="106"/>
  <c r="D6820" i="106"/>
  <c r="B6821" i="106"/>
  <c r="D6821" i="106" s="1"/>
  <c r="B6822" i="106"/>
  <c r="D6822" i="106"/>
  <c r="B6823" i="106"/>
  <c r="D6823" i="106" s="1"/>
  <c r="B6824" i="106"/>
  <c r="D6824" i="106" s="1"/>
  <c r="B6825" i="106"/>
  <c r="D6825" i="106" s="1"/>
  <c r="B6826" i="106"/>
  <c r="D6826" i="106" s="1"/>
  <c r="B6827" i="106"/>
  <c r="D6827" i="106" s="1"/>
  <c r="B6828" i="106"/>
  <c r="D6828" i="106"/>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6" i="108"/>
  <c r="F26" i="108"/>
  <c r="G26" i="108"/>
  <c r="D27" i="108"/>
  <c r="E27" i="108"/>
  <c r="G27" i="108"/>
  <c r="F31" i="108"/>
  <c r="F36" i="108"/>
  <c r="G28" i="108"/>
  <c r="E29" i="108"/>
  <c r="G29" i="108"/>
  <c r="E30" i="108"/>
  <c r="G30" i="108"/>
  <c r="D31" i="108"/>
  <c r="D36" i="108"/>
  <c r="E31" i="108"/>
  <c r="G31" i="108"/>
  <c r="E33" i="108"/>
  <c r="G33"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F66"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s="1"/>
  <c r="D5526" i="106" s="1"/>
  <c r="F108" i="5"/>
  <c r="B5587" i="106" s="1"/>
  <c r="D5587" i="106" s="1"/>
  <c r="G108" i="5"/>
  <c r="B5737" i="106" s="1"/>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c r="D6400" i="106" s="1"/>
  <c r="K178" i="5"/>
  <c r="B4951" i="106" s="1"/>
  <c r="D4951" i="106" s="1"/>
  <c r="C184" i="5"/>
  <c r="B5232" i="106"/>
  <c r="D5232" i="106" s="1"/>
  <c r="D184" i="5"/>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F131" i="34" s="1"/>
  <c r="G216" i="5"/>
  <c r="B4414" i="106" s="1"/>
  <c r="D4414" i="106" s="1"/>
  <c r="B5286" i="106"/>
  <c r="D5286" i="106" s="1"/>
  <c r="D224" i="5"/>
  <c r="B5470" i="106" s="1"/>
  <c r="D5470" i="106" s="1"/>
  <c r="F224" i="5"/>
  <c r="B5703" i="106" s="1"/>
  <c r="D5703" i="106" s="1"/>
  <c r="G224" i="5"/>
  <c r="B5829" i="106" s="1"/>
  <c r="D5829" i="106" s="1"/>
  <c r="B5304" i="106"/>
  <c r="D5304" i="106" s="1"/>
  <c r="D228" i="5"/>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D11" i="37"/>
  <c r="D22" i="37"/>
  <c r="J22" i="37"/>
  <c r="L22" i="37"/>
  <c r="D24" i="37"/>
  <c r="B4270" i="106" s="1"/>
  <c r="D4270" i="106" s="1"/>
  <c r="L5" i="11"/>
  <c r="B2056" i="106" s="1"/>
  <c r="D2056" i="106" s="1"/>
  <c r="D4" i="7"/>
  <c r="B1760" i="106" s="1"/>
  <c r="D1760" i="106" s="1"/>
  <c r="F130" i="34"/>
  <c r="B5752" i="106"/>
  <c r="D5752" i="106" s="1"/>
  <c r="B5599" i="106"/>
  <c r="D5599" i="106" s="1"/>
  <c r="K274" i="5"/>
  <c r="D7" i="7"/>
  <c r="B1763" i="106" s="1"/>
  <c r="D1763" i="106" s="1"/>
  <c r="B1746" i="106"/>
  <c r="D1746" i="106" s="1"/>
  <c r="D12" i="7"/>
  <c r="B1769" i="106" s="1"/>
  <c r="D1769" i="106" s="1"/>
  <c r="D15" i="7"/>
  <c r="B1772" i="106" s="1"/>
  <c r="D1772" i="106" s="1"/>
  <c r="N22" i="3" l="1"/>
  <c r="B283" i="106" s="1"/>
  <c r="D283" i="106" s="1"/>
  <c r="K350" i="29"/>
  <c r="B3670" i="106" s="1"/>
  <c r="D3670" i="106" s="1"/>
  <c r="G210" i="29"/>
  <c r="G15" i="145"/>
  <c r="G39" i="108"/>
  <c r="H33" i="118"/>
  <c r="D17" i="7"/>
  <c r="B4104" i="106" s="1"/>
  <c r="D4104" i="106" s="1"/>
  <c r="H342" i="29"/>
  <c r="F45" i="34"/>
  <c r="G34" i="108"/>
  <c r="D109" i="5"/>
  <c r="D13" i="7"/>
  <c r="B3726" i="106" s="1"/>
  <c r="D3726" i="106" s="1"/>
  <c r="D5" i="4"/>
  <c r="B3406" i="106" s="1"/>
  <c r="D3406" i="106" s="1"/>
  <c r="L367" i="29"/>
  <c r="F19" i="7"/>
  <c r="B1807" i="106" s="1"/>
  <c r="D1807" i="106" s="1"/>
  <c r="F71" i="34"/>
  <c r="F28" i="108"/>
  <c r="B7076" i="106"/>
  <c r="D7076" i="106" s="1"/>
  <c r="K352" i="29"/>
  <c r="K13" i="4" s="1"/>
  <c r="B3572" i="106" s="1"/>
  <c r="D3572" i="106" s="1"/>
  <c r="H365" i="29"/>
  <c r="B7242" i="106" s="1"/>
  <c r="D7242" i="106" s="1"/>
  <c r="H76" i="4"/>
  <c r="B3298" i="106" s="1"/>
  <c r="D3298" i="106" s="1"/>
  <c r="B2836" i="106"/>
  <c r="D2836" i="106" s="1"/>
  <c r="F21" i="8"/>
  <c r="B1126" i="106"/>
  <c r="D1126" i="106" s="1"/>
  <c r="F106" i="34"/>
  <c r="D9" i="7"/>
  <c r="B1767" i="106" s="1"/>
  <c r="D1767" i="106" s="1"/>
  <c r="I173" i="5"/>
  <c r="B4216" i="106" s="1"/>
  <c r="D4216" i="106" s="1"/>
  <c r="F128" i="34"/>
  <c r="D5" i="7"/>
  <c r="B1761" i="106" s="1"/>
  <c r="D1761" i="106" s="1"/>
  <c r="B4413" i="106"/>
  <c r="D4413" i="106" s="1"/>
  <c r="F49" i="34"/>
  <c r="F35" i="34"/>
  <c r="D37" i="108"/>
  <c r="F37" i="108"/>
  <c r="E28" i="108"/>
  <c r="D26" i="108"/>
  <c r="J77" i="4"/>
  <c r="B6262" i="106" s="1"/>
  <c r="D6262" i="106" s="1"/>
  <c r="G352" i="29"/>
  <c r="B3649" i="106" s="1"/>
  <c r="D3649" i="106" s="1"/>
  <c r="B6191" i="106"/>
  <c r="D6191" i="106" s="1"/>
  <c r="J41" i="3"/>
  <c r="D51" i="36" s="1"/>
  <c r="B1752" i="106"/>
  <c r="D1752" i="106" s="1"/>
  <c r="D11" i="7"/>
  <c r="B1768" i="106" s="1"/>
  <c r="D1768" i="106" s="1"/>
  <c r="B5886" i="106"/>
  <c r="D5886" i="106" s="1"/>
  <c r="H109" i="5"/>
  <c r="B5518" i="106"/>
  <c r="D5518" i="106" s="1"/>
  <c r="E109" i="5"/>
  <c r="E4" i="4" s="1"/>
  <c r="B2630" i="106" s="1"/>
  <c r="D2630" i="106" s="1"/>
  <c r="B4373" i="106"/>
  <c r="D4373" i="106" s="1"/>
  <c r="I274" i="5"/>
  <c r="B5730" i="106"/>
  <c r="D5730" i="106" s="1"/>
  <c r="G109" i="5"/>
  <c r="B5112" i="106"/>
  <c r="D5112" i="106" s="1"/>
  <c r="C109" i="5"/>
  <c r="B5121" i="106" s="1"/>
  <c r="D5121" i="106" s="1"/>
  <c r="H173" i="5"/>
  <c r="J274" i="5"/>
  <c r="B7054" i="106" s="1"/>
  <c r="D7054" i="106" s="1"/>
  <c r="B7041" i="106"/>
  <c r="D7041" i="106" s="1"/>
  <c r="B5488" i="106"/>
  <c r="D5488" i="106" s="1"/>
  <c r="F136" i="34"/>
  <c r="B5425" i="106"/>
  <c r="D5425" i="106" s="1"/>
  <c r="F127" i="34"/>
  <c r="B5178" i="106"/>
  <c r="D5178" i="106" s="1"/>
  <c r="C172" i="5"/>
  <c r="B5214" i="106" s="1"/>
  <c r="D5214" i="106" s="1"/>
  <c r="F111" i="34"/>
  <c r="B6858" i="106"/>
  <c r="D6858" i="106" s="1"/>
  <c r="F36" i="34"/>
  <c r="L342" i="29"/>
  <c r="C342" i="29"/>
  <c r="B7216" i="106" s="1"/>
  <c r="D7216" i="106" s="1"/>
  <c r="G5" i="4"/>
  <c r="B3409" i="106" s="1"/>
  <c r="D3409" i="106" s="1"/>
  <c r="K173" i="5"/>
  <c r="K6" i="4" s="1"/>
  <c r="B3570" i="106" s="1"/>
  <c r="D3570" i="106" s="1"/>
  <c r="G172" i="5"/>
  <c r="F172" i="5"/>
  <c r="B5644" i="106" s="1"/>
  <c r="D5644" i="106" s="1"/>
  <c r="L312" i="29"/>
  <c r="F77" i="4"/>
  <c r="B3255" i="106" s="1"/>
  <c r="D3255" i="106" s="1"/>
  <c r="B1223" i="106"/>
  <c r="D1223" i="106" s="1"/>
  <c r="K24" i="12"/>
  <c r="B3621" i="106"/>
  <c r="D3621" i="106" s="1"/>
  <c r="C367" i="29"/>
  <c r="K41" i="3"/>
  <c r="L15" i="11"/>
  <c r="B3459" i="106" s="1"/>
  <c r="D3459" i="106" s="1"/>
  <c r="L13" i="11"/>
  <c r="B2060" i="106" s="1"/>
  <c r="D2060" i="106" s="1"/>
  <c r="D6103" i="106"/>
  <c r="H367" i="29"/>
  <c r="B3660" i="106" s="1"/>
  <c r="D3660" i="106" s="1"/>
  <c r="K76" i="4"/>
  <c r="B3586" i="106" s="1"/>
  <c r="D3586" i="106" s="1"/>
  <c r="I24" i="12"/>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D274" i="5"/>
  <c r="B3447" i="106"/>
  <c r="D3447" i="106" s="1"/>
  <c r="B7270" i="106"/>
  <c r="B1365" i="106" l="1"/>
  <c r="D1365" i="106" s="1"/>
  <c r="F65" i="34"/>
  <c r="L114" i="29"/>
  <c r="C4" i="4"/>
  <c r="B2551" i="106" s="1"/>
  <c r="D2551" i="106" s="1"/>
  <c r="C114" i="29"/>
  <c r="B757" i="106" s="1"/>
  <c r="D757" i="106" s="1"/>
  <c r="D19" i="7"/>
  <c r="B1775" i="106" s="1"/>
  <c r="D1775" i="106" s="1"/>
  <c r="F173" i="5"/>
  <c r="G367" i="29"/>
  <c r="B3650" i="106" s="1"/>
  <c r="D3650" i="106" s="1"/>
  <c r="D7252" i="106"/>
  <c r="K77" i="4"/>
  <c r="B3587" i="106" s="1"/>
  <c r="D3587" i="106" s="1"/>
  <c r="D7256" i="106"/>
  <c r="D7251" i="106"/>
  <c r="D7255" i="106"/>
  <c r="D7253" i="106"/>
  <c r="B6014" i="106"/>
  <c r="D6014" i="106" s="1"/>
  <c r="B1879" i="106"/>
  <c r="D1879" i="106" s="1"/>
  <c r="H22" i="37"/>
  <c r="B5356" i="106"/>
  <c r="D5356" i="106" s="1"/>
  <c r="D4" i="4"/>
  <c r="B2564" i="106" s="1"/>
  <c r="D2564" i="106" s="1"/>
  <c r="B3568" i="106"/>
  <c r="D3568" i="106" s="1"/>
  <c r="D52" i="36"/>
  <c r="G173" i="5"/>
  <c r="B5770" i="106"/>
  <c r="D5770" i="106" s="1"/>
  <c r="B5906" i="106"/>
  <c r="D5906" i="106" s="1"/>
  <c r="H6" i="4"/>
  <c r="B2656" i="106" s="1"/>
  <c r="D2656" i="106" s="1"/>
  <c r="B6024" i="106"/>
  <c r="D6024" i="106" s="1"/>
  <c r="G4" i="4"/>
  <c r="B2603" i="106" s="1"/>
  <c r="D2603" i="106" s="1"/>
  <c r="B3628" i="106"/>
  <c r="D3628" i="106" s="1"/>
  <c r="B5527" i="106"/>
  <c r="D5527" i="106" s="1"/>
  <c r="F274" i="5"/>
  <c r="B1996" i="106"/>
  <c r="D1996" i="106" s="1"/>
  <c r="I26" i="12"/>
  <c r="B7741" i="106" s="1"/>
  <c r="D7741" i="106" s="1"/>
  <c r="B6025" i="106"/>
  <c r="D6025" i="106" s="1"/>
  <c r="H4" i="4"/>
  <c r="L16" i="11"/>
  <c r="B2061" i="106" s="1"/>
  <c r="D2061" i="106" s="1"/>
  <c r="K342" i="29"/>
  <c r="F13" i="34" s="1"/>
  <c r="B7733" i="106"/>
  <c r="D7733" i="106" s="1"/>
  <c r="K26" i="12"/>
  <c r="B7743" i="106" s="1"/>
  <c r="D7743"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B7224" i="106" l="1"/>
  <c r="D7224" i="106" s="1"/>
  <c r="J17" i="4"/>
  <c r="B6227" i="106" s="1"/>
  <c r="D6227" i="106" s="1"/>
  <c r="G41" i="108"/>
  <c r="G44" i="108" s="1"/>
  <c r="G45" i="108" s="1"/>
  <c r="F275" i="5"/>
  <c r="B5720" i="106" s="1"/>
  <c r="D5720" i="106" s="1"/>
  <c r="B5653" i="106"/>
  <c r="D5653" i="106" s="1"/>
  <c r="F6" i="4"/>
  <c r="B2593" i="106" s="1"/>
  <c r="D2593" i="106" s="1"/>
  <c r="F8" i="4"/>
  <c r="D8" i="146" s="1"/>
  <c r="E41" i="108"/>
  <c r="E44" i="108" s="1"/>
  <c r="E45" i="108" s="1"/>
  <c r="B5223" i="106"/>
  <c r="D5223" i="106" s="1"/>
  <c r="C6" i="4"/>
  <c r="B2553" i="106" s="1"/>
  <c r="D2553" i="106" s="1"/>
  <c r="B2655" i="106"/>
  <c r="D2655" i="106" s="1"/>
  <c r="H8" i="4"/>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J20" i="4" l="1"/>
  <c r="B6230" i="106" s="1"/>
  <c r="D6230" i="106" s="1"/>
  <c r="B2595" i="106"/>
  <c r="D2595" i="106" s="1"/>
  <c r="F10" i="4"/>
  <c r="B4125" i="106" s="1"/>
  <c r="D4125" i="10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<sst xmlns="http://schemas.openxmlformats.org/spreadsheetml/2006/main" count="5038" uniqueCount="2110">
  <si>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</si>
  <si>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</si>
  <si>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</si>
  <si>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</si>
  <si>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</si>
  <si>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</si>
  <si>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</si>
  <si>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</si>
  <si>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</si>
  <si>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</si>
  <si>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</si>
  <si>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</si>
  <si>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</si>
  <si>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</si>
  <si>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</si>
  <si>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</si>
  <si>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</si>
  <si>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</si>
  <si>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</si>
  <si>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</si>
  <si>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</si>
  <si>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</si>
  <si>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</si>
  <si>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</si>
  <si>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</si>
  <si>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</si>
  <si>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</si>
  <si>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</si>
  <si>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</si>
  <si>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</si>
  <si>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</si>
  <si>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</si>
  <si>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</si>
  <si>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</si>
  <si>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</si>
  <si>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</si>
  <si>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</si>
  <si>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</si>
  <si>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</si>
  <si>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</si>
  <si>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</si>
  <si>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</si>
  <si>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</si>
  <si>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</si>
  <si>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</si>
  <si>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</si>
  <si>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</si>
  <si>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</si>
  <si>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</si>
  <si>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</si>
  <si>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</si>
  <si>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</si>
  <si>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</si>
  <si>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</si>
  <si>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</si>
  <si>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</si>
  <si>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</si>
  <si>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</si>
  <si>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</si>
  <si>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</si>
  <si>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</si>
  <si>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</si>
  <si>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</si>
  <si>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</si>
  <si>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</si>
  <si>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</si>
  <si>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</si>
  <si>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</si>
  <si>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</si>
  <si>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</si>
  <si>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</si>
  <si>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</si>
  <si>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</si>
  <si>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</si>
  <si>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</si>
  <si>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</si>
  <si>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</si>
  <si>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</si>
  <si>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</si>
  <si>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</si>
  <si>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</si>
  <si>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</si>
  <si>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</si>
  <si>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</si>
  <si>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</si>
  <si>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</si>
  <si>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</si>
  <si>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</si>
  <si>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</si>
  <si>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</si>
  <si>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</si>
  <si>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</si>
  <si>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</si>
  <si>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</si>
  <si>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</si>
  <si>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</si>
  <si>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</si>
  <si>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</si>
  <si>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</si>
  <si>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</si>
  <si>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</si>
  <si>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</si>
  <si>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</si>
  <si>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</si>
  <si>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</si>
  <si>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</si>
  <si>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</si>
  <si>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</si>
  <si>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</si>
  <si>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</si>
  <si>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</si>
  <si>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</si>
  <si>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</si>
  <si>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</si>
  <si>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</si>
  <si>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</si>
  <si>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</si>
  <si>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</si>
  <si>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</si>
  <si>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</si>
  <si>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</si>
  <si>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</si>
  <si>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</si>
  <si>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</si>
  <si>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</si>
  <si>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</si>
  <si>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</si>
  <si>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</si>
  <si>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</si>
  <si>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</si>
  <si>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</si>
  <si>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</si>
  <si>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</si>
  <si>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</si>
  <si>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</si>
  <si>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</si>
  <si>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</si>
  <si>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</si>
  <si>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</si>
  <si>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</si>
  <si>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</si>
  <si>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</si>
  <si>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</si>
  <si>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</si>
  <si>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</si>
  <si>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</si>
  <si>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</si>
  <si>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</si>
  <si>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</si>
  <si>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</si>
  <si>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</si>
  <si>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</si>
  <si>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</si>
  <si>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</si>
  <si>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</si>
  <si>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</si>
  <si>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</si>
  <si>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</si>
  <si>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</si>
  <si>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</si>
  <si>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</si>
  <si>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</si>
  <si>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</si>
  <si>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</si>
  <si>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</si>
  <si>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</si>
  <si>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</si>
  <si>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</si>
  <si>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</si>
  <si>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</si>
  <si>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</si>
  <si>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</si>
  <si>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</si>
  <si>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</si>
  <si>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</si>
  <si>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</si>
  <si>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</si>
  <si>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</si>
  <si>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</si>
  <si>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</si>
  <si>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</si>
  <si>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</si>
  <si>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</si>
  <si>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</si>
  <si>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</si>
  <si>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</si>
  <si>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</si>
  <si>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</si>
  <si>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</si>
  <si>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</si>
  <si>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</si>
  <si>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</si>
  <si>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</si>
  <si>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</si>
  <si>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</si>
  <si>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</si>
  <si>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</si>
  <si>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</si>
  <si>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</si>
  <si>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</si>
  <si>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</si>
  <si>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</si>
  <si>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</si>
  <si>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</si>
  <si>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</si>
  <si>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</si>
  <si>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</si>
  <si>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</si>
  <si>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</si>
  <si>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</si>
  <si>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</si>
  <si>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</si>
  <si>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</si>
  <si>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</si>
  <si>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</si>
  <si>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</si>
  <si>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</si>
  <si>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</si>
  <si>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</si>
  <si>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</si>
  <si>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</si>
  <si>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</si>
  <si>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</si>
  <si>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</si>
  <si>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</si>
  <si>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</si>
  <si>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</si>
  <si>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</si>
  <si>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</si>
  <si>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</si>
  <si>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</si>
  <si>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</si>
  <si>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</si>
  <si>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</si>
  <si>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</si>
  <si>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</si>
  <si>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</si>
  <si>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</si>
  <si>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</si>
  <si>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</si>
  <si>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</si>
  <si>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</si>
  <si>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</si>
  <si>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</si>
  <si>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</si>
  <si>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</si>
  <si>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</si>
  <si>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</si>
  <si>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</si>
  <si>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</si>
  <si>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</si>
  <si>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</si>
  <si>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</si>
  <si>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</si>
  <si>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</si>
  <si>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</si>
  <si>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</si>
  <si>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</si>
  <si>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</si>
  <si>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</si>
  <si>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</si>
  <si>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</si>
  <si>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</si>
  <si>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</si>
  <si>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</si>
  <si>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</si>
  <si>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</si>
  <si>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</si>
  <si>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</si>
  <si>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</si>
  <si>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</si>
  <si>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</si>
  <si>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</si>
  <si>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</si>
  <si>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</si>
  <si>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</si>
  <si>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</si>
  <si>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</si>
  <si>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</si>
  <si>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</si>
  <si>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</si>
  <si>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</si>
  <si>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</si>
  <si>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</si>
  <si>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</si>
  <si>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</si>
  <si>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</si>
  <si>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</si>
  <si>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</si>
  <si>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</si>
  <si>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</si>
  <si>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</si>
  <si>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</si>
  <si>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</si>
  <si>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</si>
  <si>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</si>
  <si>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</si>
  <si>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</si>
  <si>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</si>
  <si>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</si>
  <si>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</si>
  <si>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</si>
  <si>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</si>
  <si>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</si>
  <si>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</si>
  <si>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</si>
  <si>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</si>
  <si>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</si>
  <si>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</si>
  <si>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</si>
  <si>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</si>
  <si>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</si>
  <si>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</si>
  <si>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</si>
  <si>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</si>
  <si>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</si>
  <si>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</si>
  <si>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</si>
  <si>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</si>
  <si>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</si>
  <si>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</si>
  <si>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</si>
  <si>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</si>
  <si>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</si>
  <si>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</si>
  <si>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</si>
  <si>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</si>
  <si>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</si>
  <si>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</si>
  <si>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</si>
  <si>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</si>
  <si>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</si>
  <si>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</si>
  <si>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</si>
  <si>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</si>
  <si>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</si>
  <si>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</si>
  <si>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</si>
  <si>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</si>
  <si>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</si>
  <si>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</si>
  <si>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</si>
  <si>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</si>
  <si>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</si>
  <si>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</si>
  <si>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</si>
  <si>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</si>
  <si>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</si>
  <si>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</si>
  <si>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</si>
  <si>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</si>
  <si>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</si>
  <si>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</si>
  <si>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</si>
  <si>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</si>
  <si>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</si>
  <si>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</si>
  <si>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</si>
  <si>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</si>
  <si>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</si>
  <si>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</si>
  <si>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</si>
  <si>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</si>
  <si>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</si>
  <si>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</si>
  <si>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</si>
  <si>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</si>
  <si>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</si>
  <si>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</si>
  <si>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</si>
  <si>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</si>
  <si>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</si>
  <si>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</si>
  <si>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</si>
  <si>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</si>
  <si>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</si>
  <si>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</si>
  <si>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</si>
  <si>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</si>
  <si>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</si>
  <si>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</si>
  <si>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</si>
  <si>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</si>
  <si>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</si>
  <si>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</si>
  <si>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</si>
  <si>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</si>
  <si>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</si>
  <si>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</si>
  <si>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</si>
  <si>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</si>
  <si>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</si>
  <si>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</si>
  <si>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</si>
  <si>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</si>
  <si>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</si>
  <si>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</si>
  <si>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</si>
  <si>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</si>
  <si>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</si>
  <si>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</si>
  <si>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</si>
  <si>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</si>
  <si>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</si>
  <si>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</si>
  <si>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</si>
  <si>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</si>
  <si>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</si>
  <si>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</si>
  <si>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</si>
  <si>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</si>
  <si>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</si>
  <si>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</si>
  <si>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</si>
  <si>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</si>
  <si>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</si>
  <si>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</si>
  <si>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</si>
  <si>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</si>
  <si>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</si>
  <si>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</si>
  <si>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</si>
  <si>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</si>
  <si>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</si>
  <si>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</si>
  <si>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</si>
  <si>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</si>
  <si>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</si>
  <si>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</si>
  <si>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</si>
  <si>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</si>
  <si>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</si>
  <si>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</si>
  <si>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</si>
  <si>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</si>
  <si>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</si>
  <si>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</si>
  <si>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</si>
  <si>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</si>
  <si>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</si>
  <si>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</si>
  <si>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</si>
  <si>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</si>
  <si>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</si>
  <si>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</si>
  <si>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</si>
  <si>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</si>
  <si>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</si>
  <si>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</si>
  <si>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</si>
  <si>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</si>
  <si>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</si>
  <si>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</si>
  <si>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</si>
  <si>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</si>
  <si>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</si>
  <si>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</si>
  <si>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</si>
  <si>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</si>
  <si>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</si>
  <si>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</si>
  <si>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</si>
  <si>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</si>
  <si>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</si>
  <si>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</si>
  <si>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</si>
  <si>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</si>
  <si>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</si>
  <si>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</si>
  <si>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</si>
  <si>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</si>
  <si>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</si>
  <si>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</si>
  <si>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</si>
  <si>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</si>
  <si>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</si>
  <si>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</si>
  <si>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</si>
  <si>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</si>
  <si>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</si>
  <si>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</si>
  <si>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</si>
  <si>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</si>
  <si>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</si>
  <si>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</si>
  <si>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</si>
  <si>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</si>
  <si>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</si>
  <si>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</si>
  <si>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</si>
  <si>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</si>
  <si>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</si>
  <si>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</si>
  <si>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</si>
  <si>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</si>
  <si>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</si>
  <si>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</si>
  <si>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</si>
  <si>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</si>
  <si>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</si>
  <si>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</si>
  <si>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</si>
  <si>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</si>
  <si>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</si>
  <si>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</si>
  <si>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</si>
  <si>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</si>
  <si>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</si>
  <si>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</si>
  <si>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</si>
  <si>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</si>
  <si>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</si>
  <si>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</si>
  <si>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</si>
  <si>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</si>
  <si>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</si>
  <si>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</si>
  <si>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</si>
  <si>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</si>
  <si>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</si>
  <si>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</si>
  <si>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</si>
  <si>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</si>
  <si>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</si>
  <si>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</si>
  <si>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</si>
  <si>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</si>
  <si>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</si>
  <si>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</si>
  <si>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</si>
  <si>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</si>
  <si>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</si>
  <si>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</si>
  <si>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</si>
  <si>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</si>
  <si>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</si>
  <si>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</si>
  <si>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</si>
  <si>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</si>
  <si>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</si>
  <si>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</si>
  <si>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</si>
  <si>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</si>
  <si>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</si>
  <si>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</si>
  <si>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</si>
  <si>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</si>
  <si>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</si>
  <si>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</si>
  <si>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</si>
  <si>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</si>
  <si>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</si>
  <si>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</si>
  <si>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</si>
  <si>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</si>
  <si>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</si>
  <si>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</si>
  <si>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</si>
  <si>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</si>
  <si>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</si>
  <si>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</si>
  <si>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</si>
  <si>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</si>
  <si>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</si>
  <si>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</si>
  <si>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</si>
  <si>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</si>
  <si>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</si>
  <si>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</si>
  <si>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</si>
  <si>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</si>
  <si>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</si>
  <si>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</si>
  <si>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</si>
  <si>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</si>
  <si>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</si>
  <si>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</si>
  <si>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</si>
  <si>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</si>
  <si>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</si>
  <si>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</si>
  <si>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</si>
  <si>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</si>
  <si>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</si>
  <si>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</si>
  <si>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</si>
  <si>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</si>
  <si>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</si>
  <si>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</si>
  <si>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</si>
  <si>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</si>
  <si>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</si>
  <si>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</si>
  <si>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</si>
  <si>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</si>
  <si>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</si>
  <si>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</si>
  <si>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</si>
  <si>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</si>
  <si>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</si>
  <si>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</si>
  <si>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</si>
  <si>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</si>
  <si>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</si>
  <si>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</si>
  <si>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</si>
  <si>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</si>
  <si>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</si>
  <si>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</si>
  <si>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</si>
  <si>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</si>
  <si>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</si>
  <si>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</si>
  <si>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</si>
  <si>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</si>
  <si>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</si>
  <si>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</si>
  <si>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</si>
  <si>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</si>
  <si>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</si>
  <si>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</si>
  <si>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</si>
  <si>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</si>
  <si>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</si>
  <si>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</si>
  <si>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</si>
  <si>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</si>
  <si>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</si>
  <si>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</si>
  <si>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</si>
  <si>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</si>
  <si>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</si>
  <si>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</si>
  <si>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</si>
  <si>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</si>
  <si>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</si>
  <si>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</si>
  <si>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</si>
  <si>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</si>
  <si>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</si>
  <si>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</si>
  <si>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</si>
  <si>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</si>
  <si>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</si>
  <si>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</si>
  <si>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</si>
  <si>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</si>
  <si>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</si>
  <si>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</si>
  <si>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</si>
  <si>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</si>
  <si>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</si>
  <si>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</si>
  <si>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</si>
  <si>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</si>
  <si>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</si>
  <si>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</si>
  <si>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</si>
  <si>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</si>
  <si>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</si>
  <si>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</si>
  <si>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</si>
  <si>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</si>
  <si>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</si>
  <si>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</si>
  <si>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</si>
  <si>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</si>
  <si>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</si>
  <si>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</si>
  <si>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</si>
  <si>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</si>
  <si>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</si>
  <si>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</si>
  <si>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</si>
  <si>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</si>
  <si>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</si>
  <si>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</si>
  <si>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</si>
  <si>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</si>
  <si>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</si>
  <si>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</si>
  <si>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</si>
  <si>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</si>
  <si>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</si>
  <si>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</si>
  <si>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</si>
  <si>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</si>
  <si>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</si>
  <si>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</si>
  <si>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</si>
  <si>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</si>
  <si>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</si>
  <si>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</si>
  <si>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</si>
  <si>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</si>
  <si>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</si>
  <si>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</si>
  <si>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</si>
  <si>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</si>
  <si>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</si>
  <si>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</si>
  <si>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</si>
  <si>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</si>
  <si>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</si>
  <si>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</si>
  <si>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</si>
  <si>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</si>
  <si>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</si>
  <si>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</si>
  <si>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</si>
  <si>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</si>
  <si>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</si>
  <si>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</si>
  <si>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</si>
  <si>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</si>
  <si>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</si>
  <si>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</si>
  <si>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</si>
  <si>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</si>
  <si>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</si>
  <si>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</si>
  <si>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</si>
  <si>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</si>
  <si>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</si>
  <si>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</si>
  <si>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</si>
  <si>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</si>
  <si>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</si>
  <si>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</si>
  <si>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</si>
  <si>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</si>
  <si>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</si>
  <si>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</si>
  <si>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</si>
  <si>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</si>
  <si>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</si>
  <si>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</si>
  <si>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</si>
  <si>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</si>
  <si>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</si>
  <si>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</si>
  <si>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</si>
  <si>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</si>
  <si>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</si>
  <si>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</si>
  <si>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</si>
  <si>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</si>
  <si>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</si>
  <si>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</si>
  <si>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</si>
  <si>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</si>
  <si>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</si>
  <si>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</si>
  <si>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</si>
  <si>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</si>
  <si>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</si>
  <si>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</si>
  <si>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</si>
  <si>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</si>
  <si>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</si>
  <si>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</si>
  <si>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</si>
  <si>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</si>
  <si>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</si>
  <si>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</si>
  <si>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</si>
  <si>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</si>
  <si>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</si>
  <si>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</si>
  <si>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</si>
  <si>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</si>
  <si>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</si>
  <si>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</si>
  <si>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</si>
  <si>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</si>
  <si>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</si>
  <si>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</si>
  <si>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</si>
  <si>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</si>
  <si>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</si>
  <si>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</si>
  <si>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</si>
  <si>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</si>
  <si>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</si>
  <si>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</si>
  <si>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</si>
  <si>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</si>
  <si>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</si>
  <si>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</si>
  <si>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</si>
  <si>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</si>
  <si>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</si>
  <si>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</si>
  <si>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</si>
  <si>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</si>
  <si>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</si>
  <si>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</si>
  <si>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</si>
  <si>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</si>
  <si>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</si>
  <si>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</si>
  <si>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</si>
  <si>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</si>
  <si>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</si>
  <si>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</si>
  <si>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</si>
  <si>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</si>
  <si>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</si>
  <si>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</si>
  <si>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</si>
  <si>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</si>
  <si>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</si>
  <si>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</si>
  <si>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</si>
  <si>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</si>
  <si>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</si>
  <si>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</si>
  <si>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</si>
  <si>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</si>
  <si>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</si>
  <si>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</si>
  <si>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</si>
  <si>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</si>
  <si>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</si>
  <si>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</si>
  <si>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</si>
  <si>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</si>
  <si>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</si>
  <si>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</si>
  <si>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</si>
  <si>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</si>
  <si>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</si>
  <si>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</si>
  <si>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</si>
  <si>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</si>
  <si>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</si>
  <si>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</si>
  <si>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</si>
  <si>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</si>
  <si>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</si>
  <si>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</si>
  <si>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</si>
  <si>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</si>
  <si>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</si>
  <si>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</si>
  <si>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</si>
  <si>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</si>
  <si>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</si>
  <si>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</si>
  <si>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</si>
  <si>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</si>
  <si>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</si>
  <si>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</si>
  <si>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</si>
  <si>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</si>
  <si>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</si>
  <si>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</si>
  <si>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</si>
  <si>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</si>
  <si>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</si>
  <si>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</si>
  <si>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</si>
  <si>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</si>
  <si>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</si>
  <si>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</si>
  <si>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</si>
  <si>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</si>
  <si>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</si>
  <si>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</si>
  <si>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</si>
  <si>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</si>
  <si>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</si>
  <si>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</si>
  <si>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</si>
  <si>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</si>
  <si>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</si>
  <si>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</si>
  <si>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</si>
  <si>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</si>
  <si>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</si>
  <si>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</si>
  <si>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</si>
  <si>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</si>
  <si>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</si>
  <si>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</si>
  <si>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</si>
  <si>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</si>
  <si>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</si>
  <si>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</si>
  <si>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</si>
  <si>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</si>
  <si>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</si>
  <si>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</si>
  <si>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</si>
  <si>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</si>
  <si>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</si>
  <si>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</si>
  <si>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</si>
  <si>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</si>
  <si>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</si>
  <si>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</si>
  <si>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</si>
  <si>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</si>
  <si>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</si>
  <si>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</si>
  <si>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</si>
  <si>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</si>
  <si>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</si>
  <si>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</si>
  <si>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</si>
  <si>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</si>
  <si>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</si>
  <si>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</si>
  <si>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</si>
  <si>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</si>
  <si>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</si>
  <si>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</si>
  <si>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</si>
  <si>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</si>
  <si>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</si>
  <si>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</si>
  <si>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</si>
  <si>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</si>
  <si>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</si>
  <si>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</si>
  <si>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</si>
  <si>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</si>
  <si>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</si>
  <si>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</si>
  <si>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</si>
  <si>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</si>
  <si>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</si>
  <si>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</si>
  <si>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</si>
  <si>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</si>
  <si>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</si>
  <si>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</si>
  <si>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</si>
  <si>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</si>
  <si>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</si>
  <si>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</si>
  <si>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</si>
  <si>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</si>
  <si>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</si>
  <si>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</si>
  <si>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</si>
  <si>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</si>
  <si>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</si>
  <si>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</si>
  <si>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</si>
  <si>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</si>
  <si>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</si>
  <si>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</si>
  <si>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</si>
  <si>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</si>
  <si>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</si>
  <si>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</si>
  <si>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</si>
  <si>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</si>
  <si>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</si>
  <si>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</si>
  <si>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</si>
  <si>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</si>
  <si>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</si>
  <si>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</si>
  <si>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</si>
  <si>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</si>
  <si>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</si>
  <si>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</si>
  <si>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</si>
  <si>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</si>
  <si>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</si>
  <si>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</si>
  <si>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</si>
  <si>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</si>
  <si>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</si>
  <si>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</si>
  <si>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</si>
  <si>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</si>
  <si>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</si>
  <si>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</si>
  <si>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</si>
  <si>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</si>
  <si>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</si>
  <si>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</si>
  <si>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</si>
  <si>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</si>
  <si>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</si>
  <si>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</si>
  <si>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</si>
  <si>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</si>
  <si>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</si>
  <si>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</si>
  <si>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</si>
  <si>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</si>
  <si>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</si>
  <si>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</si>
  <si>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</si>
  <si>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</si>
  <si>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</si>
  <si>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</si>
  <si>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</si>
  <si>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</si>
  <si>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</si>
  <si>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</si>
  <si>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</si>
  <si>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</si>
  <si>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</si>
  <si>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</si>
  <si>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</si>
  <si>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</si>
  <si>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</si>
  <si>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</si>
  <si>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</si>
  <si>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</si>
  <si>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</si>
  <si>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</si>
  <si>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</si>
  <si>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</si>
  <si>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</si>
  <si>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</si>
  <si>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</si>
  <si>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</si>
  <si>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</si>
  <si>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</si>
  <si>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</si>
  <si>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</si>
  <si>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</si>
  <si>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</si>
  <si>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</si>
  <si>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</si>
  <si>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</si>
  <si>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</si>
  <si>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</si>
  <si>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</si>
  <si>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</si>
  <si>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</si>
  <si>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</si>
  <si>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</si>
  <si>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</si>
  <si>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</si>
  <si>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</si>
  <si>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</si>
  <si>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</si>
  <si>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</si>
  <si>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</si>
  <si>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</si>
  <si>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</si>
  <si>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</si>
  <si>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</si>
  <si>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</si>
  <si>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</si>
  <si>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</si>
  <si>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</si>
  <si>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</si>
  <si>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</si>
  <si>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</si>
  <si>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</si>
  <si>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</si>
  <si>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</si>
  <si>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</si>
  <si>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</si>
  <si>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</si>
  <si>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</si>
  <si>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</si>
  <si>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</si>
  <si>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</si>
  <si>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</si>
  <si>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</si>
  <si>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</si>
  <si>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</si>
  <si>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</si>
  <si>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</si>
  <si>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</si>
  <si>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</si>
  <si>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</si>
  <si>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</si>
  <si>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</si>
  <si>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</si>
  <si>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</si>
  <si>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</si>
  <si>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</si>
  <si>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</si>
  <si>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</si>
  <si>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</si>
  <si>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</si>
  <si>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</si>
  <si>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</si>
  <si>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</si>
  <si>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</si>
  <si>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</si>
  <si>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</si>
  <si>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</si>
  <si>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</si>
  <si>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</si>
  <si>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</si>
  <si>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</si>
  <si>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</si>
  <si>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</si>
  <si>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</si>
  <si>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</si>
  <si>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</si>
  <si>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</si>
  <si>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</si>
  <si>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</si>
  <si>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</si>
  <si>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</si>
  <si>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</si>
  <si>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</si>
  <si>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</si>
  <si>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</si>
  <si>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</si>
  <si>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</si>
  <si>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</si>
  <si>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</si>
  <si>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</si>
  <si>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</si>
  <si>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</si>
  <si>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</si>
  <si>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</si>
  <si>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</si>
  <si>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</si>
  <si>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</si>
  <si>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</si>
  <si>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</si>
  <si>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</si>
  <si>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</si>
  <si>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</si>
  <si>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</si>
  <si>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</si>
  <si>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</si>
  <si>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</si>
  <si>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</si>
  <si>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</si>
  <si>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</si>
  <si>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</si>
  <si>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</si>
  <si>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</si>
  <si>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</si>
  <si>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</si>
  <si>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</si>
  <si>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</si>
  <si>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</si>
  <si>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</si>
  <si>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</si>
  <si>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</si>
  <si>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</si>
  <si>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</si>
  <si>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</si>
  <si>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</si>
  <si>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</si>
  <si>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</si>
  <si>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</si>
  <si>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</si>
  <si>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</si>
  <si>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</si>
  <si>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</si>
  <si>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</si>
  <si>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</si>
  <si>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</si>
  <si>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</si>
  <si>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</si>
  <si>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</si>
  <si>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</si>
  <si>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</si>
  <si>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</si>
  <si>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</si>
  <si>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</si>
  <si>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</si>
  <si>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</si>
  <si>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</si>
  <si>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</si>
  <si>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</si>
  <si>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</si>
  <si>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</si>
  <si>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</si>
  <si>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</si>
  <si>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</si>
  <si>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</si>
  <si>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</si>
  <si>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</si>
  <si>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</si>
  <si>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</si>
  <si>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</si>
  <si>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</si>
  <si>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</si>
  <si>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</si>
  <si>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</si>
  <si>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</si>
  <si>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</si>
  <si>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</si>
  <si>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</si>
  <si>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</si>
  <si>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</si>
  <si>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</si>
  <si>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</si>
  <si>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</si>
  <si>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</si>
  <si>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</si>
  <si>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</si>
  <si>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</si>
  <si>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</si>
  <si>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</si>
  <si>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</si>
  <si>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</si>
  <si>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</si>
  <si>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</si>
  <si>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</si>
  <si>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</si>
  <si>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</si>
  <si>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</si>
  <si>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</si>
  <si>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</si>
  <si>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</si>
  <si>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</si>
  <si>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</si>
  <si>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</si>
  <si>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</si>
  <si>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</si>
  <si>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</si>
  <si>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</si>
  <si>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</si>
  <si>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</si>
  <si>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</si>
  <si>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</si>
  <si>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</si>
  <si>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</si>
  <si>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</si>
  <si>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</si>
  <si>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</si>
  <si>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</si>
  <si>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</si>
  <si>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</si>
  <si>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</si>
  <si>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</si>
  <si>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</si>
  <si>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</si>
  <si>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</si>
  <si>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</si>
  <si>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</si>
  <si>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</si>
  <si>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</si>
  <si>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</si>
  <si>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</si>
  <si>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</si>
  <si>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</si>
  <si>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</si>
  <si>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</si>
  <si>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</si>
  <si>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</si>
  <si>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</si>
  <si>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</si>
  <si>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</si>
  <si>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</si>
  <si>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</si>
  <si>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</si>
  <si>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</si>
  <si>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</si>
  <si>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</si>
  <si>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</si>
  <si>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</si>
  <si>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</si>
  <si>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</si>
  <si>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</si>
  <si>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</si>
  <si>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</si>
  <si>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</si>
  <si>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</si>
  <si>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</si>
  <si>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</si>
  <si>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</si>
  <si>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</si>
  <si>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</si>
  <si>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</si>
  <si>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</si>
  <si>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</si>
  <si>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</si>
  <si>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</si>
  <si>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</si>
  <si>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</si>
  <si>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</si>
  <si>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</si>
  <si>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</si>
  <si>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</si>
  <si>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</si>
  <si>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</si>
  <si>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</si>
  <si>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</si>
  <si>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</si>
  <si>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</si>
  <si>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</si>
  <si>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</si>
  <si>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</si>
  <si>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</si>
  <si>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</si>
  <si>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</si>
  <si>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</si>
  <si>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</si>
  <si>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</si>
  <si>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</si>
  <si>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</si>
  <si>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</si>
  <si>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</si>
  <si>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</si>
  <si>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</si>
  <si>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</si>
  <si>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</si>
  <si>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</si>
  <si>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</si>
  <si>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</si>
  <si>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</si>
  <si>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</si>
  <si>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</si>
  <si>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</si>
  <si>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</si>
  <si>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</si>
  <si>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</si>
  <si>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</si>
  <si>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</si>
  <si>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</si>
  <si>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</si>
  <si>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</si>
  <si>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</si>
  <si>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</si>
  <si>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</si>
  <si>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</si>
  <si>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</si>
  <si>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</si>
  <si>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</si>
  <si>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</si>
  <si>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</si>
  <si>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</si>
  <si>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</si>
  <si>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</si>
  <si>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</si>
  <si>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</si>
  <si>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</si>
  <si>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</si>
  <si>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</si>
  <si>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</si>
  <si>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</si>
  <si>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</si>
  <si>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</si>
  <si>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</si>
  <si>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</si>
  <si>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</si>
  <si>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</si>
  <si>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</si>
  <si>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</si>
  <si>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</si>
  <si>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</si>
  <si>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</si>
  <si>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</si>
  <si>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</si>
  <si>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</si>
  <si>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</si>
  <si>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</si>
  <si>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</si>
  <si>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</si>
  <si>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</si>
  <si>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</si>
  <si>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</si>
  <si>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</si>
  <si>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</si>
  <si>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</si>
  <si>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</si>
  <si>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</si>
  <si>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</si>
  <si>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</si>
  <si>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</si>
  <si>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</si>
  <si>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</si>
  <si>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</si>
  <si>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</si>
  <si>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</si>
  <si>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</si>
  <si>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</si>
  <si>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</si>
  <si>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</si>
  <si>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</si>
  <si>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</si>
  <si>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</si>
  <si>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</si>
  <si>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</si>
  <si>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</si>
  <si>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</si>
  <si>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</si>
  <si>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</si>
  <si>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</si>
  <si>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</si>
  <si>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</si>
  <si>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</si>
  <si>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</si>
  <si>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</si>
  <si>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</si>
  <si>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</si>
  <si>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</si>
  <si>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</si>
  <si>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</si>
  <si>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</si>
  <si>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</si>
  <si>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</si>
  <si>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</si>
  <si>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</si>
  <si>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</si>
  <si>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</si>
  <si>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</si>
  <si>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</si>
  <si>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</si>
  <si>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</si>
  <si>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</si>
  <si>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</si>
  <si>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</si>
  <si>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</si>
  <si>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</si>
  <si>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</si>
  <si>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</si>
  <si>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</si>
  <si>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</si>
  <si>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</si>
  <si>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</si>
  <si>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</si>
  <si>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</si>
  <si>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</si>
  <si>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</si>
  <si>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</si>
  <si>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</si>
  <si>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</si>
  <si>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</si>
  <si>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</si>
  <si>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</si>
  <si>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</si>
  <si>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</si>
  <si>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</si>
  <si>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</si>
  <si>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</si>
  <si>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</si>
  <si>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</si>
  <si>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</si>
  <si>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</si>
  <si>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</si>
  <si>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</si>
  <si>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</si>
  <si>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</si>
  <si>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</si>
  <si>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</si>
  <si>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</si>
  <si>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</si>
  <si>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</si>
  <si>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</si>
  <si>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</si>
  <si>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</si>
  <si>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</si>
  <si>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</si>
  <si>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</si>
  <si>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</si>
  <si>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</si>
  <si>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</si>
  <si>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</si>
  <si>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</si>
  <si>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</si>
  <si>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</si>
  <si>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</si>
  <si>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</si>
  <si>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</si>
  <si>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</si>
  <si>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</si>
  <si>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</si>
  <si>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</si>
  <si>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</si>
  <si>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</si>
  <si>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</si>
  <si>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</si>
  <si>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</si>
  <si>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</si>
  <si>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</si>
  <si>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</si>
  <si>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</si>
  <si>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</si>
  <si>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</si>
  <si>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</si>
  <si>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</si>
  <si>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</si>
  <si>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</si>
  <si>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</si>
  <si>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</si>
  <si>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</si>
  <si>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</si>
  <si>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</si>
  <si>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</si>
  <si>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</si>
  <si>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</si>
  <si>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</si>
  <si>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</si>
  <si>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</si>
  <si>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</si>
  <si>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</si>
  <si>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</si>
  <si>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</si>
  <si>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</si>
  <si>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</si>
  <si>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</si>
  <si>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</si>
  <si>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</si>
  <si>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</si>
  <si>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</si>
  <si>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</si>
  <si>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</si>
  <si>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</si>
  <si>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</si>
  <si>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</si>
  <si>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</si>
  <si>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</si>
  <si>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</si>
  <si>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</si>
  <si>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</si>
  <si>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</si>
  <si>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</si>
  <si>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</si>
  <si>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</si>
  <si>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</si>
  <si>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</si>
  <si>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</si>
  <si>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</si>
  <si>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</si>
  <si>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</si>
  <si>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</si>
  <si>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</si>
  <si>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</si>
  <si>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</si>
  <si>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</si>
  <si>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</si>
  <si>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</si>
  <si>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</si>
  <si>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</si>
  <si>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</si>
  <si>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</si>
  <si>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</si>
  <si>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</si>
  <si>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</si>
  <si>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</si>
  <si>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</si>
  <si>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</si>
  <si>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</si>
  <si>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</si>
  <si>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</si>
  <si>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</si>
  <si>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</si>
  <si>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</si>
  <si>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</si>
  <si>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</si>
  <si>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</si>
  <si>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</si>
  <si>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</si>
  <si>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</si>
  <si>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</si>
  <si>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</si>
  <si>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</si>
  <si>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</si>
  <si>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</si>
  <si>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</si>
  <si>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</si>
  <si>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</si>
  <si>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</si>
  <si>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</si>
  <si>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</si>
  <si>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</si>
  <si>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</si>
  <si>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</si>
  <si>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</si>
  <si>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</si>
  <si>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</si>
  <si>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</si>
  <si>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</si>
  <si>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</si>
  <si>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</si>
  <si>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</si>
  <si>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</si>
  <si>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</si>
  <si>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</si>
  <si>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</si>
  <si>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</si>
  <si>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</si>
  <si>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</si>
  <si>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</si>
  <si>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</si>
  <si>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</si>
  <si>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</si>
  <si>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</si>
  <si>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</si>
  <si>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</si>
  <si>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</si>
  <si>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</si>
  <si>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</si>
  <si>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</si>
  <si>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</si>
  <si>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</si>
  <si>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</si>
  <si>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</si>
  <si>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</si>
  <si>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</si>
  <si>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</si>
  <si>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</si>
  <si>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</si>
  <si>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</si>
  <si>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</si>
  <si>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</si>
  <si>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</si>
  <si>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</si>
  <si>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</si>
  <si>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</si>
  <si>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</si>
  <si>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</si>
  <si>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</si>
  <si>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</si>
  <si>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</si>
  <si>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</si>
  <si>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</si>
  <si>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</si>
  <si>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</si>
  <si>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</si>
  <si>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</si>
  <si>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</si>
  <si>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</si>
  <si>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</si>
  <si>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</si>
  <si>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</si>
  <si>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</si>
  <si>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</si>
  <si>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</si>
  <si>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</si>
  <si>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</si>
  <si>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</si>
  <si>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</si>
  <si>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</si>
  <si>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</si>
  <si>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</si>
  <si>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</si>
  <si>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</si>
  <si>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</si>
  <si>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</si>
  <si>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</si>
  <si>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</si>
  <si>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</si>
  <si>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</si>
  <si>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</si>
  <si>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</si>
  <si>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</si>
  <si>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</si>
  <si>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</si>
  <si>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</si>
  <si>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</si>
  <si>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</si>
  <si>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</si>
  <si>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</si>
  <si>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</si>
  <si>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</si>
  <si>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</si>
  <si>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</si>
  <si>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</si>
  <si>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</si>
  <si>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</si>
  <si>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</si>
  <si>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</si>
  <si>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</si>
  <si>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</si>
  <si>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</si>
  <si>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</si>
  <si>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</si>
  <si>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</si>
  <si>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</si>
  <si>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</si>
  <si>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</si>
  <si>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</si>
  <si>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</si>
  <si>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</si>
  <si>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</si>
  <si>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</si>
  <si>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</si>
  <si>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</si>
  <si>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</si>
  <si>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</si>
  <si>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</si>
  <si>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</si>
  <si>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</si>
  <si>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</si>
  <si>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</si>
  <si>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</si>
  <si>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</si>
  <si>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</si>
  <si>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</si>
  <si>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</si>
  <si>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</si>
  <si>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</si>
  <si>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</si>
  <si>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</si>
  <si>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</si>
  <si>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</si>
  <si>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</si>
  <si>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</si>
  <si>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</si>
  <si>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</si>
  <si>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</si>
  <si>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</si>
  <si>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</si>
  <si>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</si>
  <si>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</si>
  <si>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</si>
  <si>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</si>
  <si>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</si>
  <si>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</si>
  <si>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</si>
  <si>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</si>
  <si>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</si>
  <si>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</si>
  <si>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</si>
  <si>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</si>
  <si>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</si>
  <si>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</si>
  <si>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</si>
  <si>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</si>
  <si>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</si>
  <si>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</si>
  <si>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</si>
  <si>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</si>
  <si>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</si>
  <si>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</si>
  <si>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</si>
  <si>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</si>
  <si>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</si>
  <si>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</si>
  <si>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</si>
  <si>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</si>
  <si>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</si>
  <si>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</si>
  <si>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</si>
  <si>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</si>
  <si>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</si>
  <si>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</si>
  <si>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</si>
  <si>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</si>
  <si>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</si>
  <si>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</si>
  <si>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</si>
  <si>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</si>
  <si>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</si>
  <si>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</si>
  <si>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</si>
  <si>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</si>
  <si>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</si>
  <si>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</si>
  <si>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</si>
  <si>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</si>
  <si>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</si>
  <si>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</si>
  <si>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</si>
  <si>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</si>
  <si>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</si>
  <si>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</si>
  <si>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</si>
  <si>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</si>
  <si>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</si>
  <si>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</si>
  <si>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</si>
  <si>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</si>
  <si>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</si>
  <si>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</si>
  <si>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</si>
  <si>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</si>
  <si>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</si>
  <si>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</si>
  <si>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</si>
  <si>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</si>
  <si>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</si>
  <si>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</si>
  <si>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</si>
  <si>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</si>
  <si>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</si>
  <si>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</si>
  <si>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</si>
  <si>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</si>
  <si>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</si>
  <si>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</si>
  <si>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</si>
  <si>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</si>
  <si>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</si>
  <si>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</si>
  <si>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</si>
  <si>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</si>
  <si>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</si>
  <si>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</si>
  <si>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</si>
  <si>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</si>
  <si>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</si>
  <si>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</si>
  <si>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</si>
  <si>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</si>
  <si>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</si>
  <si>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</si>
  <si>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</si>
  <si>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</si>
  <si>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</si>
  <si>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</si>
  <si>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</si>
  <si>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</si>
  <si>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</si>
  <si>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</si>
  <si>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</si>
  <si>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</si>
  <si>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</si>
  <si>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</si>
  <si>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</si>
  <si>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</si>
  <si>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</si>
  <si>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</si>
  <si>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</si>
  <si>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</si>
  <si>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</si>
  <si>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</si>
  <si>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</si>
  <si>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</si>
  <si>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</si>
  <si>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</si>
  <si>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</si>
  <si>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</si>
  <si>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</si>
  <si>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</si>
  <si>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</si>
  <si>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</si>
  <si>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</si>
  <si>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</si>
  <si>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</si>
  <si>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</si>
  <si>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</si>
  <si>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</si>
  <si>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</si>
  <si>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</si>
  <si>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</si>
  <si>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</si>
  <si>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</si>
  <si>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</si>
  <si>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</si>
  <si>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</si>
  <si>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</si>
  <si>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</si>
  <si>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</si>
  <si>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</si>
  <si>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</si>
  <si>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</si>
  <si>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</si>
  <si>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</si>
  <si>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</si>
  <si>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</si>
  <si>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</si>
  <si>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</si>
  <si>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</si>
  <si>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</si>
  <si>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</si>
  <si>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</si>
  <si>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</si>
  <si>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</si>
  <si>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</si>
  <si>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</si>
  <si>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</si>
  <si>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</si>
  <si>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</si>
  <si>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</si>
  <si>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</si>
  <si>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</si>
  <si>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</si>
  <si>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</si>
  <si>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</si>
  <si>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</si>
  <si>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</si>
  <si>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</si>
  <si>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</si>
  <si>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</si>
  <si>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</si>
  <si>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</si>
  <si>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</si>
  <si>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</si>
  <si>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</si>
  <si>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</si>
  <si>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</si>
  <si>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</si>
  <si>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</si>
  <si>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</si>
  <si>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</si>
  <si>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</si>
  <si>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</si>
  <si>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</si>
  <si>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</si>
  <si>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</si>
  <si>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</si>
  <si>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</si>
  <si>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</si>
  <si>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</si>
  <si>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</si>
  <si>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</si>
  <si>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</si>
  <si>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</si>
  <si>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</si>
  <si>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</si>
  <si>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</si>
  <si>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</si>
  <si>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</si>
  <si>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</si>
  <si>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</si>
  <si>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</si>
  <si>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</si>
  <si>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</si>
  <si>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</si>
  <si>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</si>
  <si>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</si>
  <si>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</si>
  <si>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</si>
  <si>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</si>
  <si>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</si>
  <si>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</si>
  <si>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</si>
  <si>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</si>
  <si>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</si>
  <si>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</si>
  <si>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</si>
  <si>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</si>
  <si>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</si>
  <si>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</si>
  <si>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</si>
  <si>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</si>
  <si>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</si>
  <si>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</si>
  <si>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</si>
  <si>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</si>
  <si>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</si>
  <si>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</si>
  <si>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</si>
  <si>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</si>
  <si>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</si>
  <si>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</si>
  <si>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</si>
  <si>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</si>
  <si>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</si>
  <si>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</si>
  <si>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</si>
  <si>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</si>
  <si>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</si>
  <si>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</si>
  <si>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</si>
  <si>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</si>
  <si>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</si>
  <si>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</si>
  <si>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</si>
  <si>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</si>
  <si>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</si>
  <si>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</si>
  <si>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</si>
  <si>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</si>
  <si>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</si>
  <si>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</si>
  <si>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</si>
  <si>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</si>
  <si>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</si>
  <si>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</si>
  <si>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</si>
  <si>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</si>
  <si>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</si>
  <si>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</si>
  <si>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</si>
  <si>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</si>
  <si>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</si>
  <si>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</si>
  <si>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</si>
  <si>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</si>
  <si>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</si>
  <si>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</si>
  <si>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</si>
  <si>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</si>
  <si>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</si>
  <si>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</si>
  <si>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</si>
  <si>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</si>
  <si>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</si>
  <si>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</si>
  <si>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</si>
  <si>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</si>
  <si>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</si>
  <si>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</si>
  <si>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</si>
  <si>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</si>
  <si>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</si>
  <si>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</si>
  <si>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</si>
  <si>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</si>
  <si>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</si>
  <si>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</si>
  <si>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</si>
  <si>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</si>
  <si>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</si>
  <si>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</si>
  <si>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</si>
  <si>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</si>
  <si>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</si>
  <si>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</si>
  <si>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</si>
  <si>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</si>
  <si>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</si>
  <si>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</si>
  <si>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</si>
  <si>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</si>
  <si>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</si>
  <si>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</si>
  <si>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</si>
  <si>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</si>
  <si>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</si>
  <si>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</si>
  <si>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</si>
  <si>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</si>
  <si>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</si>
  <si>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</si>
  <si>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</si>
  <si>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</si>
  <si>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</si>
  <si>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</si>
  <si>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</si>
  <si>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</si>
  <si>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</si>
  <si>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</si>
  <si>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</si>
  <si>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</si>
  <si>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</si>
  <si>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</si>
  <si>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</si>
  <si>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</si>
  <si>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</si>
  <si>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</si>
  <si>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</si>
  <si>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</si>
  <si>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</si>
  <si>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</si>
  <si>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</si>
  <si>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</si>
  <si>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</si>
  <si>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</si>
  <si>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</si>
  <si>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</si>
  <si>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</si>
  <si>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</si>
  <si>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</si>
  <si>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</si>
  <si>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</si>
  <si>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</si>
  <si>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</si>
  <si>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</si>
  <si>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</si>
  <si>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</si>
  <si>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</si>
  <si>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</si>
  <si>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</si>
  <si>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</si>
  <si>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</si>
  <si>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</si>
  <si>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</si>
  <si>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</si>
  <si>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</si>
  <si>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</si>
  <si>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</si>
  <si>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</si>
  <si>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</si>
  <si>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</si>
  <si>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</si>
  <si>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</si>
  <si>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</si>
  <si>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</si>
  <si>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</si>
  <si>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</si>
  <si>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</si>
  <si>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</si>
  <si>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Wipfli LLP</t>
  </si>
  <si>
    <t>Matthew Schueler</t>
  </si>
  <si>
    <t>403 East Third</t>
  </si>
  <si>
    <t>Sterling</t>
  </si>
  <si>
    <t>Illinois</t>
  </si>
  <si>
    <t>815-626-1277</t>
  </si>
  <si>
    <t>815-626-9118</t>
  </si>
  <si>
    <t>066-004023</t>
  </si>
  <si>
    <t>mschueler@wipfli.com</t>
  </si>
  <si>
    <t>N/A</t>
  </si>
  <si>
    <t>None</t>
  </si>
  <si>
    <t>2001 Fire protection and safety bonds</t>
  </si>
  <si>
    <t>2008 refunding bonds</t>
  </si>
  <si>
    <t>2015 refunding bonds</t>
  </si>
  <si>
    <t>2016 working cash bonds</t>
  </si>
  <si>
    <t xml:space="preserve">Ogle </t>
  </si>
  <si>
    <t>PO Box 665</t>
  </si>
  <si>
    <t>Forreston</t>
  </si>
  <si>
    <t>ssmith@fvdistrict221.org</t>
  </si>
  <si>
    <t>x</t>
  </si>
  <si>
    <t>Sheri Smith</t>
  </si>
  <si>
    <t>815-938-2036</t>
  </si>
  <si>
    <t>815-938-9028</t>
  </si>
  <si>
    <t>Technology loans</t>
  </si>
  <si>
    <t>23. Qualified opinion for General Fixed Assets Account Group not maintaining historical cost information and adverse for not adopting GASB 34</t>
  </si>
  <si>
    <t>Ogle county educational cooperative</t>
  </si>
  <si>
    <t>whiteside area career center</t>
  </si>
  <si>
    <t xml:space="preserve"> 23.  Qualified opinion for General Fixed Asset Account group not maintaining historical cost information and adverse for not adopting GASB 34</t>
  </si>
  <si>
    <t>line 74 revenue worksheet, function 1690 other food service- Cafeteria miscellaneous sales</t>
  </si>
  <si>
    <t>line 109 revenue worksheet, function 1999- other local revenue- Tech repairs and miscellaneous sales</t>
  </si>
  <si>
    <t>line 272 revenue worksheet, function 4999- other federal revenue- E-rate income</t>
  </si>
  <si>
    <t>line 41 expenditure worksheet, function 2190- building aides</t>
  </si>
  <si>
    <t>Forrestville Valley CUSD 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</si>
</sst>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17135</xdr:rowOff>
    </xdr:to>
    <xdr:pic>
      <xdr:nvPicPr>
        <xdr:cNvPr id="4" name="Picture 3">
          <a:extLst>
            <a:ext uri="{FF2B5EF4-FFF2-40B4-BE49-F238E27FC236}">
              <a16:creationId xmlns:a16="http://schemas.microsoft.com/office/drawing/2014/main" id="{4ECA9988-AE01-4483-9D90-C3640E40D7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64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790575</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49E4107-7D62-42D8-903E-17BC0256CA3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2096</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2096</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47071221026</v>
      </c>
      <c r="B13" s="2035"/>
      <c r="C13" s="2035"/>
      <c r="D13" s="2035"/>
      <c r="E13" s="2035"/>
      <c r="F13" s="2035"/>
      <c r="G13" s="2035"/>
      <c r="H13" s="2036"/>
      <c r="I13" s="31"/>
      <c r="J13" s="30"/>
      <c r="K13" s="28"/>
      <c r="L13" s="30"/>
      <c r="M13" s="30"/>
      <c r="N13" s="30"/>
      <c r="O13" s="30"/>
      <c r="P13" s="30"/>
      <c r="Q13" s="30"/>
      <c r="R13" s="30"/>
      <c r="S13" s="30"/>
      <c r="T13" s="2039" t="s">
        <v>2077</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2092</v>
      </c>
      <c r="B15" s="2037"/>
      <c r="C15" s="2037"/>
      <c r="D15" s="2037"/>
      <c r="E15" s="2037"/>
      <c r="F15" s="2037"/>
      <c r="G15" s="2037"/>
      <c r="H15" s="2038"/>
      <c r="T15" s="2043" t="s">
        <v>2078</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2109</v>
      </c>
      <c r="B17" s="1994"/>
      <c r="C17" s="1994"/>
      <c r="D17" s="1994"/>
      <c r="E17" s="1994"/>
      <c r="F17" s="1994"/>
      <c r="G17" s="1994"/>
      <c r="H17" s="2019"/>
      <c r="T17" s="2050" t="s">
        <v>2079</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2093</v>
      </c>
      <c r="B19" s="1979"/>
      <c r="C19" s="1979"/>
      <c r="D19" s="1979"/>
      <c r="E19" s="1979"/>
      <c r="F19" s="1979"/>
      <c r="G19" s="1979"/>
      <c r="H19" s="1959"/>
      <c r="I19" s="30"/>
      <c r="J19" s="99"/>
      <c r="K19" s="40"/>
      <c r="L19" s="38"/>
      <c r="M19" s="112" t="s">
        <v>333</v>
      </c>
      <c r="P19" s="27"/>
      <c r="Q19" s="27"/>
      <c r="R19" s="27"/>
      <c r="S19" s="31"/>
      <c r="T19" s="2033" t="s">
        <v>2080</v>
      </c>
      <c r="U19" s="1958"/>
      <c r="V19" s="1958"/>
      <c r="W19" s="1959"/>
      <c r="X19" s="2048" t="s">
        <v>2081</v>
      </c>
      <c r="Y19" s="2049"/>
      <c r="Z19" s="2046">
        <v>61081</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2094</v>
      </c>
      <c r="B21" s="1958"/>
      <c r="C21" s="1958"/>
      <c r="D21" s="1958"/>
      <c r="E21" s="1958"/>
      <c r="F21" s="1958"/>
      <c r="G21" s="1958"/>
      <c r="H21" s="1959"/>
      <c r="I21" s="2013" t="s">
        <v>699</v>
      </c>
      <c r="J21" s="2008"/>
      <c r="K21" s="2008"/>
      <c r="L21" s="2008"/>
      <c r="M21" s="2008"/>
      <c r="N21" s="2008"/>
      <c r="O21" s="2008"/>
      <c r="P21" s="2008"/>
      <c r="Q21" s="2008"/>
      <c r="R21" s="2008"/>
      <c r="S21" s="2014"/>
      <c r="T21" s="2057" t="s">
        <v>2082</v>
      </c>
      <c r="U21" s="2058"/>
      <c r="V21" s="2058"/>
      <c r="W21" s="2058"/>
      <c r="X21" s="2063" t="s">
        <v>2083</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2095</v>
      </c>
      <c r="B23" s="2011"/>
      <c r="C23" s="2011"/>
      <c r="D23" s="2011"/>
      <c r="E23" s="2011"/>
      <c r="F23" s="2011"/>
      <c r="G23" s="2011"/>
      <c r="H23" s="2012"/>
      <c r="T23" s="1993" t="s">
        <v>2084</v>
      </c>
      <c r="U23" s="2056"/>
      <c r="V23" s="2056"/>
      <c r="W23" s="2056"/>
      <c r="X23" s="2060">
        <v>43434</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c r="B25" s="1958"/>
      <c r="C25" s="1958"/>
      <c r="D25" s="1958"/>
      <c r="E25" s="1958"/>
      <c r="F25" s="1958"/>
      <c r="G25" s="1958"/>
      <c r="H25" s="1959"/>
      <c r="I25" s="113"/>
      <c r="J25" s="1982"/>
      <c r="K25" s="1982"/>
      <c r="L25" s="1982"/>
      <c r="M25" s="1982"/>
      <c r="N25" s="1982"/>
      <c r="O25" s="1982"/>
      <c r="P25" s="1982"/>
      <c r="Q25" s="1982"/>
      <c r="R25" s="1982"/>
      <c r="S25" s="1983"/>
      <c r="T25" s="2053" t="s">
        <v>2085</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2096</v>
      </c>
      <c r="C29" s="124" t="s">
        <v>874</v>
      </c>
      <c r="D29" s="114"/>
      <c r="E29" s="136"/>
      <c r="F29" s="141" t="s">
        <v>1383</v>
      </c>
      <c r="G29" s="114"/>
      <c r="I29" s="54"/>
      <c r="J29" s="102"/>
      <c r="K29" s="28" t="s">
        <v>597</v>
      </c>
      <c r="L29" s="148" t="s">
        <v>2096</v>
      </c>
      <c r="M29" s="40" t="s">
        <v>101</v>
      </c>
      <c r="N29" s="32" t="s">
        <v>1604</v>
      </c>
      <c r="O29" s="32"/>
      <c r="P29" s="32"/>
      <c r="Q29" s="32"/>
      <c r="R29" s="32"/>
      <c r="S29" s="123"/>
      <c r="T29" s="6"/>
      <c r="U29" s="6"/>
      <c r="V29" s="6"/>
      <c r="W29" s="6"/>
      <c r="X29" s="6"/>
      <c r="Y29" s="6"/>
      <c r="Z29" s="6"/>
      <c r="AA29" s="132"/>
    </row>
    <row r="30" spans="1:27" ht="13.5" customHeight="1" x14ac:dyDescent="0.2">
      <c r="A30" s="153"/>
      <c r="B30" s="136" t="s">
        <v>2096</v>
      </c>
      <c r="C30" s="124" t="s">
        <v>1226</v>
      </c>
      <c r="D30" s="28"/>
      <c r="E30" s="28"/>
      <c r="F30" s="140"/>
      <c r="G30" s="114"/>
      <c r="H30" s="114"/>
      <c r="I30" s="54"/>
      <c r="J30" s="102"/>
      <c r="K30" s="28" t="s">
        <v>597</v>
      </c>
      <c r="L30" s="148" t="s">
        <v>2096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2096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2097</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2095</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2098</v>
      </c>
      <c r="B42" s="1977"/>
      <c r="C42" s="1978"/>
      <c r="D42" s="1976" t="s">
        <v>2099</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selection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2268012</v>
      </c>
      <c r="D5" s="466">
        <v>505387</v>
      </c>
      <c r="E5" s="466">
        <v>13634</v>
      </c>
      <c r="F5" s="466">
        <v>71145</v>
      </c>
      <c r="G5" s="466"/>
      <c r="H5" s="466">
        <v>579</v>
      </c>
      <c r="I5" s="467"/>
      <c r="J5" s="467"/>
      <c r="K5" s="1693">
        <f>SUM(C5:J5)</f>
        <v>2858757</v>
      </c>
      <c r="L5" s="466">
        <v>2877091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409669</v>
      </c>
      <c r="D8" s="466">
        <v>87719</v>
      </c>
      <c r="E8" s="466">
        <v>712</v>
      </c>
      <c r="F8" s="466">
        <v>9126</v>
      </c>
      <c r="G8" s="466"/>
      <c r="H8" s="466"/>
      <c r="I8" s="467"/>
      <c r="J8" s="467"/>
      <c r="K8" s="1693">
        <f t="shared" si="0"/>
        <v>507226</v>
      </c>
      <c r="L8" s="466">
        <v>496735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82033</v>
      </c>
      <c r="D10" s="466">
        <v>11929</v>
      </c>
      <c r="E10" s="466"/>
      <c r="F10" s="466">
        <v>13280</v>
      </c>
      <c r="G10" s="466"/>
      <c r="H10" s="466"/>
      <c r="I10" s="467"/>
      <c r="J10" s="467"/>
      <c r="K10" s="1693">
        <f t="shared" si="0"/>
        <v>107242</v>
      </c>
      <c r="L10" s="466">
        <v>116003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v>500</v>
      </c>
      <c r="F12" s="466"/>
      <c r="G12" s="466"/>
      <c r="H12" s="466"/>
      <c r="I12" s="467"/>
      <c r="J12" s="467"/>
      <c r="K12" s="1693">
        <f t="shared" si="0"/>
        <v>500</v>
      </c>
      <c r="L12" s="466">
        <v>500</v>
      </c>
    </row>
    <row r="13" spans="1:14" x14ac:dyDescent="0.2">
      <c r="A13" s="1526" t="s">
        <v>747</v>
      </c>
      <c r="B13" s="615">
        <v>1400</v>
      </c>
      <c r="C13" s="466">
        <v>123088</v>
      </c>
      <c r="D13" s="466">
        <v>32031</v>
      </c>
      <c r="E13" s="466"/>
      <c r="F13" s="466">
        <v>6116</v>
      </c>
      <c r="G13" s="466"/>
      <c r="H13" s="466"/>
      <c r="I13" s="467"/>
      <c r="J13" s="467"/>
      <c r="K13" s="1693">
        <f t="shared" si="0"/>
        <v>161235</v>
      </c>
      <c r="L13" s="466">
        <v>175688</v>
      </c>
    </row>
    <row r="14" spans="1:14" x14ac:dyDescent="0.2">
      <c r="A14" s="1526" t="s">
        <v>1020</v>
      </c>
      <c r="B14" s="615">
        <v>1500</v>
      </c>
      <c r="C14" s="466">
        <v>287550</v>
      </c>
      <c r="D14" s="466">
        <v>50258</v>
      </c>
      <c r="E14" s="466">
        <v>30733</v>
      </c>
      <c r="F14" s="466">
        <v>38268</v>
      </c>
      <c r="G14" s="466"/>
      <c r="H14" s="466">
        <v>6972</v>
      </c>
      <c r="I14" s="467"/>
      <c r="J14" s="467"/>
      <c r="K14" s="1693">
        <f t="shared" si="0"/>
        <v>413781</v>
      </c>
      <c r="L14" s="466">
        <v>456046</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3170352</v>
      </c>
      <c r="D33" s="1692">
        <f t="shared" ref="D33:L33" si="1">SUM(D5:D32)</f>
        <v>687324</v>
      </c>
      <c r="E33" s="1692">
        <f t="shared" si="1"/>
        <v>45579</v>
      </c>
      <c r="F33" s="1692">
        <f t="shared" si="1"/>
        <v>137935</v>
      </c>
      <c r="G33" s="1692">
        <f t="shared" si="1"/>
        <v>0</v>
      </c>
      <c r="H33" s="1692">
        <f t="shared" si="1"/>
        <v>7551</v>
      </c>
      <c r="I33" s="1692">
        <f t="shared" si="1"/>
        <v>0</v>
      </c>
      <c r="J33" s="1692">
        <f t="shared" si="1"/>
        <v>0</v>
      </c>
      <c r="K33" s="1692">
        <f t="shared" si="1"/>
        <v>4048741</v>
      </c>
      <c r="L33" s="1692">
        <f t="shared" si="1"/>
        <v>4122063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v>2218</v>
      </c>
      <c r="F37" s="466">
        <v>852</v>
      </c>
      <c r="G37" s="466"/>
      <c r="H37" s="466"/>
      <c r="I37" s="467"/>
      <c r="J37" s="467"/>
      <c r="K37" s="1693">
        <f t="shared" si="2"/>
        <v>3070</v>
      </c>
      <c r="L37" s="466">
        <v>3150</v>
      </c>
    </row>
    <row r="38" spans="1:14" x14ac:dyDescent="0.2">
      <c r="A38" s="1526" t="s">
        <v>207</v>
      </c>
      <c r="B38" s="615">
        <v>2130</v>
      </c>
      <c r="C38" s="466">
        <v>6606</v>
      </c>
      <c r="D38" s="466"/>
      <c r="E38" s="466">
        <v>408</v>
      </c>
      <c r="F38" s="466">
        <v>3286</v>
      </c>
      <c r="G38" s="466"/>
      <c r="H38" s="466"/>
      <c r="I38" s="467"/>
      <c r="J38" s="467"/>
      <c r="K38" s="1693">
        <f t="shared" si="2"/>
        <v>10300</v>
      </c>
      <c r="L38" s="466">
        <v>10212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4088</v>
      </c>
      <c r="D41" s="466"/>
      <c r="E41" s="466"/>
      <c r="F41" s="466"/>
      <c r="G41" s="466"/>
      <c r="H41" s="466"/>
      <c r="I41" s="467"/>
      <c r="J41" s="467"/>
      <c r="K41" s="1693">
        <f t="shared" si="2"/>
        <v>4088</v>
      </c>
      <c r="L41" s="466">
        <v>5916</v>
      </c>
    </row>
    <row r="42" spans="1:14" ht="12.75" customHeight="1" thickBot="1" x14ac:dyDescent="0.25">
      <c r="A42" s="1690" t="s">
        <v>581</v>
      </c>
      <c r="B42" s="1691" t="s">
        <v>740</v>
      </c>
      <c r="C42" s="1692">
        <f>SUM(C36:C41)</f>
        <v>10694</v>
      </c>
      <c r="D42" s="1692">
        <f t="shared" ref="D42:L42" si="3">SUM(D36:D41)</f>
        <v>0</v>
      </c>
      <c r="E42" s="1692">
        <f t="shared" si="3"/>
        <v>2626</v>
      </c>
      <c r="F42" s="1692">
        <f t="shared" si="3"/>
        <v>4138</v>
      </c>
      <c r="G42" s="1692">
        <f t="shared" si="3"/>
        <v>0</v>
      </c>
      <c r="H42" s="1692">
        <f t="shared" si="3"/>
        <v>0</v>
      </c>
      <c r="I42" s="1692">
        <f t="shared" si="3"/>
        <v>0</v>
      </c>
      <c r="J42" s="1692">
        <f t="shared" si="3"/>
        <v>0</v>
      </c>
      <c r="K42" s="1692">
        <f t="shared" si="3"/>
        <v>17458</v>
      </c>
      <c r="L42" s="1692">
        <f t="shared" si="3"/>
        <v>19278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14906</v>
      </c>
      <c r="D44" s="481">
        <v>1296</v>
      </c>
      <c r="E44" s="481">
        <v>2967</v>
      </c>
      <c r="F44" s="481">
        <v>1000</v>
      </c>
      <c r="G44" s="481"/>
      <c r="H44" s="481"/>
      <c r="I44" s="467"/>
      <c r="J44" s="467"/>
      <c r="K44" s="1694">
        <f>SUM(C44:J44)</f>
        <v>20169</v>
      </c>
      <c r="L44" s="481">
        <v>48464</v>
      </c>
    </row>
    <row r="45" spans="1:14" x14ac:dyDescent="0.2">
      <c r="A45" s="1526" t="s">
        <v>869</v>
      </c>
      <c r="B45" s="615">
        <v>2220</v>
      </c>
      <c r="C45" s="466"/>
      <c r="D45" s="466"/>
      <c r="E45" s="466">
        <v>134682</v>
      </c>
      <c r="F45" s="466">
        <v>78996</v>
      </c>
      <c r="G45" s="466"/>
      <c r="H45" s="466">
        <v>157823</v>
      </c>
      <c r="I45" s="467"/>
      <c r="J45" s="467"/>
      <c r="K45" s="1694">
        <f>SUM(C45:J45)</f>
        <v>371501</v>
      </c>
      <c r="L45" s="466">
        <v>350769</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14906</v>
      </c>
      <c r="D47" s="1692">
        <f t="shared" ref="D47:K47" si="4">SUM(D44:D46)</f>
        <v>1296</v>
      </c>
      <c r="E47" s="1692">
        <f t="shared" si="4"/>
        <v>137649</v>
      </c>
      <c r="F47" s="1692">
        <f t="shared" si="4"/>
        <v>79996</v>
      </c>
      <c r="G47" s="1692">
        <f t="shared" si="4"/>
        <v>0</v>
      </c>
      <c r="H47" s="1692">
        <f t="shared" si="4"/>
        <v>157823</v>
      </c>
      <c r="I47" s="1692">
        <f t="shared" si="4"/>
        <v>0</v>
      </c>
      <c r="J47" s="1692">
        <f t="shared" si="4"/>
        <v>0</v>
      </c>
      <c r="K47" s="1692">
        <f t="shared" si="4"/>
        <v>391670</v>
      </c>
      <c r="L47" s="1692">
        <f>SUM(L44:L46)</f>
        <v>399233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2178</v>
      </c>
      <c r="D49" s="481"/>
      <c r="E49" s="481">
        <v>24152</v>
      </c>
      <c r="F49" s="481">
        <v>902</v>
      </c>
      <c r="G49" s="481"/>
      <c r="H49" s="481">
        <v>8308</v>
      </c>
      <c r="I49" s="467"/>
      <c r="J49" s="467"/>
      <c r="K49" s="1694">
        <f>SUM(C49:J49)</f>
        <v>35540</v>
      </c>
      <c r="L49" s="481">
        <v>45278</v>
      </c>
    </row>
    <row r="50" spans="1:14" x14ac:dyDescent="0.2">
      <c r="A50" s="1526" t="s">
        <v>872</v>
      </c>
      <c r="B50" s="615">
        <v>2320</v>
      </c>
      <c r="C50" s="466">
        <v>56943</v>
      </c>
      <c r="D50" s="466">
        <v>15869</v>
      </c>
      <c r="E50" s="466">
        <v>795</v>
      </c>
      <c r="F50" s="466">
        <v>2552</v>
      </c>
      <c r="G50" s="466"/>
      <c r="H50" s="466">
        <v>1770</v>
      </c>
      <c r="I50" s="467"/>
      <c r="J50" s="467"/>
      <c r="K50" s="1694">
        <f>SUM(C50:J50)</f>
        <v>77929</v>
      </c>
      <c r="L50" s="466">
        <v>82842</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59121</v>
      </c>
      <c r="D53" s="1692">
        <f t="shared" ref="D53:L53" si="5">SUM(D49:D52)</f>
        <v>15869</v>
      </c>
      <c r="E53" s="1692">
        <f t="shared" si="5"/>
        <v>24947</v>
      </c>
      <c r="F53" s="1692">
        <f t="shared" si="5"/>
        <v>3454</v>
      </c>
      <c r="G53" s="1692">
        <f t="shared" si="5"/>
        <v>0</v>
      </c>
      <c r="H53" s="1692">
        <f t="shared" si="5"/>
        <v>10078</v>
      </c>
      <c r="I53" s="1692">
        <f t="shared" si="5"/>
        <v>0</v>
      </c>
      <c r="J53" s="1692">
        <f t="shared" si="5"/>
        <v>0</v>
      </c>
      <c r="K53" s="1692">
        <f t="shared" si="5"/>
        <v>113469</v>
      </c>
      <c r="L53" s="1692">
        <f t="shared" si="5"/>
        <v>128120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226095</v>
      </c>
      <c r="D55" s="481">
        <v>55389</v>
      </c>
      <c r="E55" s="481">
        <v>3434</v>
      </c>
      <c r="F55" s="481">
        <v>960</v>
      </c>
      <c r="G55" s="481"/>
      <c r="H55" s="481">
        <v>2087</v>
      </c>
      <c r="I55" s="467">
        <v>363</v>
      </c>
      <c r="J55" s="467"/>
      <c r="K55" s="1694">
        <f>SUM(C55:J55)</f>
        <v>288328</v>
      </c>
      <c r="L55" s="481">
        <v>312020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226095</v>
      </c>
      <c r="D57" s="1696">
        <f t="shared" ref="D57:K57" si="6">SUM(D55:D56)</f>
        <v>55389</v>
      </c>
      <c r="E57" s="1696">
        <f t="shared" si="6"/>
        <v>3434</v>
      </c>
      <c r="F57" s="1696">
        <f t="shared" si="6"/>
        <v>960</v>
      </c>
      <c r="G57" s="1696">
        <f t="shared" si="6"/>
        <v>0</v>
      </c>
      <c r="H57" s="1696">
        <f t="shared" si="6"/>
        <v>2087</v>
      </c>
      <c r="I57" s="1696">
        <f t="shared" si="6"/>
        <v>363</v>
      </c>
      <c r="J57" s="1696">
        <f t="shared" si="6"/>
        <v>0</v>
      </c>
      <c r="K57" s="1696">
        <f t="shared" si="6"/>
        <v>288328</v>
      </c>
      <c r="L57" s="1692">
        <f>SUM(L55:L56)</f>
        <v>312020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64686</v>
      </c>
      <c r="D60" s="466">
        <v>11029</v>
      </c>
      <c r="E60" s="466">
        <v>9124</v>
      </c>
      <c r="F60" s="466">
        <v>2864</v>
      </c>
      <c r="G60" s="466">
        <v>4400</v>
      </c>
      <c r="H60" s="466"/>
      <c r="I60" s="467"/>
      <c r="J60" s="467"/>
      <c r="K60" s="1694">
        <f t="shared" si="7"/>
        <v>92103</v>
      </c>
      <c r="L60" s="466">
        <v>96178</v>
      </c>
      <c r="M60" s="610"/>
      <c r="N60" s="610"/>
    </row>
    <row r="61" spans="1:14" s="343" customFormat="1" x14ac:dyDescent="0.2">
      <c r="A61" s="1526" t="s">
        <v>206</v>
      </c>
      <c r="B61" s="615">
        <v>2540</v>
      </c>
      <c r="C61" s="466"/>
      <c r="D61" s="466"/>
      <c r="E61" s="466"/>
      <c r="F61" s="466"/>
      <c r="G61" s="466"/>
      <c r="H61" s="466"/>
      <c r="I61" s="467"/>
      <c r="J61" s="467"/>
      <c r="K61" s="1694">
        <f t="shared" si="7"/>
        <v>0</v>
      </c>
      <c r="L61" s="466">
        <v>40000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95975</v>
      </c>
      <c r="D63" s="466">
        <v>20169</v>
      </c>
      <c r="E63" s="466">
        <v>19856</v>
      </c>
      <c r="F63" s="466">
        <v>173695</v>
      </c>
      <c r="G63" s="466">
        <v>1369</v>
      </c>
      <c r="H63" s="466"/>
      <c r="I63" s="467"/>
      <c r="J63" s="467"/>
      <c r="K63" s="1694">
        <f t="shared" si="7"/>
        <v>311064</v>
      </c>
      <c r="L63" s="466">
        <v>319116</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160661</v>
      </c>
      <c r="D65" s="1692">
        <f t="shared" ref="D65:L65" si="8">SUM(D59:D64)</f>
        <v>31198</v>
      </c>
      <c r="E65" s="1692">
        <f t="shared" si="8"/>
        <v>28980</v>
      </c>
      <c r="F65" s="1692">
        <f t="shared" si="8"/>
        <v>176559</v>
      </c>
      <c r="G65" s="1692">
        <f t="shared" si="8"/>
        <v>5769</v>
      </c>
      <c r="H65" s="1692">
        <f t="shared" si="8"/>
        <v>0</v>
      </c>
      <c r="I65" s="1692">
        <f t="shared" si="8"/>
        <v>0</v>
      </c>
      <c r="J65" s="1692">
        <f t="shared" si="8"/>
        <v>0</v>
      </c>
      <c r="K65" s="1692">
        <f t="shared" si="8"/>
        <v>403167</v>
      </c>
      <c r="L65" s="1692">
        <f t="shared" si="8"/>
        <v>455294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79637</v>
      </c>
      <c r="F69" s="466"/>
      <c r="G69" s="466"/>
      <c r="H69" s="466"/>
      <c r="I69" s="467"/>
      <c r="J69" s="467"/>
      <c r="K69" s="1694">
        <f>SUM(C69:J69)</f>
        <v>79637</v>
      </c>
      <c r="L69" s="466">
        <v>91750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79637</v>
      </c>
      <c r="F72" s="1692">
        <f t="shared" si="9"/>
        <v>0</v>
      </c>
      <c r="G72" s="1692">
        <f t="shared" si="9"/>
        <v>0</v>
      </c>
      <c r="H72" s="1692">
        <f t="shared" si="9"/>
        <v>0</v>
      </c>
      <c r="I72" s="1692">
        <f t="shared" si="9"/>
        <v>0</v>
      </c>
      <c r="J72" s="1692">
        <f t="shared" si="9"/>
        <v>0</v>
      </c>
      <c r="K72" s="1692">
        <f t="shared" si="9"/>
        <v>79637</v>
      </c>
      <c r="L72" s="1692">
        <f>SUM(L67:L71)</f>
        <v>91750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471477</v>
      </c>
      <c r="D74" s="1699">
        <f t="shared" ref="D74:K74" si="10">SUM(D42,D47,D53,D57,D65,D72,D73)</f>
        <v>103752</v>
      </c>
      <c r="E74" s="1699">
        <f t="shared" si="10"/>
        <v>277273</v>
      </c>
      <c r="F74" s="1699">
        <f t="shared" si="10"/>
        <v>265107</v>
      </c>
      <c r="G74" s="1699">
        <f t="shared" si="10"/>
        <v>5769</v>
      </c>
      <c r="H74" s="1699">
        <f t="shared" si="10"/>
        <v>169988</v>
      </c>
      <c r="I74" s="1699">
        <f t="shared" si="10"/>
        <v>363</v>
      </c>
      <c r="J74" s="1699">
        <f t="shared" si="10"/>
        <v>0</v>
      </c>
      <c r="K74" s="1699">
        <f t="shared" si="10"/>
        <v>1293729</v>
      </c>
      <c r="L74" s="1699">
        <f>SUM(L42,L47,L53,L57,L65,L72,L73)</f>
        <v>1405695</v>
      </c>
    </row>
    <row r="75" spans="1:14" s="259" customFormat="1" ht="15.75" customHeight="1" thickTop="1" thickBot="1" x14ac:dyDescent="0.25">
      <c r="A75" s="1632" t="s">
        <v>49</v>
      </c>
      <c r="B75" s="1633" t="s">
        <v>596</v>
      </c>
      <c r="C75" s="573">
        <v>16443</v>
      </c>
      <c r="D75" s="573"/>
      <c r="E75" s="573"/>
      <c r="F75" s="573"/>
      <c r="G75" s="573"/>
      <c r="H75" s="573"/>
      <c r="I75" s="531"/>
      <c r="J75" s="531"/>
      <c r="K75" s="1692">
        <f>SUM(C75:J75)</f>
        <v>16443</v>
      </c>
      <c r="L75" s="576">
        <v>17014</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322518</v>
      </c>
      <c r="I79" s="477"/>
      <c r="J79" s="477"/>
      <c r="K79" s="1693">
        <f t="shared" si="11"/>
        <v>322518</v>
      </c>
      <c r="L79" s="466">
        <v>288449</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33841</v>
      </c>
      <c r="I81" s="477"/>
      <c r="J81" s="477"/>
      <c r="K81" s="1693">
        <f t="shared" si="11"/>
        <v>33841</v>
      </c>
      <c r="L81" s="466">
        <v>33208</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356359</v>
      </c>
      <c r="I84" s="477"/>
      <c r="J84" s="477"/>
      <c r="K84" s="1692">
        <f>SUM(K78:K83)</f>
        <v>356359</v>
      </c>
      <c r="L84" s="1692">
        <f>SUM(L78:L83)</f>
        <v>321657</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356359</v>
      </c>
      <c r="I102" s="477"/>
      <c r="J102" s="477"/>
      <c r="K102" s="1699">
        <f>SUM(K84,K92,K100,K101)</f>
        <v>356359</v>
      </c>
      <c r="L102" s="1699">
        <f>SUM(L84,L92,L100,L101)</f>
        <v>321657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2000</v>
      </c>
      <c r="M113" s="614"/>
      <c r="N113" s="614"/>
    </row>
    <row r="114" spans="1:14" ht="12.75" customHeight="1" thickTop="1" thickBot="1" x14ac:dyDescent="0.25">
      <c r="A114" s="1690" t="s">
        <v>50</v>
      </c>
      <c r="B114" s="1704"/>
      <c r="C114" s="1692">
        <f>SUM(C33,C74,C75,C102,C112,C113)</f>
        <v>3658272</v>
      </c>
      <c r="D114" s="1692">
        <f t="shared" ref="D114:K114" si="13">SUM(D33,D74,D75,D102,D112,D113)</f>
        <v>791076</v>
      </c>
      <c r="E114" s="1692">
        <f t="shared" si="13"/>
        <v>322852</v>
      </c>
      <c r="F114" s="1692">
        <f t="shared" si="13"/>
        <v>403042</v>
      </c>
      <c r="G114" s="1692">
        <f t="shared" si="13"/>
        <v>5769</v>
      </c>
      <c r="H114" s="1692">
        <f>SUM(H33,H74,H75,H102,H112,H113)</f>
        <v>533898</v>
      </c>
      <c r="I114" s="1692">
        <f t="shared" si="13"/>
        <v>363</v>
      </c>
      <c r="J114" s="1692">
        <f t="shared" si="13"/>
        <v>0</v>
      </c>
      <c r="K114" s="1692">
        <f t="shared" si="13"/>
        <v>5715272</v>
      </c>
      <c r="L114" s="1692">
        <f>SUM(L33,L74,L75,L102,L112,L113)</f>
        <v>5868429</v>
      </c>
    </row>
    <row r="115" spans="1:14" ht="13.5" thickTop="1" x14ac:dyDescent="0.2">
      <c r="A115" s="2172" t="s">
        <v>1053</v>
      </c>
      <c r="B115" s="2173"/>
      <c r="C115" s="619"/>
      <c r="D115" s="619"/>
      <c r="E115" s="619"/>
      <c r="F115" s="619"/>
      <c r="G115" s="619"/>
      <c r="H115" s="619"/>
      <c r="I115" s="619"/>
      <c r="J115" s="619"/>
      <c r="K115" s="1706">
        <f>'Revenues 9-14'!C275-'Expenditures 15-22'!K114</f>
        <v>419879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32168</v>
      </c>
      <c r="D122" s="466">
        <v>6236</v>
      </c>
      <c r="E122" s="466"/>
      <c r="F122" s="466"/>
      <c r="G122" s="466"/>
      <c r="H122" s="466"/>
      <c r="I122" s="467"/>
      <c r="J122" s="467"/>
      <c r="K122" s="1692">
        <f>SUM(C122:J122)</f>
        <v>38404</v>
      </c>
      <c r="L122" s="466">
        <v>28938</v>
      </c>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116391</v>
      </c>
      <c r="D124" s="466">
        <v>22172</v>
      </c>
      <c r="E124" s="466">
        <v>168511</v>
      </c>
      <c r="F124" s="466">
        <v>170947</v>
      </c>
      <c r="G124" s="466"/>
      <c r="H124" s="466"/>
      <c r="I124" s="467"/>
      <c r="J124" s="467"/>
      <c r="K124" s="1692">
        <f>SUM(C124:J124)</f>
        <v>478021</v>
      </c>
      <c r="L124" s="466">
        <v>502992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148559</v>
      </c>
      <c r="D127" s="1692">
        <f t="shared" ref="D127:L127" si="14">SUM(D122:D126)</f>
        <v>28408</v>
      </c>
      <c r="E127" s="1692">
        <f t="shared" si="14"/>
        <v>168511</v>
      </c>
      <c r="F127" s="1692">
        <f t="shared" si="14"/>
        <v>170947</v>
      </c>
      <c r="G127" s="1692">
        <f t="shared" si="14"/>
        <v>0</v>
      </c>
      <c r="H127" s="1692">
        <f t="shared" si="14"/>
        <v>0</v>
      </c>
      <c r="I127" s="1692">
        <f t="shared" si="14"/>
        <v>0</v>
      </c>
      <c r="J127" s="1692">
        <f t="shared" si="14"/>
        <v>0</v>
      </c>
      <c r="K127" s="1692">
        <f t="shared" si="14"/>
        <v>516425</v>
      </c>
      <c r="L127" s="1692">
        <f t="shared" si="14"/>
        <v>531930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148559</v>
      </c>
      <c r="D129" s="1699">
        <f t="shared" ref="D129:L129" si="15">SUM(D120,D127,D128)</f>
        <v>28408</v>
      </c>
      <c r="E129" s="1699">
        <f t="shared" si="15"/>
        <v>168511</v>
      </c>
      <c r="F129" s="1699">
        <f t="shared" si="15"/>
        <v>170947</v>
      </c>
      <c r="G129" s="1699">
        <f t="shared" si="15"/>
        <v>0</v>
      </c>
      <c r="H129" s="1699">
        <f t="shared" si="15"/>
        <v>0</v>
      </c>
      <c r="I129" s="1699">
        <f t="shared" si="15"/>
        <v>0</v>
      </c>
      <c r="J129" s="1699">
        <f t="shared" si="15"/>
        <v>0</v>
      </c>
      <c r="K129" s="1699">
        <f t="shared" si="15"/>
        <v>516425</v>
      </c>
      <c r="L129" s="1699">
        <f t="shared" si="15"/>
        <v>531930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v>3386</v>
      </c>
      <c r="I134" s="477"/>
      <c r="J134" s="617"/>
      <c r="K134" s="1694">
        <f>SUM(E134,H134)</f>
        <v>3386</v>
      </c>
      <c r="L134" s="481">
        <v>3386</v>
      </c>
    </row>
    <row r="135" spans="1:14" x14ac:dyDescent="0.2">
      <c r="A135" s="1526" t="s">
        <v>721</v>
      </c>
      <c r="B135" s="615">
        <v>4140</v>
      </c>
      <c r="C135" s="617"/>
      <c r="D135" s="617"/>
      <c r="E135" s="467"/>
      <c r="F135" s="617"/>
      <c r="G135" s="617"/>
      <c r="H135" s="466">
        <v>7584</v>
      </c>
      <c r="I135" s="477"/>
      <c r="J135" s="617"/>
      <c r="K135" s="1694">
        <f>SUM(E135,H135)</f>
        <v>7584</v>
      </c>
      <c r="L135" s="466">
        <v>7584</v>
      </c>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10970</v>
      </c>
      <c r="I137" s="477"/>
      <c r="J137" s="617"/>
      <c r="K137" s="1692">
        <f>SUM(K133:K136)</f>
        <v>10970</v>
      </c>
      <c r="L137" s="1692">
        <f>SUM(L133:L136)</f>
        <v>10970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10970</v>
      </c>
      <c r="I139" s="477"/>
      <c r="J139" s="617"/>
      <c r="K139" s="1694">
        <f>SUM(K137,K138)</f>
        <v>10970</v>
      </c>
      <c r="L139" s="1701">
        <f>SUM(L137,L138)</f>
        <v>10970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69"/>
      <c r="C151" s="1692">
        <f>SUM(C129,C130,C139,C149,C150)</f>
        <v>148559</v>
      </c>
      <c r="D151" s="1692">
        <f t="shared" ref="D151:K151" si="16">SUM(D129,D130,D139,D149,D150)</f>
        <v>28408</v>
      </c>
      <c r="E151" s="1692">
        <f t="shared" si="16"/>
        <v>168511</v>
      </c>
      <c r="F151" s="1692">
        <f t="shared" si="16"/>
        <v>170947</v>
      </c>
      <c r="G151" s="1692">
        <f t="shared" si="16"/>
        <v>0</v>
      </c>
      <c r="H151" s="1692">
        <f t="shared" si="16"/>
        <v>10970</v>
      </c>
      <c r="I151" s="1692">
        <f t="shared" si="16"/>
        <v>0</v>
      </c>
      <c r="J151" s="1692">
        <f t="shared" si="16"/>
        <v>0</v>
      </c>
      <c r="K151" s="1692">
        <f t="shared" si="16"/>
        <v>527395</v>
      </c>
      <c r="L151" s="1692">
        <f>SUM(L129,L130,L139,L149,L150)</f>
        <v>542900</v>
      </c>
    </row>
    <row r="152" spans="1:14" ht="12.75" customHeight="1" thickTop="1" x14ac:dyDescent="0.2">
      <c r="A152" s="2192" t="s">
        <v>1240</v>
      </c>
      <c r="B152" s="2193"/>
      <c r="C152" s="619"/>
      <c r="D152" s="619"/>
      <c r="E152" s="619"/>
      <c r="F152" s="619"/>
      <c r="G152" s="619"/>
      <c r="H152" s="619"/>
      <c r="I152" s="619"/>
      <c r="J152" s="617"/>
      <c r="K152" s="1706">
        <f>'Revenues 9-14'!D275-'Expenditures 15-22'!K151</f>
        <v>-12815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277099</v>
      </c>
      <c r="I169" s="617"/>
      <c r="J169" s="617"/>
      <c r="K169" s="1693">
        <f>SUM(C169:H169)</f>
        <v>277099</v>
      </c>
      <c r="L169" s="657">
        <v>1911624</v>
      </c>
    </row>
    <row r="170" spans="1:14" ht="33.75" customHeight="1" x14ac:dyDescent="0.2">
      <c r="A170" s="670" t="s">
        <v>1769</v>
      </c>
      <c r="B170" s="672" t="s">
        <v>31</v>
      </c>
      <c r="C170" s="617"/>
      <c r="D170" s="617"/>
      <c r="E170" s="617"/>
      <c r="F170" s="617"/>
      <c r="G170" s="617"/>
      <c r="H170" s="569">
        <v>1635000</v>
      </c>
      <c r="I170" s="617"/>
      <c r="J170" s="617"/>
      <c r="K170" s="1693">
        <f>SUM(C170:J170)</f>
        <v>1635000</v>
      </c>
      <c r="L170" s="569"/>
    </row>
    <row r="171" spans="1:14" ht="15.75" customHeight="1" x14ac:dyDescent="0.2">
      <c r="A171" s="622" t="s">
        <v>790</v>
      </c>
      <c r="B171" s="673" t="s">
        <v>86</v>
      </c>
      <c r="C171" s="617"/>
      <c r="D171" s="617"/>
      <c r="E171" s="466"/>
      <c r="F171" s="617"/>
      <c r="G171" s="617"/>
      <c r="H171" s="569">
        <v>304</v>
      </c>
      <c r="I171" s="477"/>
      <c r="J171" s="617"/>
      <c r="K171" s="1693">
        <f>SUM(C171:J171)</f>
        <v>304</v>
      </c>
      <c r="L171" s="569"/>
    </row>
    <row r="172" spans="1:14" ht="12.75" customHeight="1" thickBot="1" x14ac:dyDescent="0.25">
      <c r="A172" s="1690" t="s">
        <v>659</v>
      </c>
      <c r="B172" s="1691" t="s">
        <v>513</v>
      </c>
      <c r="C172" s="617"/>
      <c r="D172" s="617"/>
      <c r="E172" s="1699">
        <f>SUM(E168,E169,E170,E171)</f>
        <v>0</v>
      </c>
      <c r="F172" s="617"/>
      <c r="G172" s="617"/>
      <c r="H172" s="1699">
        <f>SUM(H168,H169,H170,H171)</f>
        <v>1912403</v>
      </c>
      <c r="I172" s="639"/>
      <c r="J172" s="617"/>
      <c r="K172" s="1699">
        <f>SUM(K168,K169,K170,K171)</f>
        <v>1912403</v>
      </c>
      <c r="L172" s="1699">
        <f>SUM(L168,L169,L170,L171)</f>
        <v>1911624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1912403</v>
      </c>
      <c r="I174" s="639"/>
      <c r="J174" s="617"/>
      <c r="K174" s="1699">
        <f>SUM(K160,K172,K173)</f>
        <v>1912403</v>
      </c>
      <c r="L174" s="1699">
        <f>SUM(L160,L172,L173)</f>
        <v>1911624</v>
      </c>
    </row>
    <row r="175" spans="1:14" ht="13.5" thickTop="1" x14ac:dyDescent="0.2">
      <c r="A175" s="2172" t="s">
        <v>1053</v>
      </c>
      <c r="B175" s="2173"/>
      <c r="C175" s="617"/>
      <c r="D175" s="617"/>
      <c r="E175" s="617"/>
      <c r="F175" s="617"/>
      <c r="G175" s="617"/>
      <c r="H175" s="619"/>
      <c r="I175" s="617"/>
      <c r="J175" s="617"/>
      <c r="K175" s="1706">
        <f>'Revenues 9-14'!E275-'Expenditures 15-22'!K174</f>
        <v>-709763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234802</v>
      </c>
      <c r="D182" s="466">
        <v>51447</v>
      </c>
      <c r="E182" s="466">
        <v>25988</v>
      </c>
      <c r="F182" s="466">
        <v>87186</v>
      </c>
      <c r="G182" s="466">
        <v>51053</v>
      </c>
      <c r="H182" s="466">
        <v>132032</v>
      </c>
      <c r="I182" s="467"/>
      <c r="J182" s="467"/>
      <c r="K182" s="1693">
        <f>SUM(C182:J182)</f>
        <v>582508</v>
      </c>
      <c r="L182" s="466">
        <v>624153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234802</v>
      </c>
      <c r="D184" s="1699">
        <f t="shared" ref="D184:J184" si="17">SUM(D180,D182,D183)</f>
        <v>51447</v>
      </c>
      <c r="E184" s="1699">
        <f t="shared" si="17"/>
        <v>25988</v>
      </c>
      <c r="F184" s="1699">
        <f t="shared" si="17"/>
        <v>87186</v>
      </c>
      <c r="G184" s="1699">
        <f t="shared" si="17"/>
        <v>51053</v>
      </c>
      <c r="H184" s="1699">
        <f t="shared" si="17"/>
        <v>132032</v>
      </c>
      <c r="I184" s="1699">
        <f t="shared" si="17"/>
        <v>0</v>
      </c>
      <c r="J184" s="1699">
        <f t="shared" si="17"/>
        <v>0</v>
      </c>
      <c r="K184" s="1699">
        <f>SUM(K180,K182,K183)</f>
        <v>582508</v>
      </c>
      <c r="L184" s="1699">
        <f>SUM(L180, L182:L183)</f>
        <v>624153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234802</v>
      </c>
      <c r="D210" s="1692">
        <f>SUM(D184,D185)</f>
        <v>51447</v>
      </c>
      <c r="E210" s="1692">
        <f>SUM(E184,E185,E196)</f>
        <v>25988</v>
      </c>
      <c r="F210" s="1692">
        <f>SUM(F184,F185)</f>
        <v>87186</v>
      </c>
      <c r="G210" s="1692">
        <f>SUM(G184,G185)</f>
        <v>51053</v>
      </c>
      <c r="H210" s="1692">
        <f>SUM(H184,H185,H196,H208,H209)</f>
        <v>132032</v>
      </c>
      <c r="I210" s="1692">
        <f>SUM(I184,I185)</f>
        <v>0</v>
      </c>
      <c r="J210" s="1692">
        <f>SUM(J184,J185)</f>
        <v>0</v>
      </c>
      <c r="K210" s="1693">
        <f>SUM(K184,K185,K196,K208,K209)</f>
        <v>582508</v>
      </c>
      <c r="L210" s="1692">
        <f>SUM(L184,L185,L196,L208,L209)</f>
        <v>624153</v>
      </c>
    </row>
    <row r="211" spans="1:14" ht="13.5" thickTop="1" x14ac:dyDescent="0.2">
      <c r="A211" s="2172" t="s">
        <v>1053</v>
      </c>
      <c r="B211" s="2173"/>
      <c r="C211" s="619"/>
      <c r="D211" s="619"/>
      <c r="E211" s="619"/>
      <c r="F211" s="619"/>
      <c r="G211" s="619"/>
      <c r="H211" s="619"/>
      <c r="I211" s="617"/>
      <c r="J211" s="617"/>
      <c r="K211" s="1706">
        <f>'Revenues 9-14'!F275-'Expenditures 15-22'!K210</f>
        <v>154618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30221</v>
      </c>
      <c r="E215" s="617"/>
      <c r="F215" s="617"/>
      <c r="G215" s="617"/>
      <c r="H215" s="617"/>
      <c r="I215" s="617"/>
      <c r="J215" s="617"/>
      <c r="K215" s="1693">
        <f>D215</f>
        <v>30221</v>
      </c>
      <c r="L215" s="466">
        <v>22143</v>
      </c>
    </row>
    <row r="216" spans="1:14" x14ac:dyDescent="0.2">
      <c r="A216" s="1526" t="s">
        <v>165</v>
      </c>
      <c r="B216" s="615" t="s">
        <v>1024</v>
      </c>
      <c r="C216" s="617"/>
      <c r="D216" s="467"/>
      <c r="E216" s="617"/>
      <c r="F216" s="617"/>
      <c r="G216" s="617"/>
      <c r="H216" s="617"/>
      <c r="I216" s="617"/>
      <c r="J216" s="617"/>
      <c r="K216" s="1693">
        <f t="shared" ref="K216:K228" si="19">D216</f>
        <v>0</v>
      </c>
      <c r="L216" s="466">
        <v>8443</v>
      </c>
    </row>
    <row r="217" spans="1:14" x14ac:dyDescent="0.2">
      <c r="A217" s="1526" t="s">
        <v>166</v>
      </c>
      <c r="B217" s="615">
        <v>1200</v>
      </c>
      <c r="C217" s="617"/>
      <c r="D217" s="466">
        <v>21675</v>
      </c>
      <c r="E217" s="617"/>
      <c r="F217" s="617"/>
      <c r="G217" s="617"/>
      <c r="H217" s="617"/>
      <c r="I217" s="617"/>
      <c r="J217" s="617"/>
      <c r="K217" s="1693">
        <f t="shared" si="19"/>
        <v>21675</v>
      </c>
      <c r="L217" s="466">
        <v>22003</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1309</v>
      </c>
      <c r="E219" s="617"/>
      <c r="F219" s="617"/>
      <c r="G219" s="617"/>
      <c r="H219" s="617"/>
      <c r="I219" s="617"/>
      <c r="J219" s="617"/>
      <c r="K219" s="1693">
        <f t="shared" si="19"/>
        <v>1309</v>
      </c>
      <c r="L219" s="466">
        <v>1282</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1978</v>
      </c>
      <c r="E222" s="617"/>
      <c r="F222" s="617"/>
      <c r="G222" s="617"/>
      <c r="H222" s="617"/>
      <c r="I222" s="617"/>
      <c r="J222" s="617"/>
      <c r="K222" s="1693">
        <f t="shared" si="19"/>
        <v>1978</v>
      </c>
      <c r="L222" s="466">
        <v>2027</v>
      </c>
    </row>
    <row r="223" spans="1:14" x14ac:dyDescent="0.2">
      <c r="A223" s="1526" t="s">
        <v>1020</v>
      </c>
      <c r="B223" s="615">
        <v>1500</v>
      </c>
      <c r="C223" s="617"/>
      <c r="D223" s="466">
        <v>6576</v>
      </c>
      <c r="E223" s="617"/>
      <c r="F223" s="617"/>
      <c r="G223" s="617"/>
      <c r="H223" s="617"/>
      <c r="I223" s="617"/>
      <c r="J223" s="617"/>
      <c r="K223" s="1693">
        <f t="shared" si="19"/>
        <v>6576</v>
      </c>
      <c r="L223" s="466">
        <v>7165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61759</v>
      </c>
      <c r="E229" s="617"/>
      <c r="F229" s="617"/>
      <c r="G229" s="617"/>
      <c r="H229" s="617"/>
      <c r="I229" s="617"/>
      <c r="J229" s="617"/>
      <c r="K229" s="1692">
        <f>SUM(K215:K228)</f>
        <v>61759</v>
      </c>
      <c r="L229" s="1692">
        <f>SUM(L215:L228)</f>
        <v>63063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869</v>
      </c>
      <c r="E234" s="617"/>
      <c r="F234" s="617"/>
      <c r="G234" s="617"/>
      <c r="H234" s="617"/>
      <c r="I234" s="617"/>
      <c r="J234" s="617"/>
      <c r="K234" s="1693">
        <f t="shared" si="20"/>
        <v>869</v>
      </c>
      <c r="L234" s="466">
        <v>869</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528</v>
      </c>
      <c r="E237" s="617"/>
      <c r="F237" s="617"/>
      <c r="G237" s="617"/>
      <c r="H237" s="617"/>
      <c r="I237" s="617"/>
      <c r="J237" s="617"/>
      <c r="K237" s="1693">
        <f t="shared" si="20"/>
        <v>528</v>
      </c>
      <c r="L237" s="466">
        <v>830</v>
      </c>
    </row>
    <row r="238" spans="1:12" ht="12.75" customHeight="1" thickBot="1" x14ac:dyDescent="0.25">
      <c r="A238" s="1690" t="s">
        <v>581</v>
      </c>
      <c r="B238" s="1697" t="s">
        <v>740</v>
      </c>
      <c r="C238" s="617"/>
      <c r="D238" s="1692">
        <f>SUM(D232:D237)</f>
        <v>1397</v>
      </c>
      <c r="E238" s="617"/>
      <c r="F238" s="617"/>
      <c r="G238" s="617"/>
      <c r="H238" s="617"/>
      <c r="I238" s="617"/>
      <c r="J238" s="617"/>
      <c r="K238" s="1692">
        <f>SUM(K232:K237)</f>
        <v>1397</v>
      </c>
      <c r="L238" s="1692">
        <f>SUM(L232:L237)</f>
        <v>1699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209</v>
      </c>
      <c r="E240" s="617"/>
      <c r="F240" s="617"/>
      <c r="G240" s="617"/>
      <c r="H240" s="617"/>
      <c r="I240" s="617"/>
      <c r="J240" s="617"/>
      <c r="K240" s="1694">
        <f>D240</f>
        <v>209</v>
      </c>
      <c r="L240" s="481">
        <v>203</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209</v>
      </c>
      <c r="E243" s="617"/>
      <c r="F243" s="617"/>
      <c r="G243" s="617"/>
      <c r="H243" s="617"/>
      <c r="I243" s="617"/>
      <c r="J243" s="617"/>
      <c r="K243" s="1692">
        <f>SUM(K240:K242)</f>
        <v>209</v>
      </c>
      <c r="L243" s="1692">
        <f>SUM(L240:L242)</f>
        <v>203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167</v>
      </c>
      <c r="E245" s="617"/>
      <c r="F245" s="617"/>
      <c r="G245" s="617"/>
      <c r="H245" s="617"/>
      <c r="I245" s="617"/>
      <c r="J245" s="617"/>
      <c r="K245" s="1694">
        <f>D245</f>
        <v>167</v>
      </c>
      <c r="L245" s="481">
        <v>167</v>
      </c>
    </row>
    <row r="246" spans="1:12" x14ac:dyDescent="0.2">
      <c r="A246" s="1526" t="s">
        <v>872</v>
      </c>
      <c r="B246" s="615">
        <v>2320</v>
      </c>
      <c r="C246" s="617"/>
      <c r="D246" s="466">
        <v>2615</v>
      </c>
      <c r="E246" s="617"/>
      <c r="F246" s="617"/>
      <c r="G246" s="617"/>
      <c r="H246" s="617"/>
      <c r="I246" s="617"/>
      <c r="J246" s="617"/>
      <c r="K246" s="1694">
        <f t="shared" ref="K246:K256" si="21">D246</f>
        <v>2615</v>
      </c>
      <c r="L246" s="466">
        <v>2277</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24989</v>
      </c>
      <c r="E254" s="617"/>
      <c r="F254" s="617"/>
      <c r="G254" s="617"/>
      <c r="H254" s="617"/>
      <c r="I254" s="617"/>
      <c r="J254" s="617"/>
      <c r="K254" s="1694">
        <f t="shared" si="21"/>
        <v>24989</v>
      </c>
      <c r="L254" s="466">
        <v>28558</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27771</v>
      </c>
      <c r="E257" s="617"/>
      <c r="F257" s="617"/>
      <c r="G257" s="617"/>
      <c r="H257" s="617"/>
      <c r="I257" s="617"/>
      <c r="J257" s="617"/>
      <c r="K257" s="1692">
        <f>SUM(K245:K256)</f>
        <v>27771</v>
      </c>
      <c r="L257" s="1692">
        <f>SUM(L245:L256)</f>
        <v>31002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15481</v>
      </c>
      <c r="E259" s="617"/>
      <c r="F259" s="617"/>
      <c r="G259" s="617"/>
      <c r="H259" s="617"/>
      <c r="I259" s="617"/>
      <c r="J259" s="617"/>
      <c r="K259" s="1694">
        <f>D259</f>
        <v>15481</v>
      </c>
      <c r="L259" s="481">
        <v>16793</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15481</v>
      </c>
      <c r="E261" s="617"/>
      <c r="F261" s="617"/>
      <c r="G261" s="617"/>
      <c r="H261" s="617"/>
      <c r="I261" s="617"/>
      <c r="J261" s="617"/>
      <c r="K261" s="1692">
        <f>SUM(K259:K260)</f>
        <v>15481</v>
      </c>
      <c r="L261" s="1692">
        <f>SUM(L259:L260)</f>
        <v>16793</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3077</v>
      </c>
      <c r="E263" s="617"/>
      <c r="F263" s="617"/>
      <c r="G263" s="617"/>
      <c r="H263" s="617"/>
      <c r="I263" s="617"/>
      <c r="J263" s="617"/>
      <c r="K263" s="1694">
        <f>D263</f>
        <v>3077</v>
      </c>
      <c r="L263" s="481">
        <v>3354</v>
      </c>
    </row>
    <row r="264" spans="1:14" x14ac:dyDescent="0.2">
      <c r="A264" s="1526" t="s">
        <v>483</v>
      </c>
      <c r="B264" s="686">
        <v>2520</v>
      </c>
      <c r="C264" s="617"/>
      <c r="D264" s="466">
        <v>7830</v>
      </c>
      <c r="E264" s="617"/>
      <c r="F264" s="617"/>
      <c r="G264" s="617"/>
      <c r="H264" s="617"/>
      <c r="I264" s="617"/>
      <c r="J264" s="617"/>
      <c r="K264" s="1694">
        <f t="shared" ref="K264:K269" si="22">D264</f>
        <v>7830</v>
      </c>
      <c r="L264" s="466">
        <v>8760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14123</v>
      </c>
      <c r="E266" s="617"/>
      <c r="F266" s="617"/>
      <c r="G266" s="617"/>
      <c r="H266" s="617"/>
      <c r="I266" s="617"/>
      <c r="J266" s="617"/>
      <c r="K266" s="1694">
        <f t="shared" si="22"/>
        <v>14123</v>
      </c>
      <c r="L266" s="466">
        <v>10984</v>
      </c>
    </row>
    <row r="267" spans="1:14" x14ac:dyDescent="0.2">
      <c r="A267" s="1526" t="s">
        <v>1010</v>
      </c>
      <c r="B267" s="615">
        <v>2550</v>
      </c>
      <c r="C267" s="617"/>
      <c r="D267" s="466">
        <v>24925</v>
      </c>
      <c r="E267" s="617"/>
      <c r="F267" s="617"/>
      <c r="G267" s="617"/>
      <c r="H267" s="617"/>
      <c r="I267" s="617"/>
      <c r="J267" s="617"/>
      <c r="K267" s="1694">
        <f t="shared" si="22"/>
        <v>24925</v>
      </c>
      <c r="L267" s="466">
        <v>22839</v>
      </c>
    </row>
    <row r="268" spans="1:14" x14ac:dyDescent="0.2">
      <c r="A268" s="1526" t="s">
        <v>102</v>
      </c>
      <c r="B268" s="615">
        <v>2560</v>
      </c>
      <c r="C268" s="617"/>
      <c r="D268" s="466">
        <v>8198</v>
      </c>
      <c r="E268" s="617"/>
      <c r="F268" s="617"/>
      <c r="G268" s="617"/>
      <c r="H268" s="617"/>
      <c r="I268" s="617"/>
      <c r="J268" s="617"/>
      <c r="K268" s="1694">
        <f t="shared" si="22"/>
        <v>8198</v>
      </c>
      <c r="L268" s="466">
        <v>7994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58153</v>
      </c>
      <c r="E270" s="617"/>
      <c r="F270" s="617"/>
      <c r="G270" s="617"/>
      <c r="H270" s="617"/>
      <c r="I270" s="617"/>
      <c r="J270" s="617"/>
      <c r="K270" s="1692">
        <f>SUM(K263:K269)</f>
        <v>58153</v>
      </c>
      <c r="L270" s="1692">
        <f>SUM(L263:L269)</f>
        <v>53931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103011</v>
      </c>
      <c r="E279" s="617"/>
      <c r="F279" s="617"/>
      <c r="G279" s="617"/>
      <c r="H279" s="617"/>
      <c r="I279" s="617"/>
      <c r="J279" s="617"/>
      <c r="K279" s="1699">
        <f>SUM(K238,K243,K257,K261,K270,K277,K278)</f>
        <v>103011</v>
      </c>
      <c r="L279" s="1699">
        <f>SUM(L238,L243,L257,L261,L270,L277,L278)</f>
        <v>103628</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v>1916</v>
      </c>
      <c r="E282" s="617"/>
      <c r="F282" s="617"/>
      <c r="G282" s="617"/>
      <c r="H282" s="617"/>
      <c r="I282" s="617"/>
      <c r="J282" s="617"/>
      <c r="K282" s="1693">
        <f>D282</f>
        <v>1916</v>
      </c>
      <c r="L282" s="467">
        <v>1916</v>
      </c>
    </row>
    <row r="283" spans="1:12" x14ac:dyDescent="0.2">
      <c r="A283" s="1526" t="s">
        <v>322</v>
      </c>
      <c r="B283" s="615">
        <v>4120</v>
      </c>
      <c r="C283" s="617"/>
      <c r="D283" s="466">
        <v>12145</v>
      </c>
      <c r="E283" s="617"/>
      <c r="F283" s="617"/>
      <c r="G283" s="617"/>
      <c r="H283" s="617"/>
      <c r="I283" s="617"/>
      <c r="J283" s="617"/>
      <c r="K283" s="1693">
        <f>D283</f>
        <v>12145</v>
      </c>
      <c r="L283" s="466">
        <v>12145</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14061</v>
      </c>
      <c r="E285" s="617"/>
      <c r="F285" s="617"/>
      <c r="G285" s="617"/>
      <c r="H285" s="617"/>
      <c r="I285" s="617"/>
      <c r="J285" s="617"/>
      <c r="K285" s="1692">
        <f>SUM(K282:K284)</f>
        <v>14061</v>
      </c>
      <c r="L285" s="1692">
        <f>SUM(L282:L284)</f>
        <v>14061</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178831</v>
      </c>
      <c r="E295" s="617"/>
      <c r="F295" s="617"/>
      <c r="G295" s="617"/>
      <c r="H295" s="1692">
        <f>H293</f>
        <v>0</v>
      </c>
      <c r="I295" s="617"/>
      <c r="J295" s="617"/>
      <c r="K295" s="1692">
        <f>SUM(K229,K279,K280,K285,K293,K294)</f>
        <v>178831</v>
      </c>
      <c r="L295" s="1692">
        <f>SUM(L229,L279,L280,L285,L293,L294)</f>
        <v>180752</v>
      </c>
    </row>
    <row r="296" spans="1:14" ht="13.5" thickTop="1" x14ac:dyDescent="0.2">
      <c r="A296" s="2172" t="s">
        <v>1053</v>
      </c>
      <c r="B296" s="2173"/>
      <c r="C296" s="617"/>
      <c r="D296" s="619"/>
      <c r="E296" s="617"/>
      <c r="F296" s="617"/>
      <c r="G296" s="617"/>
      <c r="H296" s="688"/>
      <c r="I296" s="617"/>
      <c r="J296" s="617"/>
      <c r="K296" s="1706">
        <f>'Revenues 9-14'!G275-'Expenditures 15-22'!K295</f>
        <v>52894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83158</v>
      </c>
      <c r="H301" s="466"/>
      <c r="I301" s="467"/>
      <c r="J301" s="467"/>
      <c r="K301" s="1693">
        <f>SUM(C301:J301)</f>
        <v>83158</v>
      </c>
      <c r="L301" s="467">
        <v>129000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83158</v>
      </c>
      <c r="H303" s="1699">
        <f t="shared" si="23"/>
        <v>0</v>
      </c>
      <c r="I303" s="1699">
        <f t="shared" si="23"/>
        <v>0</v>
      </c>
      <c r="J303" s="1699">
        <f t="shared" si="23"/>
        <v>0</v>
      </c>
      <c r="K303" s="1699">
        <f t="shared" si="23"/>
        <v>83158</v>
      </c>
      <c r="L303" s="1699">
        <f t="shared" si="23"/>
        <v>129000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83158</v>
      </c>
      <c r="H312" s="1692">
        <f>SUM(H303,H310)</f>
        <v>0</v>
      </c>
      <c r="I312" s="1692">
        <f>SUM(I303)</f>
        <v>0</v>
      </c>
      <c r="J312" s="1692">
        <f>SUM(J303)</f>
        <v>0</v>
      </c>
      <c r="K312" s="1692">
        <f>SUM(K303,K310,K311)</f>
        <v>83158</v>
      </c>
      <c r="L312" s="1692">
        <f>SUM(L303,L310,L311)</f>
        <v>129000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-76163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4657</v>
      </c>
      <c r="F321" s="467"/>
      <c r="G321" s="467"/>
      <c r="H321" s="467"/>
      <c r="I321" s="467"/>
      <c r="J321" s="467"/>
      <c r="K321" s="1693">
        <f t="shared" si="24"/>
        <v>4657</v>
      </c>
      <c r="L321" s="467">
        <v>50000</v>
      </c>
      <c r="M321" s="666"/>
      <c r="N321" s="666"/>
    </row>
    <row r="322" spans="1:14" s="675" customFormat="1" x14ac:dyDescent="0.2">
      <c r="A322" s="1541" t="s">
        <v>256</v>
      </c>
      <c r="B322" s="698" t="s">
        <v>302</v>
      </c>
      <c r="C322" s="467"/>
      <c r="D322" s="467"/>
      <c r="E322" s="467">
        <v>119710</v>
      </c>
      <c r="F322" s="467"/>
      <c r="G322" s="467"/>
      <c r="H322" s="467"/>
      <c r="I322" s="467"/>
      <c r="J322" s="467"/>
      <c r="K322" s="1693">
        <f t="shared" si="24"/>
        <v>119710</v>
      </c>
      <c r="L322" s="467">
        <v>143000</v>
      </c>
      <c r="M322" s="666"/>
      <c r="N322" s="666"/>
    </row>
    <row r="323" spans="1:14" s="675" customFormat="1" x14ac:dyDescent="0.2">
      <c r="A323" s="1541" t="s">
        <v>726</v>
      </c>
      <c r="B323" s="698" t="s">
        <v>303</v>
      </c>
      <c r="C323" s="467"/>
      <c r="D323" s="467"/>
      <c r="E323" s="467">
        <v>8479</v>
      </c>
      <c r="F323" s="467"/>
      <c r="G323" s="467"/>
      <c r="H323" s="467"/>
      <c r="I323" s="467"/>
      <c r="J323" s="467"/>
      <c r="K323" s="1693">
        <f t="shared" si="24"/>
        <v>8479</v>
      </c>
      <c r="L323" s="467">
        <v>10500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449671</v>
      </c>
      <c r="D325" s="467">
        <v>131879</v>
      </c>
      <c r="E325" s="467">
        <v>18437</v>
      </c>
      <c r="F325" s="467"/>
      <c r="G325" s="467"/>
      <c r="H325" s="467">
        <v>51180</v>
      </c>
      <c r="I325" s="467"/>
      <c r="J325" s="467"/>
      <c r="K325" s="1693">
        <f t="shared" si="24"/>
        <v>651167</v>
      </c>
      <c r="L325" s="467">
        <v>695230</v>
      </c>
      <c r="M325" s="666"/>
      <c r="N325" s="666"/>
    </row>
    <row r="326" spans="1:14" s="675" customFormat="1" x14ac:dyDescent="0.2">
      <c r="A326" s="1541" t="s">
        <v>1088</v>
      </c>
      <c r="B326" s="698" t="s">
        <v>306</v>
      </c>
      <c r="C326" s="467"/>
      <c r="D326" s="467"/>
      <c r="E326" s="467">
        <v>4629</v>
      </c>
      <c r="F326" s="467"/>
      <c r="G326" s="467"/>
      <c r="H326" s="467"/>
      <c r="I326" s="467"/>
      <c r="J326" s="467"/>
      <c r="K326" s="1693">
        <f t="shared" si="24"/>
        <v>4629</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25000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449671</v>
      </c>
      <c r="D330" s="1692">
        <f t="shared" ref="D330:J330" si="25">SUM(D319:D329)</f>
        <v>131879</v>
      </c>
      <c r="E330" s="1692">
        <f t="shared" si="25"/>
        <v>155912</v>
      </c>
      <c r="F330" s="1692">
        <f t="shared" si="25"/>
        <v>0</v>
      </c>
      <c r="G330" s="1692">
        <f t="shared" si="25"/>
        <v>0</v>
      </c>
      <c r="H330" s="1692">
        <f t="shared" si="25"/>
        <v>51180</v>
      </c>
      <c r="I330" s="1692">
        <f t="shared" si="25"/>
        <v>0</v>
      </c>
      <c r="J330" s="1692">
        <f t="shared" si="25"/>
        <v>0</v>
      </c>
      <c r="K330" s="1692">
        <f>SUM(K319:K329)</f>
        <v>788642</v>
      </c>
      <c r="L330" s="1692">
        <f>SUM(L319:L329)</f>
        <v>923730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449671</v>
      </c>
      <c r="D342" s="1692">
        <f>SUM(D330)</f>
        <v>131879</v>
      </c>
      <c r="E342" s="1692">
        <f>SUM(E330)</f>
        <v>155912</v>
      </c>
      <c r="F342" s="1692">
        <f>SUM(F330)</f>
        <v>0</v>
      </c>
      <c r="G342" s="1692">
        <f>SUM(G330)</f>
        <v>0</v>
      </c>
      <c r="H342" s="1692">
        <f>SUM(H330,H334,H340)</f>
        <v>51180</v>
      </c>
      <c r="I342" s="1692">
        <f>SUM(I330)</f>
        <v>0</v>
      </c>
      <c r="J342" s="1692">
        <f>SUM(J330)</f>
        <v>0</v>
      </c>
      <c r="K342" s="1692">
        <f>SUM(K330,K334,K340)</f>
        <v>788642</v>
      </c>
      <c r="L342" s="1699">
        <f>SUM(L330,L340,L341)</f>
        <v>923730</v>
      </c>
    </row>
    <row r="343" spans="1:14" ht="12.75" customHeight="1" thickTop="1" x14ac:dyDescent="0.2">
      <c r="A343" s="2185" t="s">
        <v>1053</v>
      </c>
      <c r="B343" s="2186"/>
      <c r="C343" s="617"/>
      <c r="D343" s="617"/>
      <c r="E343" s="617"/>
      <c r="F343" s="617"/>
      <c r="G343" s="617"/>
      <c r="H343" s="617"/>
      <c r="I343" s="617"/>
      <c r="J343" s="617"/>
      <c r="K343" s="1706">
        <f>'Revenues 9-14'!J275-'Expenditures 15-22'!K342</f>
        <v>73744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319664</v>
      </c>
      <c r="F348" s="466"/>
      <c r="G348" s="466">
        <v>52874</v>
      </c>
      <c r="H348" s="466"/>
      <c r="I348" s="467"/>
      <c r="J348" s="467"/>
      <c r="K348" s="1693">
        <f>SUM(C348:J348)</f>
        <v>372538</v>
      </c>
      <c r="L348" s="466">
        <v>647862</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319664</v>
      </c>
      <c r="F350" s="1692">
        <f t="shared" si="26"/>
        <v>0</v>
      </c>
      <c r="G350" s="1692">
        <f t="shared" si="26"/>
        <v>52874</v>
      </c>
      <c r="H350" s="1692">
        <f t="shared" si="26"/>
        <v>0</v>
      </c>
      <c r="I350" s="1692">
        <f t="shared" si="26"/>
        <v>0</v>
      </c>
      <c r="J350" s="1692">
        <f t="shared" si="26"/>
        <v>0</v>
      </c>
      <c r="K350" s="1692">
        <f t="shared" si="26"/>
        <v>372538</v>
      </c>
      <c r="L350" s="1692">
        <f t="shared" si="26"/>
        <v>647862</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319664</v>
      </c>
      <c r="F352" s="1692">
        <f t="shared" si="27"/>
        <v>0</v>
      </c>
      <c r="G352" s="1692">
        <f t="shared" si="27"/>
        <v>52874</v>
      </c>
      <c r="H352" s="1692">
        <f t="shared" si="27"/>
        <v>0</v>
      </c>
      <c r="I352" s="1692">
        <f t="shared" si="27"/>
        <v>0</v>
      </c>
      <c r="J352" s="1692">
        <f t="shared" si="27"/>
        <v>0</v>
      </c>
      <c r="K352" s="1692">
        <f t="shared" si="27"/>
        <v>372538</v>
      </c>
      <c r="L352" s="1692">
        <f t="shared" si="27"/>
        <v>647862</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319664</v>
      </c>
      <c r="F367" s="1692">
        <f t="shared" si="28"/>
        <v>0</v>
      </c>
      <c r="G367" s="1692">
        <f t="shared" si="28"/>
        <v>52874</v>
      </c>
      <c r="H367" s="1692">
        <f t="shared" si="28"/>
        <v>0</v>
      </c>
      <c r="I367" s="1692">
        <f t="shared" si="28"/>
        <v>0</v>
      </c>
      <c r="J367" s="1692">
        <f t="shared" si="28"/>
        <v>0</v>
      </c>
      <c r="K367" s="1692">
        <f t="shared" si="28"/>
        <v>372538</v>
      </c>
      <c r="L367" s="1692">
        <f t="shared" si="28"/>
        <v>647862</v>
      </c>
    </row>
    <row r="368" spans="1:14" ht="13.5" thickTop="1" x14ac:dyDescent="0.2">
      <c r="A368" s="2172" t="s">
        <v>1053</v>
      </c>
      <c r="B368" s="2173"/>
      <c r="C368" s="655"/>
      <c r="D368" s="655"/>
      <c r="E368" s="627"/>
      <c r="F368" s="627"/>
      <c r="G368" s="627"/>
      <c r="H368" s="627"/>
      <c r="I368" s="627"/>
      <c r="J368" s="624"/>
      <c r="K368" s="1693">
        <f>'Revenues 9-14'!K275-'Expenditures 15-22'!K367</f>
        <v>-306561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&amp;C&amp;"Arial,Bold"&amp;9STATEMENT OF EXPENDITURES DISBURSED, BUDGET TO ACTUAL
FOR THE YEAR ENDING JUNE 30, 2018</oddHeader>
    <oddFooter>&amp;L&amp;8Print Date: &amp;D
&amp;F&amp;CSee Accompanying Notes to Financial Statements.</oddFooter>
  </headerFooter>
  <rowBreaks count="6" manualBreakCount="6">
    <brk id="53" max="16383" man="1"/>
    <brk id="153" max="16383" man="1"/>
    <brk id="203" max="11"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2452342</v>
      </c>
      <c r="C4" s="1546">
        <v>1210054</v>
      </c>
      <c r="D4" s="1774">
        <f>B4-C4</f>
        <v>1242288</v>
      </c>
      <c r="E4" s="1546">
        <v>2538593</v>
      </c>
      <c r="F4" s="1774">
        <f>E4-C4</f>
        <v>1328539</v>
      </c>
    </row>
    <row r="5" spans="1:6" ht="13.7" customHeight="1" x14ac:dyDescent="0.2">
      <c r="A5" s="716" t="s">
        <v>925</v>
      </c>
      <c r="B5" s="1772">
        <f>'Revenues 9-14'!D5</f>
        <v>506334</v>
      </c>
      <c r="C5" s="585">
        <v>248982</v>
      </c>
      <c r="D5" s="1775">
        <f t="shared" ref="D5:D18" si="0">B5-C5</f>
        <v>257352</v>
      </c>
      <c r="E5" s="585">
        <v>522344</v>
      </c>
      <c r="F5" s="1775">
        <f>E5-C5</f>
        <v>273362</v>
      </c>
    </row>
    <row r="6" spans="1:6" ht="13.7" customHeight="1" x14ac:dyDescent="0.2">
      <c r="A6" s="716" t="s">
        <v>431</v>
      </c>
      <c r="B6" s="1772">
        <f>'Revenues 9-14'!E5</f>
        <v>1197673</v>
      </c>
      <c r="C6" s="585">
        <v>520800</v>
      </c>
      <c r="D6" s="1775">
        <f t="shared" si="0"/>
        <v>676873</v>
      </c>
      <c r="E6" s="585">
        <v>1098824</v>
      </c>
      <c r="F6" s="1775">
        <f t="shared" ref="F6:F18" si="1">E6-C6</f>
        <v>578024</v>
      </c>
    </row>
    <row r="7" spans="1:6" ht="13.7" customHeight="1" x14ac:dyDescent="0.2">
      <c r="A7" s="716" t="s">
        <v>157</v>
      </c>
      <c r="B7" s="1772">
        <f>'Revenues 9-14'!F5</f>
        <v>201841</v>
      </c>
      <c r="C7" s="585">
        <v>99594</v>
      </c>
      <c r="D7" s="1775">
        <f t="shared" si="0"/>
        <v>102247</v>
      </c>
      <c r="E7" s="585">
        <v>208938</v>
      </c>
      <c r="F7" s="1775">
        <f t="shared" si="1"/>
        <v>109344</v>
      </c>
    </row>
    <row r="8" spans="1:6" ht="13.7" customHeight="1" x14ac:dyDescent="0.2">
      <c r="A8" s="716" t="s">
        <v>1241</v>
      </c>
      <c r="B8" s="1772">
        <f>'Revenues 9-14'!G5</f>
        <v>68715</v>
      </c>
      <c r="C8" s="585">
        <v>28283</v>
      </c>
      <c r="D8" s="1775">
        <f t="shared" si="0"/>
        <v>40432</v>
      </c>
      <c r="E8" s="585">
        <v>59401</v>
      </c>
      <c r="F8" s="1775">
        <f t="shared" si="1"/>
        <v>31118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50461</v>
      </c>
      <c r="C10" s="585">
        <v>24899</v>
      </c>
      <c r="D10" s="1775">
        <f t="shared" si="0"/>
        <v>25562</v>
      </c>
      <c r="E10" s="585">
        <v>52234</v>
      </c>
      <c r="F10" s="1775">
        <f t="shared" si="1"/>
        <v>27335</v>
      </c>
    </row>
    <row r="11" spans="1:6" x14ac:dyDescent="0.2">
      <c r="A11" s="716" t="s">
        <v>429</v>
      </c>
      <c r="B11" s="1772">
        <f>'Revenues 9-14'!J5</f>
        <v>852250</v>
      </c>
      <c r="C11" s="585">
        <v>410571</v>
      </c>
      <c r="D11" s="1775">
        <f t="shared" si="0"/>
        <v>441679</v>
      </c>
      <c r="E11" s="585">
        <v>862275</v>
      </c>
      <c r="F11" s="1775">
        <f t="shared" si="1"/>
        <v>451704</v>
      </c>
    </row>
    <row r="12" spans="1:6" ht="13.7" customHeight="1" x14ac:dyDescent="0.2">
      <c r="A12" s="716" t="s">
        <v>159</v>
      </c>
      <c r="B12" s="1772">
        <f>'Revenues 9-14'!K5</f>
        <v>50461</v>
      </c>
      <c r="C12" s="585">
        <v>24899</v>
      </c>
      <c r="D12" s="1775">
        <f t="shared" si="0"/>
        <v>25562</v>
      </c>
      <c r="E12" s="585">
        <v>52234</v>
      </c>
      <c r="F12" s="1775">
        <f t="shared" si="1"/>
        <v>27335</v>
      </c>
    </row>
    <row r="13" spans="1:6" ht="13.7" customHeight="1" x14ac:dyDescent="0.2">
      <c r="A13" s="716" t="s">
        <v>993</v>
      </c>
      <c r="B13" s="1772">
        <f>SUM('Revenues 9-14'!C6:D6)</f>
        <v>50461</v>
      </c>
      <c r="C13" s="585">
        <v>24899</v>
      </c>
      <c r="D13" s="1775">
        <f t="shared" si="0"/>
        <v>25562</v>
      </c>
      <c r="E13" s="585">
        <v>52234</v>
      </c>
      <c r="F13" s="1775">
        <f t="shared" si="1"/>
        <v>27335</v>
      </c>
    </row>
    <row r="14" spans="1:6" ht="13.7" customHeight="1" x14ac:dyDescent="0.2">
      <c r="A14" s="716" t="s">
        <v>430</v>
      </c>
      <c r="B14" s="1772">
        <f>SUM('Revenues 9-14'!C7:D7,'Revenues 9-14'!F7:H7)</f>
        <v>40367</v>
      </c>
      <c r="C14" s="585">
        <v>19918</v>
      </c>
      <c r="D14" s="1775">
        <f t="shared" si="0"/>
        <v>20449</v>
      </c>
      <c r="E14" s="585">
        <v>41788</v>
      </c>
      <c r="F14" s="1775">
        <f t="shared" si="1"/>
        <v>21870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157292</v>
      </c>
      <c r="C16" s="585">
        <v>64942</v>
      </c>
      <c r="D16" s="1775">
        <f t="shared" si="0"/>
        <v>92350</v>
      </c>
      <c r="E16" s="585">
        <v>136395</v>
      </c>
      <c r="F16" s="1775">
        <f t="shared" si="1"/>
        <v>71453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5628197</v>
      </c>
      <c r="C19" s="1773">
        <f>SUM(C4:C18)</f>
        <v>2677841</v>
      </c>
      <c r="D19" s="1773">
        <f>SUM(D4:D18)</f>
        <v>2950356</v>
      </c>
      <c r="E19" s="1773">
        <f>SUM(E4:E18)</f>
        <v>5625260</v>
      </c>
      <c r="F19" s="1773">
        <f>SUM(F4:F18)</f>
        <v>2947419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9" t="s">
        <v>2038</v>
      </c>
      <c r="D2" s="724" t="s">
        <v>2045</v>
      </c>
      <c r="E2" s="724" t="s">
        <v>2046</v>
      </c>
      <c r="F2" s="1909"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7">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2" t="s">
        <v>652</v>
      </c>
      <c r="B15" s="2213"/>
      <c r="C15" s="1777">
        <f>SUM(C6:C14)</f>
        <v>0</v>
      </c>
      <c r="D15" s="1777">
        <f>SUM(D6:D14)</f>
        <v>0</v>
      </c>
      <c r="E15" s="1777">
        <f>SUM(E6:E14)</f>
        <v>0</v>
      </c>
      <c r="F15" s="1777">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7">
        <f>SUM(C17+D17)-E17</f>
        <v>0</v>
      </c>
    </row>
    <row r="18" spans="1:11" ht="12.75" customHeight="1" thickTop="1" thickBot="1" x14ac:dyDescent="0.25">
      <c r="A18" s="2207" t="s">
        <v>6</v>
      </c>
      <c r="B18" s="2208"/>
      <c r="C18" s="727"/>
      <c r="D18" s="585"/>
      <c r="E18" s="727"/>
      <c r="F18" s="1777">
        <f>SUM(C18+D18)-E18</f>
        <v>0</v>
      </c>
    </row>
    <row r="19" spans="1:11" ht="12.75" customHeight="1" thickTop="1" thickBot="1" x14ac:dyDescent="0.25">
      <c r="A19" s="2207" t="s">
        <v>406</v>
      </c>
      <c r="B19" s="2208"/>
      <c r="C19" s="727"/>
      <c r="D19" s="585"/>
      <c r="E19" s="727"/>
      <c r="F19" s="1777">
        <f>SUM(C19+D19)-E19</f>
        <v>0</v>
      </c>
    </row>
    <row r="20" spans="1:11" ht="12.75" customHeight="1" thickTop="1" thickBot="1" x14ac:dyDescent="0.25">
      <c r="A20" s="2207" t="s">
        <v>468</v>
      </c>
      <c r="B20" s="2208"/>
      <c r="C20" s="727"/>
      <c r="D20" s="585"/>
      <c r="E20" s="727"/>
      <c r="F20" s="1777">
        <f>SUM(C20+D20)-E20</f>
        <v>0</v>
      </c>
    </row>
    <row r="21" spans="1:11" ht="14.25" thickTop="1" thickBot="1" x14ac:dyDescent="0.25">
      <c r="A21" s="2212" t="s">
        <v>653</v>
      </c>
      <c r="B21" s="2213"/>
      <c r="C21" s="1777">
        <f>SUM(C17:C20)</f>
        <v>0</v>
      </c>
      <c r="D21" s="1777">
        <f>SUM(D17:D20)</f>
        <v>0</v>
      </c>
      <c r="E21" s="1777">
        <f>SUM(E17:E20)</f>
        <v>0</v>
      </c>
      <c r="F21" s="1777">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7">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7">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7">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2088</v>
      </c>
      <c r="B31" s="734">
        <v>38526</v>
      </c>
      <c r="C31" s="735">
        <v>462359</v>
      </c>
      <c r="D31" s="736">
        <v>4</v>
      </c>
      <c r="E31" s="735">
        <v>199552</v>
      </c>
      <c r="F31" s="735"/>
      <c r="G31" s="735"/>
      <c r="H31" s="735"/>
      <c r="I31" s="1778">
        <f>((E31+F31)-H31)+G31</f>
        <v>199552</v>
      </c>
      <c r="J31" s="735"/>
      <c r="K31" s="737"/>
    </row>
    <row r="32" spans="1:11" ht="12" customHeight="1" x14ac:dyDescent="0.2">
      <c r="A32" s="733" t="s">
        <v>2089</v>
      </c>
      <c r="B32" s="734">
        <v>39629</v>
      </c>
      <c r="C32" s="735">
        <v>5270000</v>
      </c>
      <c r="D32" s="736">
        <v>3</v>
      </c>
      <c r="E32" s="735">
        <v>1695000</v>
      </c>
      <c r="F32" s="735"/>
      <c r="G32" s="735"/>
      <c r="H32" s="735">
        <v>830000</v>
      </c>
      <c r="I32" s="1778">
        <f>((E32+F32)-H32)+G32</f>
        <v>865000</v>
      </c>
      <c r="J32" s="735">
        <v>510050</v>
      </c>
      <c r="K32" s="737"/>
    </row>
    <row r="33" spans="1:11" ht="12" customHeight="1" x14ac:dyDescent="0.2">
      <c r="A33" s="733" t="s">
        <v>2090</v>
      </c>
      <c r="B33" s="734">
        <v>42191</v>
      </c>
      <c r="C33" s="735">
        <v>4770000</v>
      </c>
      <c r="D33" s="736">
        <v>3</v>
      </c>
      <c r="E33" s="735">
        <v>4770000</v>
      </c>
      <c r="F33" s="735"/>
      <c r="G33" s="735"/>
      <c r="H33" s="735"/>
      <c r="I33" s="1778">
        <f t="shared" ref="I33:I48" si="1">((E33+F33)-H33)+G33</f>
        <v>4770000</v>
      </c>
      <c r="J33" s="735">
        <v>4770000</v>
      </c>
      <c r="K33" s="737"/>
    </row>
    <row r="34" spans="1:11" ht="12" customHeight="1" x14ac:dyDescent="0.2">
      <c r="A34" s="733" t="s">
        <v>2091</v>
      </c>
      <c r="B34" s="734">
        <v>42389</v>
      </c>
      <c r="C34" s="735">
        <v>1600000</v>
      </c>
      <c r="D34" s="736">
        <v>1</v>
      </c>
      <c r="E34" s="735">
        <v>805000</v>
      </c>
      <c r="F34" s="735"/>
      <c r="G34" s="735"/>
      <c r="H34" s="735">
        <v>805000</v>
      </c>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12102359</v>
      </c>
      <c r="D49" s="746"/>
      <c r="E49" s="1778">
        <f t="shared" ref="E49:J49" si="2">SUM(E31:E48)</f>
        <v>7469552</v>
      </c>
      <c r="F49" s="1778">
        <f t="shared" si="2"/>
        <v>0</v>
      </c>
      <c r="G49" s="1778">
        <f t="shared" si="2"/>
        <v>0</v>
      </c>
      <c r="H49" s="1778">
        <f t="shared" si="2"/>
        <v>1635000</v>
      </c>
      <c r="I49" s="1778">
        <f t="shared" si="2"/>
        <v>5834552</v>
      </c>
      <c r="J49" s="1778">
        <f t="shared" si="2"/>
        <v>5280050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t="s">
        <v>2100</v>
      </c>
      <c r="G52" s="2204"/>
      <c r="H52" s="737"/>
      <c r="I52" s="737"/>
      <c r="J52" s="747"/>
    </row>
    <row r="53" spans="1:11" ht="11.25" customHeight="1" x14ac:dyDescent="0.2">
      <c r="A53" s="751" t="s">
        <v>969</v>
      </c>
      <c r="B53" s="752" t="s">
        <v>1008</v>
      </c>
      <c r="C53" s="747"/>
      <c r="D53" s="738"/>
      <c r="E53" s="750" t="s">
        <v>518</v>
      </c>
      <c r="F53" s="2205"/>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2"/>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v>40367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12250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9028</v>
      </c>
    </row>
    <row r="10" spans="1:11" x14ac:dyDescent="0.2">
      <c r="A10" s="2233" t="s">
        <v>1920</v>
      </c>
      <c r="B10" s="2234"/>
      <c r="C10" s="2234"/>
      <c r="D10" s="2234"/>
      <c r="E10" s="2236"/>
      <c r="F10" s="784" t="s">
        <v>917</v>
      </c>
      <c r="G10" s="783"/>
      <c r="H10" s="785"/>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9"/>
      <c r="G12" s="1780">
        <f>SUM(G5:G11)</f>
        <v>0</v>
      </c>
      <c r="H12" s="1780">
        <f>SUM(H5:H11)</f>
        <v>40367</v>
      </c>
      <c r="I12" s="1780">
        <f>SUM(I5:I11)</f>
        <v>0</v>
      </c>
      <c r="J12" s="1780">
        <f>SUM(J5:J11)</f>
        <v>0</v>
      </c>
      <c r="K12" s="1780">
        <f>SUM(K5:K11)</f>
        <v>21278</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v>40367</v>
      </c>
      <c r="I14" s="772"/>
      <c r="J14" s="774"/>
      <c r="K14" s="766">
        <v>21278</v>
      </c>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81"/>
      <c r="G21" s="793"/>
      <c r="H21" s="797"/>
      <c r="I21" s="797"/>
      <c r="J21" s="1782">
        <f>SUM(J18:J20)</f>
        <v>0</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83"/>
      <c r="G23" s="1780">
        <f>SUM(G14:G16,G21,G22)</f>
        <v>0</v>
      </c>
      <c r="H23" s="1780">
        <f>SUM(H14:H16,H21,H22)</f>
        <v>40367</v>
      </c>
      <c r="I23" s="1780">
        <f>SUM(I14:I16,I21,I22)</f>
        <v>0</v>
      </c>
      <c r="J23" s="1780">
        <f>SUM(J14:J16,J21,J22)</f>
        <v>0</v>
      </c>
      <c r="K23" s="1780">
        <f>SUM(K14:K16,K21,K22)</f>
        <v>21278</v>
      </c>
    </row>
    <row r="24" spans="1:11" ht="14.25" thickTop="1" thickBot="1" x14ac:dyDescent="0.25">
      <c r="A24" s="2264" t="s">
        <v>2026</v>
      </c>
      <c r="B24" s="2263"/>
      <c r="C24" s="2263"/>
      <c r="D24" s="2263"/>
      <c r="E24" s="226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77950</v>
      </c>
      <c r="D5" s="842"/>
      <c r="E5" s="842"/>
      <c r="F5" s="1782">
        <f>(C5+D5)-E5</f>
        <v>77950</v>
      </c>
      <c r="G5" s="838"/>
      <c r="H5" s="843"/>
      <c r="I5" s="843"/>
      <c r="J5" s="843"/>
      <c r="K5" s="794"/>
      <c r="L5" s="1791">
        <f>F5-K5</f>
        <v>77950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18821829</v>
      </c>
      <c r="D8" s="845"/>
      <c r="E8" s="845"/>
      <c r="F8" s="1782">
        <f>(C8+D8)-E8</f>
        <v>18821829</v>
      </c>
      <c r="G8" s="844">
        <v>50</v>
      </c>
      <c r="H8" s="766">
        <v>9406154</v>
      </c>
      <c r="I8" s="766">
        <v>328372</v>
      </c>
      <c r="J8" s="766"/>
      <c r="K8" s="1791">
        <f>(H8+I8)-J8</f>
        <v>9734526</v>
      </c>
      <c r="L8" s="1791">
        <f>F8-K8</f>
        <v>9087303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3759757</v>
      </c>
      <c r="D10" s="847">
        <v>136032</v>
      </c>
      <c r="E10" s="847"/>
      <c r="F10" s="1786">
        <f>(C10+D10)-E10</f>
        <v>3895789</v>
      </c>
      <c r="G10" s="844">
        <v>20</v>
      </c>
      <c r="H10" s="848">
        <v>777344</v>
      </c>
      <c r="I10" s="848">
        <v>184909</v>
      </c>
      <c r="J10" s="848"/>
      <c r="K10" s="1791">
        <f>(H10+I10)-J10</f>
        <v>962253</v>
      </c>
      <c r="L10" s="1791">
        <f>F10-K10</f>
        <v>2933536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1607789</v>
      </c>
      <c r="D12" s="845">
        <v>5769</v>
      </c>
      <c r="E12" s="845"/>
      <c r="F12" s="1782">
        <f>(C12+D12)-E12</f>
        <v>1613558</v>
      </c>
      <c r="G12" s="844">
        <v>10</v>
      </c>
      <c r="H12" s="766">
        <v>1457717</v>
      </c>
      <c r="I12" s="766">
        <v>80735</v>
      </c>
      <c r="J12" s="766"/>
      <c r="K12" s="1791">
        <f>(H12+I12)-J12</f>
        <v>1538452</v>
      </c>
      <c r="L12" s="1791">
        <f>F12-K12</f>
        <v>75106</v>
      </c>
    </row>
    <row r="13" spans="1:14" ht="14.25" thickTop="1" thickBot="1" x14ac:dyDescent="0.25">
      <c r="A13" s="849" t="s">
        <v>1184</v>
      </c>
      <c r="B13" s="841">
        <v>252</v>
      </c>
      <c r="C13" s="845">
        <v>2025237</v>
      </c>
      <c r="D13" s="845">
        <v>51053</v>
      </c>
      <c r="E13" s="845"/>
      <c r="F13" s="1782">
        <f>(C13+D13)-E13</f>
        <v>2076290</v>
      </c>
      <c r="G13" s="844">
        <v>5</v>
      </c>
      <c r="H13" s="766">
        <v>2025237</v>
      </c>
      <c r="I13" s="766">
        <v>10211</v>
      </c>
      <c r="J13" s="766"/>
      <c r="K13" s="1791">
        <f>(H13+I13)-J13</f>
        <v>2035448</v>
      </c>
      <c r="L13" s="1791">
        <f>F13-K13</f>
        <v>40842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26292562</v>
      </c>
      <c r="D16" s="1782">
        <f>SUM(D3,D5:D6,D8:D10,D12:D15)</f>
        <v>192854</v>
      </c>
      <c r="E16" s="1782">
        <f>SUM(E3,E5:E6,E8:E10,E12:E15)</f>
        <v>0</v>
      </c>
      <c r="F16" s="1782">
        <f>SUM(F3,F5:F6,F8:F10,F12:F15)</f>
        <v>26485416</v>
      </c>
      <c r="G16" s="844"/>
      <c r="H16" s="1782">
        <f>SUM(H3,H6,H8:H10,H12:H14,)</f>
        <v>13666452</v>
      </c>
      <c r="I16" s="1782">
        <f>SUM(I3,I6,I8:I10,I12:I14,)</f>
        <v>604227</v>
      </c>
      <c r="J16" s="1782">
        <f>SUM(J3,J6,J8:J10,J12:J14,)</f>
        <v>0</v>
      </c>
      <c r="K16" s="1782">
        <f>(H16+I16)-J16</f>
        <v>14270679</v>
      </c>
      <c r="L16" s="1782">
        <f>F16-K16</f>
        <v>12214737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363</v>
      </c>
      <c r="G17" s="838">
        <v>10</v>
      </c>
      <c r="H17" s="770"/>
      <c r="I17" s="1791">
        <f>F17/G17</f>
        <v>36.299999999999997</v>
      </c>
      <c r="J17" s="770"/>
      <c r="K17" s="796"/>
      <c r="L17" s="796"/>
    </row>
    <row r="18" spans="1:12" ht="14.25" thickTop="1" thickBot="1" x14ac:dyDescent="0.25">
      <c r="A18" s="1789" t="s">
        <v>706</v>
      </c>
      <c r="B18" s="1790"/>
      <c r="C18" s="772"/>
      <c r="D18" s="772"/>
      <c r="E18" s="772"/>
      <c r="F18" s="851"/>
      <c r="G18" s="852"/>
      <c r="H18" s="774"/>
      <c r="I18" s="1782">
        <f>SUM(I16,I17)</f>
        <v>604263.30000000005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63" colorId="8" zoomScaleNormal="100" workbookViewId="0">
      <selection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5715272</v>
      </c>
      <c r="G8" s="866"/>
    </row>
    <row r="9" spans="1:7" x14ac:dyDescent="0.2">
      <c r="A9" s="870" t="s">
        <v>480</v>
      </c>
      <c r="B9" s="871" t="s">
        <v>1989</v>
      </c>
      <c r="C9" s="872"/>
      <c r="D9" s="870" t="s">
        <v>522</v>
      </c>
      <c r="E9" s="869"/>
      <c r="F9" s="1935">
        <f>'Expenditures 15-22'!K151</f>
        <v>527395</v>
      </c>
      <c r="G9" s="873"/>
    </row>
    <row r="10" spans="1:7" x14ac:dyDescent="0.2">
      <c r="A10" s="870" t="s">
        <v>520</v>
      </c>
      <c r="B10" s="871" t="s">
        <v>1990</v>
      </c>
      <c r="C10" s="872"/>
      <c r="D10" s="870" t="s">
        <v>522</v>
      </c>
      <c r="E10" s="869"/>
      <c r="F10" s="1935">
        <f>'Expenditures 15-22'!K174</f>
        <v>1912403</v>
      </c>
      <c r="G10" s="873"/>
    </row>
    <row r="11" spans="1:7" x14ac:dyDescent="0.2">
      <c r="A11" s="870" t="s">
        <v>481</v>
      </c>
      <c r="B11" s="871" t="s">
        <v>1991</v>
      </c>
      <c r="C11" s="872"/>
      <c r="D11" s="870" t="s">
        <v>522</v>
      </c>
      <c r="E11" s="869"/>
      <c r="F11" s="1935">
        <f>'Expenditures 15-22'!K210</f>
        <v>582508</v>
      </c>
      <c r="G11" s="873"/>
    </row>
    <row r="12" spans="1:7" x14ac:dyDescent="0.2">
      <c r="A12" s="870" t="s">
        <v>482</v>
      </c>
      <c r="B12" s="871" t="s">
        <v>1992</v>
      </c>
      <c r="C12" s="872"/>
      <c r="D12" s="870" t="s">
        <v>522</v>
      </c>
      <c r="E12" s="869"/>
      <c r="F12" s="1935">
        <f>'Expenditures 15-22'!K295</f>
        <v>178831</v>
      </c>
      <c r="G12" s="873"/>
    </row>
    <row r="13" spans="1:7" x14ac:dyDescent="0.2">
      <c r="A13" s="870" t="s">
        <v>108</v>
      </c>
      <c r="B13" s="871" t="s">
        <v>1993</v>
      </c>
      <c r="C13" s="872"/>
      <c r="D13" s="870" t="s">
        <v>522</v>
      </c>
      <c r="E13" s="869"/>
      <c r="F13" s="1935">
        <f>'Expenditures 15-22'!K342</f>
        <v>788642</v>
      </c>
      <c r="G13" s="874"/>
    </row>
    <row r="14" spans="1:7" ht="12" customHeight="1" thickBot="1" x14ac:dyDescent="0.25">
      <c r="A14" s="1792"/>
      <c r="B14" s="1793"/>
      <c r="C14" s="1794"/>
      <c r="D14" s="1795" t="s">
        <v>522</v>
      </c>
      <c r="E14" s="1796" t="s">
        <v>1015</v>
      </c>
      <c r="F14" s="1797">
        <f>SUM(F8:F13)</f>
        <v>9705051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500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16443</v>
      </c>
      <c r="G52" s="866"/>
    </row>
    <row r="53" spans="1:7" x14ac:dyDescent="0.2">
      <c r="A53" s="870" t="s">
        <v>479</v>
      </c>
      <c r="B53" s="870" t="s">
        <v>1551</v>
      </c>
      <c r="C53" s="890">
        <f>'Expenditures 15-22'!B102</f>
        <v>4000</v>
      </c>
      <c r="D53" s="889" t="str">
        <f>'Expenditures 15-22'!A102</f>
        <v>Total Payments to Other Govt Units</v>
      </c>
      <c r="E53" s="869"/>
      <c r="F53" s="1939">
        <f>'Expenditures 15-22'!K102</f>
        <v>356359</v>
      </c>
      <c r="G53" s="866"/>
    </row>
    <row r="54" spans="1:7" x14ac:dyDescent="0.2">
      <c r="A54" s="870" t="s">
        <v>479</v>
      </c>
      <c r="B54" s="870" t="s">
        <v>1552</v>
      </c>
      <c r="C54" s="890" t="s">
        <v>1039</v>
      </c>
      <c r="D54" s="886" t="s">
        <v>1157</v>
      </c>
      <c r="E54" s="869"/>
      <c r="F54" s="1939">
        <f>'Expenditures 15-22'!G114</f>
        <v>5769</v>
      </c>
      <c r="G54" s="866"/>
    </row>
    <row r="55" spans="1:7" x14ac:dyDescent="0.2">
      <c r="A55" s="870" t="s">
        <v>479</v>
      </c>
      <c r="B55" s="870" t="s">
        <v>1553</v>
      </c>
      <c r="C55" s="890" t="s">
        <v>1039</v>
      </c>
      <c r="D55" s="886" t="s">
        <v>309</v>
      </c>
      <c r="E55" s="869"/>
      <c r="F55" s="1939">
        <f>'Expenditures 15-22'!I114</f>
        <v>363</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10970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1635000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51053</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14061</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2090518</v>
      </c>
      <c r="G76" s="866"/>
    </row>
    <row r="77" spans="1:8" s="894" customFormat="1" ht="12" customHeight="1" thickTop="1" thickBot="1" x14ac:dyDescent="0.25">
      <c r="A77" s="1801"/>
      <c r="B77" s="1798"/>
      <c r="C77" s="1794"/>
      <c r="D77" s="1799" t="s">
        <v>2012</v>
      </c>
      <c r="E77" s="1796"/>
      <c r="F77" s="1802">
        <f>(F14-F76)</f>
        <v>7614533</v>
      </c>
      <c r="G77" s="870"/>
    </row>
    <row r="78" spans="1:8" s="894" customFormat="1" ht="12" customHeight="1" thickTop="1" x14ac:dyDescent="0.2">
      <c r="A78" s="1803"/>
      <c r="B78" s="1798"/>
      <c r="C78" s="1794"/>
      <c r="D78" s="1799" t="s">
        <v>2059</v>
      </c>
      <c r="E78" s="1796"/>
      <c r="F78" s="899">
        <v>757.74</v>
      </c>
      <c r="G78" s="900"/>
      <c r="H78" s="870"/>
    </row>
    <row r="79" spans="1:8" s="894" customFormat="1" ht="12" customHeight="1" thickBot="1" x14ac:dyDescent="0.25">
      <c r="A79" s="1804"/>
      <c r="B79" s="1798"/>
      <c r="C79" s="1794"/>
      <c r="D79" s="1799" t="s">
        <v>2013</v>
      </c>
      <c r="E79" s="1796" t="s">
        <v>1015</v>
      </c>
      <c r="F79" s="1805">
        <f>IF(F78&gt;0,F77/F78," Complete Line 78")</f>
        <v>10049.004935729934</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4833</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171640</v>
      </c>
      <c r="G94" s="913"/>
    </row>
    <row r="95" spans="1:7" x14ac:dyDescent="0.2">
      <c r="A95" s="909" t="s">
        <v>142</v>
      </c>
      <c r="B95" s="909" t="s">
        <v>177</v>
      </c>
      <c r="C95" s="911">
        <v>1700</v>
      </c>
      <c r="D95" s="919" t="str">
        <f>'Revenues 9-14'!A82</f>
        <v>Total District/School Activity Income</v>
      </c>
      <c r="E95" s="907"/>
      <c r="F95" s="1811">
        <f>SUM('Revenues 9-14'!C82,'Revenues 9-14'!D82)</f>
        <v>91050</v>
      </c>
      <c r="G95" s="913"/>
    </row>
    <row r="96" spans="1:7" x14ac:dyDescent="0.2">
      <c r="A96" s="909" t="s">
        <v>479</v>
      </c>
      <c r="B96" s="909" t="s">
        <v>178</v>
      </c>
      <c r="C96" s="911">
        <f>'Revenues 9-14'!B84</f>
        <v>1811</v>
      </c>
      <c r="D96" s="912" t="str">
        <f>'Revenues 9-14'!A84</f>
        <v>Rentals - Regular Textbooks</v>
      </c>
      <c r="E96" s="907"/>
      <c r="F96" s="1811">
        <f>'Revenues 9-14'!C84</f>
        <v>83189</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8291</v>
      </c>
      <c r="G104" s="913"/>
    </row>
    <row r="105" spans="1:7" x14ac:dyDescent="0.2">
      <c r="A105" s="909" t="s">
        <v>524</v>
      </c>
      <c r="B105" s="909" t="s">
        <v>842</v>
      </c>
      <c r="C105" s="914">
        <v>3100</v>
      </c>
      <c r="D105" s="920" t="str">
        <f>'Revenues 9-14'!A131</f>
        <v>Total Special Education</v>
      </c>
      <c r="E105" s="907"/>
      <c r="F105" s="1811">
        <f>SUM('Revenues 9-14'!C131:D131,'Revenues 9-14'!F131)</f>
        <v>202964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12306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1703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9028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521736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144822</v>
      </c>
      <c r="G129" s="931"/>
    </row>
    <row r="130" spans="1:7" x14ac:dyDescent="0.2">
      <c r="A130" s="928" t="s">
        <v>689</v>
      </c>
      <c r="B130" s="928" t="s">
        <v>804</v>
      </c>
      <c r="C130" s="933">
        <v>4300</v>
      </c>
      <c r="D130" s="934" t="str">
        <f>'Revenues 9-14'!A211</f>
        <v>Total Title I</v>
      </c>
      <c r="E130" s="907"/>
      <c r="F130" s="1811">
        <f>SUM('Revenues 9-14'!C211,'Revenues 9-14'!D211,'Revenues 9-14'!F211,'Revenues 9-14'!G211)</f>
        <v>88409</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37216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11227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7620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1396034</v>
      </c>
    </row>
    <row r="179" spans="1:7" ht="12" customHeight="1" x14ac:dyDescent="0.2">
      <c r="A179" s="1792"/>
      <c r="B179" s="1806"/>
      <c r="C179" s="1807"/>
      <c r="D179" s="1808" t="s">
        <v>2015</v>
      </c>
      <c r="E179" s="1809"/>
      <c r="F179" s="1811">
        <f>'PCTC-OEPP 27-28'!F77-F178</f>
        <v>6218499</v>
      </c>
    </row>
    <row r="180" spans="1:7" ht="12" customHeight="1" x14ac:dyDescent="0.2">
      <c r="A180" s="1792"/>
      <c r="B180" s="1806"/>
      <c r="C180" s="1807"/>
      <c r="D180" s="1808" t="s">
        <v>1924</v>
      </c>
      <c r="E180" s="1809"/>
      <c r="F180" s="1811">
        <f>'Cap Outlay Deprec 26'!I18</f>
        <v>604263.30000000005</v>
      </c>
    </row>
    <row r="181" spans="1:7" ht="12" customHeight="1" x14ac:dyDescent="0.2">
      <c r="A181" s="1792"/>
      <c r="B181" s="1806"/>
      <c r="C181" s="1807"/>
      <c r="D181" s="1808" t="s">
        <v>2016</v>
      </c>
      <c r="E181" s="1809"/>
      <c r="F181" s="1811">
        <f>F179+F180</f>
        <v>6822762.2999999998</v>
      </c>
    </row>
    <row r="182" spans="1:7" ht="12" customHeight="1" x14ac:dyDescent="0.2">
      <c r="A182" s="1792"/>
      <c r="B182" s="1812"/>
      <c r="C182" s="1807"/>
      <c r="D182" s="1808" t="str">
        <f>D78</f>
        <v>9 Month ADA from District Average Daily Attendance/Prior General State Aid Inquiry 2017-2018</v>
      </c>
      <c r="E182" s="1809"/>
      <c r="F182" s="1813">
        <f>'PCTC-OEPP 27-28'!F78</f>
        <v>757.74</v>
      </c>
      <c r="G182" s="931"/>
    </row>
    <row r="183" spans="1:7" ht="12" customHeight="1" thickBot="1" x14ac:dyDescent="0.25">
      <c r="A183" s="1792"/>
      <c r="B183" s="1812"/>
      <c r="C183" s="1807"/>
      <c r="D183" s="1808" t="s">
        <v>2017</v>
      </c>
      <c r="E183" s="1809" t="s">
        <v>1626</v>
      </c>
      <c r="F183" s="1814">
        <f>F181/F182</f>
        <v>9004.094148388629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 xml:space="preserve">&amp;C </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sqref="A1:F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2086</v>
      </c>
      <c r="B17" s="1868"/>
      <c r="C17" s="1678"/>
      <c r="D17" s="1867"/>
      <c r="E17" s="1562">
        <f t="shared" ref="E17:E141" si="1">IF(D17&lt;=25000,D17,IF(D17&gt;25000,25000,0))</f>
        <v>0</v>
      </c>
      <c r="F17" s="1815">
        <f t="shared" si="0"/>
        <v>0</v>
      </c>
      <c r="G17" s="1816">
        <f>IF(F17=0,0,D17-F17)</f>
        <v>0</v>
      </c>
      <c r="H17" s="1669"/>
    </row>
    <row r="18" spans="1:8" x14ac:dyDescent="0.25">
      <c r="A18" s="1956" t="s">
        <v>2087</v>
      </c>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Normal="10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v>24253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4110500</v>
      </c>
      <c r="F19" s="1822"/>
      <c r="G19" s="1824">
        <f>'Expenditures 15-22'!K33-SUM('Expenditures 15-22'!G33,'Expenditures 15-22'!I33)+'Expenditures 15-22'!D229</f>
        <v>4110500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18855</v>
      </c>
      <c r="F21" s="1825"/>
      <c r="G21" s="1828">
        <f>'Expenditures 15-22'!K42-SUM('Expenditures 15-22'!G42,'Expenditures 15-22'!I42)+'Expenditures 15-22'!K120-SUM('Expenditures 15-22'!G120,'Expenditures 15-22'!I120)+'Expenditures 15-22'!K180-SUM('Expenditures 15-22'!G180,'Expenditures 15-22'!I180)+'Expenditures 15-22'!D238</f>
        <v>18855</v>
      </c>
      <c r="H21" s="988"/>
      <c r="I21" s="162"/>
    </row>
    <row r="22" spans="1:9" s="669" customFormat="1" ht="12" customHeight="1" x14ac:dyDescent="0.2">
      <c r="A22" s="995" t="s">
        <v>585</v>
      </c>
      <c r="B22" s="996"/>
      <c r="C22" s="994">
        <v>2200</v>
      </c>
      <c r="D22" s="1825"/>
      <c r="E22" s="1827">
        <f>'Expenditures 15-22'!K47-SUM('Expenditures 15-22'!G47,'Expenditures 15-22'!I47)+'Expenditures 15-22'!D243</f>
        <v>391879</v>
      </c>
      <c r="F22" s="1825"/>
      <c r="G22" s="1828">
        <f>'Expenditures 15-22'!K47-SUM('Expenditures 15-22'!G47,'Expenditures 15-22'!I47)+'Expenditures 15-22'!D243</f>
        <v>391879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929882</v>
      </c>
      <c r="F23" s="1825"/>
      <c r="G23" s="1827">
        <f>'Expenditures 15-22'!K53-SUM('Expenditures 15-22'!G53,'Expenditures 15-22'!I53)+'Expenditures 15-22'!D257+'Expenditures 15-22'!K330-SUM('Expenditures 15-22'!G330,'Expenditures 15-22'!I330)</f>
        <v>929882</v>
      </c>
      <c r="H23" s="988"/>
      <c r="I23" s="162"/>
    </row>
    <row r="24" spans="1:9" s="669" customFormat="1" ht="12" customHeight="1" x14ac:dyDescent="0.2">
      <c r="A24" s="995" t="s">
        <v>587</v>
      </c>
      <c r="B24" s="996"/>
      <c r="C24" s="994">
        <v>2400</v>
      </c>
      <c r="D24" s="1825"/>
      <c r="E24" s="1827">
        <f>'Expenditures 15-22'!K57-SUM('Expenditures 15-22'!G57,'Expenditures 15-22'!I57)+'Expenditures 15-22'!D261</f>
        <v>303446</v>
      </c>
      <c r="F24" s="1825"/>
      <c r="G24" s="1828">
        <f>'Expenditures 15-22'!K57-SUM('Expenditures 15-22'!G57,'Expenditures 15-22'!I57)+'Expenditures 15-22'!D261</f>
        <v>303446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3077</v>
      </c>
      <c r="E26" s="1827">
        <f>'Expenditures 15-22'!K122-SUM('Expenditures 15-22'!G122,'Expenditures 15-22'!I122)+E7</f>
        <v>38404</v>
      </c>
      <c r="F26" s="1827">
        <f>'Expenditures 15-22'!K59-SUM('Expenditures 15-22'!G59,'Expenditures 15-22'!I59)+'Expenditures 15-22'!D263-E7</f>
        <v>3077</v>
      </c>
      <c r="G26" s="1828">
        <f>'Expenditures 15-22'!K122-SUM('Expenditures 15-22'!G122,'Expenditures 15-22'!I122)+E7</f>
        <v>38404</v>
      </c>
      <c r="H26" s="988"/>
      <c r="I26" s="162"/>
    </row>
    <row r="27" spans="1:9" s="669" customFormat="1" ht="12" customHeight="1" x14ac:dyDescent="0.2">
      <c r="A27" s="995" t="s">
        <v>483</v>
      </c>
      <c r="B27" s="998"/>
      <c r="C27" s="994">
        <v>2520</v>
      </c>
      <c r="D27" s="1827">
        <f>'Expenditures 15-22'!K60-SUM('Expenditures 15-22'!G60,'Expenditures 15-22'!I60)+'Expenditures 15-22'!D264-E8</f>
        <v>95533</v>
      </c>
      <c r="E27" s="1827">
        <f>E8</f>
        <v>0</v>
      </c>
      <c r="F27" s="1827">
        <f>'Expenditures 15-22'!K60-SUM('Expenditures 15-22'!G60,'Expenditures 15-22'!I60)+'Expenditures 15-22'!D264-E8</f>
        <v>95533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492144</v>
      </c>
      <c r="F28" s="1829">
        <f>'Expenditures 15-22'!K61-SUM('Expenditures 15-22'!G61,'Expenditures 15-22'!I61)+'Expenditures 15-22'!K124-SUM('Expenditures 15-22'!G124,'Expenditures 15-22'!I124)+'Expenditures 15-22'!D266-E9</f>
        <v>492144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556380</v>
      </c>
      <c r="F29" s="1825"/>
      <c r="G29" s="1828">
        <f>'Expenditures 15-22'!K62-SUM('Expenditures 15-22'!G62,'Expenditures 15-22'!I62)+'Expenditures 15-22'!K125-SUM('Expenditures 15-22'!G125,'Expenditures 15-22'!I125)+'Expenditures 15-22'!K182-SUM('Expenditures 15-22'!G182,'Expenditures 15-22'!I182)+'Expenditures 15-22'!D267</f>
        <v>556380</v>
      </c>
      <c r="H29" s="986"/>
    </row>
    <row r="30" spans="1:9" ht="12" customHeight="1" x14ac:dyDescent="0.2">
      <c r="A30" s="995" t="s">
        <v>102</v>
      </c>
      <c r="B30" s="998"/>
      <c r="C30" s="994">
        <v>2560</v>
      </c>
      <c r="D30" s="1825"/>
      <c r="E30" s="1827">
        <f>'Expenditures 15-22'!K63-SUM('Expenditures 15-22'!G63,'Expenditures 15-22'!I63)+'Expenditures 15-22'!D268-E10</f>
        <v>317893</v>
      </c>
      <c r="F30" s="1825"/>
      <c r="G30" s="1827">
        <f>'Expenditures 15-22'!K63-SUM('Expenditures 15-22'!G63,'Expenditures 15-22'!I63)+'Expenditures 15-22'!D268-E10</f>
        <v>317893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79637</v>
      </c>
      <c r="F35" s="1825"/>
      <c r="G35" s="1827">
        <f>'Expenditures 15-22'!K69-SUM('Expenditures 15-22'!G69,'Expenditures 15-22'!I69)+'Expenditures 15-22'!D274</f>
        <v>79637</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16443</v>
      </c>
      <c r="F39" s="1825"/>
      <c r="G39" s="1827">
        <f>'Expenditures 15-22'!K75-SUM('Expenditures 15-22'!G75,'Expenditures 15-22'!I75)+'Expenditures 15-22'!K130-SUM('Expenditures 15-22'!G130,'Expenditures 15-22'!I130)+'Expenditures 15-22'!K185-SUM('Expenditures 15-22'!G185,'Expenditures 15-22'!I185)+'Expenditures 15-22'!D280</f>
        <v>16443</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98610</v>
      </c>
      <c r="E41" s="1829">
        <f>SUM(E19:E40)</f>
        <v>7255463</v>
      </c>
      <c r="F41" s="1829">
        <f>SUM(F19:F39)</f>
        <v>590754</v>
      </c>
      <c r="G41" s="1829">
        <f>SUM(G19:G40)</f>
        <v>6763319</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98610</v>
      </c>
      <c r="F43" s="1830" t="s">
        <v>495</v>
      </c>
      <c r="G43" s="1831">
        <f>F41</f>
        <v>590754</v>
      </c>
    </row>
    <row r="44" spans="1:7" ht="12" customHeight="1" x14ac:dyDescent="0.2">
      <c r="A44" s="988"/>
      <c r="B44" s="162"/>
      <c r="C44" s="1002"/>
      <c r="D44" s="1830" t="s">
        <v>494</v>
      </c>
      <c r="E44" s="1831">
        <f>E41</f>
        <v>7255463</v>
      </c>
      <c r="F44" s="1830" t="s">
        <v>494</v>
      </c>
      <c r="G44" s="1831">
        <f>G41</f>
        <v>6763319</v>
      </c>
    </row>
    <row r="45" spans="1:7" ht="12" customHeight="1" x14ac:dyDescent="0.2">
      <c r="A45" s="988"/>
      <c r="B45" s="162"/>
      <c r="C45" s="162"/>
      <c r="D45" s="1832" t="s">
        <v>1063</v>
      </c>
      <c r="E45" s="1833">
        <f>(E43/E44)</f>
        <v>1.359113815341626E-2</v>
      </c>
      <c r="F45" s="1832" t="s">
        <v>1063</v>
      </c>
      <c r="G45" s="1833">
        <f>(G43/G44)</f>
        <v>8.7346759778741775E-2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9" width="3" style="1903" bestFit="1" customWidth="1"/>
    <col min="10" max="10" width="2.140625" style="1903" bestFit="1" customWidth="1"/>
    <col min="11" max="11" width="9" style="1903" customWidth="1"/>
    <col min="12" max="16384" width="9.140625" style="1872"/>
  </cols>
  <sheetData>
    <row r="1" spans="1:10" x14ac:dyDescent="0.2">
      <c r="A1" s="2320" t="s">
        <v>1446</v>
      </c>
      <c r="B1" s="2320"/>
      <c r="C1" s="2320"/>
      <c r="D1" s="2320"/>
      <c r="E1" s="2320"/>
      <c r="F1" s="2320"/>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1" t="s">
        <v>1627</v>
      </c>
      <c r="B5" s="2322"/>
      <c r="C5" s="2323"/>
      <c r="D5" s="2323"/>
      <c r="E5" s="2323"/>
      <c r="F5" s="2323"/>
    </row>
    <row r="6" spans="1:10" ht="12" customHeight="1" x14ac:dyDescent="0.25">
      <c r="A6" s="1875"/>
      <c r="B6" s="1876"/>
      <c r="C6" s="2324" t="str">
        <f>COVER!A17</f>
        <v>Forrestville Valley CUSD 221</v>
      </c>
      <c r="D6" s="2324"/>
      <c r="E6" s="2324"/>
      <c r="F6" s="1877"/>
    </row>
    <row r="7" spans="1:10" ht="11.25" customHeight="1" thickBot="1" x14ac:dyDescent="0.3">
      <c r="A7" s="1875"/>
      <c r="B7" s="1876"/>
      <c r="C7" s="2325">
        <f>COVER!A13</f>
        <v>47071221026</v>
      </c>
      <c r="D7" s="2325"/>
      <c r="E7" s="2325"/>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2096</v>
      </c>
      <c r="D26" s="1890" t="s">
        <v>2096</v>
      </c>
      <c r="E26" s="1893"/>
      <c r="F26" s="1892" t="s">
        <v>2102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2096</v>
      </c>
      <c r="D31" s="1890" t="s">
        <v>2096</v>
      </c>
      <c r="E31" s="1893"/>
      <c r="F31" s="1892" t="s">
        <v>2103</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8"/>
      <c r="B39" s="1898"/>
      <c r="C39" s="1898"/>
      <c r="D39" s="1898"/>
      <c r="E39" s="1898"/>
      <c r="F39" s="1898"/>
    </row>
    <row r="40" spans="1:11" s="1895" customFormat="1" ht="12" customHeight="1" x14ac:dyDescent="0.25">
      <c r="A40" s="1899" t="s">
        <v>1458</v>
      </c>
      <c r="B40" s="1900"/>
      <c r="C40" s="2315"/>
      <c r="D40" s="2315"/>
      <c r="E40" s="2315"/>
      <c r="F40" s="2316"/>
      <c r="H40" s="1904"/>
      <c r="I40" s="1904"/>
      <c r="J40" s="1904"/>
      <c r="K40" s="1904"/>
    </row>
    <row r="41" spans="1:11" s="1895" customFormat="1" ht="12" customHeight="1" x14ac:dyDescent="0.25">
      <c r="A41" s="2317"/>
      <c r="B41" s="2318"/>
      <c r="C41" s="2318"/>
      <c r="D41" s="2318"/>
      <c r="E41" s="2318"/>
      <c r="F41" s="2319"/>
      <c r="H41" s="1904"/>
      <c r="I41" s="1904"/>
      <c r="J41" s="1904"/>
      <c r="K41" s="1904"/>
    </row>
    <row r="42" spans="1:11" s="1895" customFormat="1" ht="12" customHeight="1" x14ac:dyDescent="0.25">
      <c r="A42" s="2317"/>
      <c r="B42" s="2318"/>
      <c r="C42" s="2318"/>
      <c r="D42" s="2318"/>
      <c r="E42" s="2318"/>
      <c r="F42" s="2319"/>
      <c r="H42" s="1904"/>
      <c r="I42" s="1904"/>
      <c r="J42" s="1904"/>
      <c r="K42" s="1904"/>
    </row>
    <row r="43" spans="1:11" s="1895" customFormat="1" ht="15" x14ac:dyDescent="0.25">
      <c r="A43" s="2306"/>
      <c r="B43" s="2307"/>
      <c r="C43" s="2307"/>
      <c r="D43" s="2307"/>
      <c r="E43" s="2307"/>
      <c r="F43" s="2308"/>
      <c r="H43" s="1904"/>
      <c r="I43" s="1904"/>
      <c r="J43" s="1904"/>
      <c r="K43" s="1904"/>
    </row>
    <row r="44" spans="1:11" s="1895" customFormat="1" ht="12" hidden="1" customHeight="1" x14ac:dyDescent="0.25">
      <c r="A44" s="2306"/>
      <c r="B44" s="2307"/>
      <c r="C44" s="2307"/>
      <c r="D44" s="2307"/>
      <c r="E44" s="2307"/>
      <c r="F44" s="230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Forrestville Valley CUSD 221</v>
      </c>
      <c r="J6" s="2334"/>
      <c r="Q6" s="1686"/>
    </row>
    <row r="7" spans="1:17" x14ac:dyDescent="0.2">
      <c r="A7" s="2335" t="s">
        <v>924</v>
      </c>
      <c r="B7" s="2336"/>
      <c r="C7" s="2336"/>
      <c r="D7" s="2336"/>
      <c r="E7" s="2337"/>
      <c r="F7" s="1018"/>
      <c r="G7" s="1010"/>
      <c r="H7" s="1017" t="s">
        <v>390</v>
      </c>
      <c r="I7" s="2338">
        <f>COVER!A13</f>
        <v>47071221026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77929</v>
      </c>
      <c r="F12" s="1040"/>
      <c r="G12" s="1834">
        <f t="shared" ref="G12:G18" si="0">SUM(E12:F12)</f>
        <v>77929</v>
      </c>
      <c r="H12" s="1041">
        <v>55536</v>
      </c>
      <c r="I12" s="1040"/>
      <c r="J12" s="1834">
        <f t="shared" ref="J12:J18" si="1">SUM(H12:I12)</f>
        <v>55536</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38404</v>
      </c>
      <c r="G15" s="1834">
        <f t="shared" si="0"/>
        <v>38404</v>
      </c>
      <c r="H15" s="1041">
        <v>21748</v>
      </c>
      <c r="I15" s="1041"/>
      <c r="J15" s="1834">
        <f t="shared" si="1"/>
        <v>21748</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77929</v>
      </c>
      <c r="F19" s="1836">
        <f t="shared" si="2"/>
        <v>38404</v>
      </c>
      <c r="G19" s="1836">
        <f t="shared" si="2"/>
        <v>116333</v>
      </c>
      <c r="H19" s="1836">
        <f t="shared" si="2"/>
        <v>77284</v>
      </c>
      <c r="I19" s="1836">
        <f t="shared" si="2"/>
        <v>0</v>
      </c>
      <c r="J19" s="1836">
        <f t="shared" si="2"/>
        <v>77284</v>
      </c>
    </row>
    <row r="20" spans="1:10" ht="13.5" thickTop="1" x14ac:dyDescent="0.2">
      <c r="A20" s="1036">
        <v>9</v>
      </c>
      <c r="B20" s="2345" t="s">
        <v>1703</v>
      </c>
      <c r="C20" s="2345"/>
      <c r="D20" s="2346"/>
      <c r="E20" s="1047"/>
      <c r="F20" s="1047"/>
      <c r="G20" s="1047"/>
      <c r="H20" s="1047"/>
      <c r="I20" s="1047"/>
      <c r="J20" s="1837">
        <f>IF(AND(G19&gt;0,J19&gt;0),(((J19-G19)/G19)),"Enter Budget Data")</f>
        <v>-0.33566571823988034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2105</v>
      </c>
    </row>
    <row r="6" spans="1:2" x14ac:dyDescent="0.2">
      <c r="A6" s="1069">
        <v>2</v>
      </c>
      <c r="B6" s="329" t="s">
        <v>2106</v>
      </c>
    </row>
    <row r="7" spans="1:2" x14ac:dyDescent="0.2">
      <c r="A7" s="1069">
        <v>3</v>
      </c>
      <c r="B7" s="329" t="s">
        <v>2107</v>
      </c>
    </row>
    <row r="8" spans="1:2" x14ac:dyDescent="0.2">
      <c r="A8" s="1069">
        <v>4</v>
      </c>
      <c r="B8" s="329" t="s">
        <v>2108</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Forrestville Valley CUSD 221</v>
      </c>
    </row>
    <row r="65" spans="2:2" x14ac:dyDescent="0.2">
      <c r="B65" s="1071">
        <f>COVER!A13</f>
        <v>47071221026</v>
      </c>
    </row>
  </sheetData>
  <phoneticPr fontId="13"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3</xdr:row>
                <xdr:rowOff>0</xdr:rowOff>
              </from>
              <to>
                <xdr:col>1</xdr:col>
                <xdr:colOff>790575</xdr:colOff>
                <xdr:row>7</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6135151</v>
      </c>
      <c r="C8" s="1838">
        <f>'Acct Summary 7-8'!D8</f>
        <v>514580</v>
      </c>
      <c r="D8" s="1838">
        <f>'Acct Summary 7-8'!F8</f>
        <v>737126</v>
      </c>
      <c r="E8" s="1838">
        <f>'Acct Summary 7-8'!I8</f>
        <v>67190</v>
      </c>
      <c r="F8" s="1838">
        <f>SUM(B8:E8)</f>
        <v>7454047</v>
      </c>
    </row>
    <row r="9" spans="1:8" s="1080" customFormat="1" ht="14.25" customHeight="1" thickBot="1" x14ac:dyDescent="0.25">
      <c r="A9" s="1079" t="s">
        <v>1436</v>
      </c>
      <c r="B9" s="1839">
        <f>'Acct Summary 7-8'!C17</f>
        <v>5715272</v>
      </c>
      <c r="C9" s="1839">
        <f>'Acct Summary 7-8'!D17</f>
        <v>527395</v>
      </c>
      <c r="D9" s="1839">
        <f>'Acct Summary 7-8'!F17</f>
        <v>582508</v>
      </c>
      <c r="E9" s="1838"/>
      <c r="F9" s="1838">
        <f>SUM(B9:E9)</f>
        <v>6825175</v>
      </c>
    </row>
    <row r="10" spans="1:8" s="1080" customFormat="1" ht="14.25" thickTop="1" thickBot="1" x14ac:dyDescent="0.25">
      <c r="A10" s="1081" t="s">
        <v>1437</v>
      </c>
      <c r="B10" s="1840">
        <f>(B8-B9)</f>
        <v>419879</v>
      </c>
      <c r="C10" s="1840">
        <f>(C8-C9)</f>
        <v>-12815</v>
      </c>
      <c r="D10" s="1840">
        <f>(D8-D9)</f>
        <v>154618</v>
      </c>
      <c r="E10" s="1839">
        <f>(E8-E9)</f>
        <v>67190</v>
      </c>
      <c r="F10" s="1841">
        <f>SUM(F8-F9)</f>
        <v>628872</v>
      </c>
    </row>
    <row r="11" spans="1:8" s="1080" customFormat="1" ht="14.25" thickTop="1" thickBot="1" x14ac:dyDescent="0.25">
      <c r="A11" s="1082" t="s">
        <v>1785</v>
      </c>
      <c r="B11" s="1842">
        <f>'Acct Summary 7-8'!C81</f>
        <v>3210871</v>
      </c>
      <c r="C11" s="1842">
        <f>'Acct Summary 7-8'!D81</f>
        <v>967328</v>
      </c>
      <c r="D11" s="1842">
        <f>'Acct Summary 7-8'!F81</f>
        <v>813386</v>
      </c>
      <c r="E11" s="1842">
        <f>'Acct Summary 7-8'!I81</f>
        <v>797615</v>
      </c>
      <c r="F11" s="1843">
        <f>SUM(B11:E11)</f>
        <v>5789200</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47071221026</v>
      </c>
    </row>
    <row r="3" spans="1:2" x14ac:dyDescent="0.2">
      <c r="A3" t="s">
        <v>1013</v>
      </c>
      <c r="B3" s="138" t="str">
        <f>COVER!A15</f>
        <v xml:space="preserve">Ogle </v>
      </c>
    </row>
    <row r="4" spans="1:2" x14ac:dyDescent="0.2">
      <c r="A4" t="s">
        <v>1064</v>
      </c>
      <c r="B4" s="138" t="str">
        <f>COVER!A17</f>
        <v>Forrestville Valley CUSD 221</v>
      </c>
    </row>
    <row r="5" spans="1:2" x14ac:dyDescent="0.2">
      <c r="A5" t="s">
        <v>728</v>
      </c>
      <c r="B5" s="138" t="str">
        <f>COVER!A38</f>
        <v>Sheri Smith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Schueler</v>
      </c>
    </row>
    <row r="18" spans="1:2" x14ac:dyDescent="0.2">
      <c r="A18" t="s">
        <v>1212</v>
      </c>
      <c r="B18" s="138" t="str">
        <f>COVER!T17</f>
        <v>403 East Third</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Illinois</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3210871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3210871</v>
      </c>
      <c r="D92" s="2" t="str">
        <f t="shared" si="0"/>
        <v>Error?</v>
      </c>
    </row>
    <row r="93" spans="1:4" x14ac:dyDescent="0.2">
      <c r="A93" s="5">
        <v>32</v>
      </c>
      <c r="B93" s="138">
        <f>'Assets-Liab 5-6'!C41</f>
        <v>3210871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281172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967328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967328</v>
      </c>
      <c r="D123" s="2" t="str">
        <f t="shared" si="0"/>
        <v>Error?</v>
      </c>
    </row>
    <row r="124" spans="1:4" x14ac:dyDescent="0.2">
      <c r="A124" s="5">
        <v>63</v>
      </c>
      <c r="B124" s="138">
        <f>'Assets-Liab 5-6'!D41</f>
        <v>967328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191684</v>
      </c>
      <c r="D129" s="2" t="str">
        <f t="shared" si="1"/>
        <v>Error?</v>
      </c>
    </row>
    <row r="130" spans="1:4" x14ac:dyDescent="0.2">
      <c r="A130" s="5">
        <v>69</v>
      </c>
      <c r="B130" s="138">
        <f>'Assets-Liab 5-6'!E12</f>
        <v>0</v>
      </c>
      <c r="D130" s="2" t="str">
        <f t="shared" si="1"/>
        <v>Error?</v>
      </c>
    </row>
    <row r="131" spans="1:4" x14ac:dyDescent="0.2">
      <c r="A131" s="5">
        <v>70</v>
      </c>
      <c r="B131" s="138">
        <f>'Assets-Liab 5-6'!E13</f>
        <v>554502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554502</v>
      </c>
      <c r="D140" s="2" t="str">
        <f t="shared" si="1"/>
        <v>Error?</v>
      </c>
    </row>
    <row r="141" spans="1:4" x14ac:dyDescent="0.2">
      <c r="A141" s="5">
        <v>80</v>
      </c>
      <c r="B141" s="138">
        <f>'Assets-Liab 5-6'!E41</f>
        <v>554502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169920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813386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813386</v>
      </c>
      <c r="D170" s="2" t="str">
        <f t="shared" si="1"/>
        <v>Error?</v>
      </c>
    </row>
    <row r="171" spans="1:4" x14ac:dyDescent="0.2">
      <c r="A171" s="5">
        <v>110</v>
      </c>
      <c r="B171" s="138">
        <f>'Assets-Liab 5-6'!F41</f>
        <v>813386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121153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353699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353699</v>
      </c>
      <c r="D189" s="2" t="str">
        <f t="shared" si="1"/>
        <v>Error?</v>
      </c>
    </row>
    <row r="190" spans="1:4" x14ac:dyDescent="0.2">
      <c r="A190" s="5">
        <v>129</v>
      </c>
      <c r="B190" s="138">
        <f>'Assets-Liab 5-6'!G41</f>
        <v>353699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852588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1159368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1159368</v>
      </c>
      <c r="D212" s="2" t="str">
        <f t="shared" si="2"/>
        <v>Error?</v>
      </c>
    </row>
    <row r="213" spans="1:4" x14ac:dyDescent="0.2">
      <c r="A213" s="12">
        <v>152</v>
      </c>
      <c r="B213" s="138">
        <f>'Assets-Liab 5-6'!H41</f>
        <v>1159368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77950</v>
      </c>
      <c r="D273" s="2" t="str">
        <f t="shared" si="3"/>
        <v>Error?</v>
      </c>
    </row>
    <row r="274" spans="1:4" x14ac:dyDescent="0.2">
      <c r="A274" s="5">
        <v>213</v>
      </c>
      <c r="B274" s="138">
        <f>'Assets-Liab 5-6'!M17</f>
        <v>22717618</v>
      </c>
      <c r="D274" s="2" t="str">
        <f t="shared" si="3"/>
        <v>Error?</v>
      </c>
    </row>
    <row r="275" spans="1:4" x14ac:dyDescent="0.2">
      <c r="A275" s="5">
        <v>214</v>
      </c>
      <c r="B275" s="138">
        <f>'Assets-Liab 5-6'!M18</f>
        <v>0</v>
      </c>
      <c r="D275" s="2" t="str">
        <f t="shared" si="3"/>
        <v>Error?</v>
      </c>
    </row>
    <row r="276" spans="1:4" x14ac:dyDescent="0.2">
      <c r="A276" s="5">
        <v>215</v>
      </c>
      <c r="B276" s="138">
        <f>'Assets-Liab 5-6'!M19</f>
        <v>3689848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26485416</v>
      </c>
      <c r="C279" s="2" t="s">
        <v>594</v>
      </c>
      <c r="D279" s="2" t="str">
        <f t="shared" si="3"/>
        <v>Error?</v>
      </c>
    </row>
    <row r="280" spans="1:4" x14ac:dyDescent="0.2">
      <c r="A280" s="5">
        <v>219</v>
      </c>
      <c r="B280" s="138">
        <f>'Assets-Liab 5-6'!M40</f>
        <v>26485416</v>
      </c>
      <c r="D280" s="2" t="str">
        <f t="shared" si="3"/>
        <v>Error?</v>
      </c>
    </row>
    <row r="281" spans="1:4" x14ac:dyDescent="0.2">
      <c r="A281" s="5">
        <v>220</v>
      </c>
      <c r="B281" s="138">
        <f>'Assets-Liab 5-6'!M41</f>
        <v>26485416</v>
      </c>
      <c r="C281" s="2" t="s">
        <v>594</v>
      </c>
      <c r="D281" s="2" t="str">
        <f t="shared" si="3"/>
        <v>Error?</v>
      </c>
    </row>
    <row r="282" spans="1:4" x14ac:dyDescent="0.2">
      <c r="A282" s="5">
        <v>221</v>
      </c>
      <c r="B282" s="138">
        <f>'Assets-Liab 5-6'!N21</f>
        <v>554502</v>
      </c>
      <c r="D282" s="2" t="str">
        <f t="shared" si="3"/>
        <v>Error?</v>
      </c>
    </row>
    <row r="283" spans="1:4" x14ac:dyDescent="0.2">
      <c r="A283" s="5">
        <v>222</v>
      </c>
      <c r="B283" s="138">
        <f>'Assets-Liab 5-6'!N22</f>
        <v>5280050</v>
      </c>
      <c r="D283" s="2" t="str">
        <f t="shared" si="3"/>
        <v>Error?</v>
      </c>
    </row>
    <row r="284" spans="1:4" x14ac:dyDescent="0.2">
      <c r="A284" s="5">
        <v>223</v>
      </c>
      <c r="B284" s="138">
        <f>'Assets-Liab 5-6'!N23</f>
        <v>5834552</v>
      </c>
      <c r="C284" s="2" t="s">
        <v>594</v>
      </c>
      <c r="D284" s="2" t="str">
        <f t="shared" si="3"/>
        <v>Error?</v>
      </c>
    </row>
    <row r="285" spans="1:4" x14ac:dyDescent="0.2">
      <c r="A285" s="5">
        <v>224</v>
      </c>
      <c r="B285" s="138">
        <f>'Assets-Liab 5-6'!N36</f>
        <v>5834552</v>
      </c>
      <c r="D285" s="2" t="str">
        <f t="shared" si="3"/>
        <v>Error?</v>
      </c>
    </row>
    <row r="286" spans="1:4" x14ac:dyDescent="0.2">
      <c r="A286" s="10">
        <v>225</v>
      </c>
      <c r="D286" s="2" t="str">
        <f t="shared" si="3"/>
        <v>OK</v>
      </c>
    </row>
    <row r="287" spans="1:4" x14ac:dyDescent="0.2">
      <c r="A287" s="5">
        <v>226</v>
      </c>
      <c r="B287" s="138">
        <f>'Assets-Liab 5-6'!N37</f>
        <v>5834552</v>
      </c>
      <c r="C287" s="2" t="s">
        <v>594</v>
      </c>
      <c r="D287" s="2" t="str">
        <f t="shared" si="3"/>
        <v>Error?</v>
      </c>
    </row>
    <row r="288" spans="1:4" x14ac:dyDescent="0.2">
      <c r="A288" s="5">
        <v>227</v>
      </c>
      <c r="B288" s="138">
        <f>'Assets-Liab 5-6'!N41</f>
        <v>5834552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2268012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123088</v>
      </c>
      <c r="D717" s="2" t="str">
        <f t="shared" si="10"/>
        <v>Error?</v>
      </c>
    </row>
    <row r="718" spans="1:4" x14ac:dyDescent="0.2">
      <c r="A718" s="5">
        <v>657</v>
      </c>
      <c r="B718" s="138">
        <f>'Expenditures 15-22'!C14</f>
        <v>287550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3170352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6606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4088</v>
      </c>
      <c r="D726" s="2" t="str">
        <f t="shared" si="10"/>
        <v>Error?</v>
      </c>
    </row>
    <row r="727" spans="1:4" x14ac:dyDescent="0.2">
      <c r="A727" s="5">
        <v>666</v>
      </c>
      <c r="B727" s="138">
        <f>'Expenditures 15-22'!C42</f>
        <v>10694</v>
      </c>
      <c r="C727" s="2" t="s">
        <v>594</v>
      </c>
      <c r="D727" s="2" t="str">
        <f t="shared" si="10"/>
        <v>Error?</v>
      </c>
    </row>
    <row r="728" spans="1:4" x14ac:dyDescent="0.2">
      <c r="A728" s="5">
        <v>667</v>
      </c>
      <c r="B728" s="138">
        <f>'Expenditures 15-22'!C44</f>
        <v>14906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14906</v>
      </c>
      <c r="C731" s="2" t="s">
        <v>594</v>
      </c>
      <c r="D731" s="2" t="str">
        <f t="shared" si="10"/>
        <v>Error?</v>
      </c>
    </row>
    <row r="732" spans="1:4" x14ac:dyDescent="0.2">
      <c r="A732" s="5">
        <v>671</v>
      </c>
      <c r="B732" s="138">
        <f>'Expenditures 15-22'!C49</f>
        <v>2178</v>
      </c>
      <c r="D732" s="2" t="str">
        <f t="shared" si="10"/>
        <v>Error?</v>
      </c>
    </row>
    <row r="733" spans="1:4" x14ac:dyDescent="0.2">
      <c r="A733" s="5">
        <v>672</v>
      </c>
      <c r="B733" s="138">
        <f>'Expenditures 15-22'!C50</f>
        <v>56943</v>
      </c>
      <c r="D733" s="2" t="str">
        <f t="shared" si="10"/>
        <v>Error?</v>
      </c>
    </row>
    <row r="734" spans="1:4" x14ac:dyDescent="0.2">
      <c r="A734" s="5">
        <v>673</v>
      </c>
      <c r="B734" s="138">
        <f>'Expenditures 15-22'!C53</f>
        <v>59121</v>
      </c>
      <c r="C734" s="2" t="s">
        <v>594</v>
      </c>
      <c r="D734" s="2" t="str">
        <f t="shared" si="10"/>
        <v>Error?</v>
      </c>
    </row>
    <row r="735" spans="1:4" x14ac:dyDescent="0.2">
      <c r="A735" s="5">
        <v>674</v>
      </c>
      <c r="B735" s="138">
        <f>'Expenditures 15-22'!C55</f>
        <v>226095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226095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64686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95975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160661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471477</v>
      </c>
      <c r="C755" s="2" t="s">
        <v>594</v>
      </c>
      <c r="D755" s="2" t="str">
        <f t="shared" si="10"/>
        <v>Error?</v>
      </c>
    </row>
    <row r="756" spans="1:4" x14ac:dyDescent="0.2">
      <c r="A756" s="5">
        <v>695</v>
      </c>
      <c r="B756" s="138">
        <f>'Expenditures 15-22'!C75</f>
        <v>16443</v>
      </c>
      <c r="D756" s="2" t="str">
        <f t="shared" si="10"/>
        <v>Error?</v>
      </c>
    </row>
    <row r="757" spans="1:4" x14ac:dyDescent="0.2">
      <c r="A757" s="5">
        <v>696</v>
      </c>
      <c r="B757" s="138">
        <f>'Expenditures 15-22'!C114</f>
        <v>3658272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505387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32031</v>
      </c>
      <c r="D775" s="2" t="str">
        <f t="shared" si="11"/>
        <v>Error?</v>
      </c>
    </row>
    <row r="776" spans="1:4" x14ac:dyDescent="0.2">
      <c r="A776" s="5">
        <v>715</v>
      </c>
      <c r="B776" s="138">
        <f>'Expenditures 15-22'!D14</f>
        <v>50258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687324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1296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1296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15869</v>
      </c>
      <c r="D791" s="2" t="str">
        <f t="shared" si="11"/>
        <v>Error?</v>
      </c>
    </row>
    <row r="792" spans="1:4" x14ac:dyDescent="0.2">
      <c r="A792" s="5">
        <v>731</v>
      </c>
      <c r="B792" s="138">
        <f>'Expenditures 15-22'!D53</f>
        <v>15869</v>
      </c>
      <c r="C792" s="2" t="s">
        <v>594</v>
      </c>
      <c r="D792" s="2" t="str">
        <f t="shared" si="11"/>
        <v>Error?</v>
      </c>
    </row>
    <row r="793" spans="1:4" x14ac:dyDescent="0.2">
      <c r="A793" s="5">
        <v>732</v>
      </c>
      <c r="B793" s="138">
        <f>'Expenditures 15-22'!D55</f>
        <v>55389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55389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11029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20169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31198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103752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791076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13634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500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30733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45579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2218</v>
      </c>
      <c r="D838" s="2" t="str">
        <f t="shared" si="12"/>
        <v>Error?</v>
      </c>
    </row>
    <row r="839" spans="1:4" x14ac:dyDescent="0.2">
      <c r="A839" s="5">
        <v>778</v>
      </c>
      <c r="B839" s="138">
        <f>'Expenditures 15-22'!E38</f>
        <v>408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2626</v>
      </c>
      <c r="C843" s="2" t="s">
        <v>594</v>
      </c>
      <c r="D843" s="2" t="str">
        <f t="shared" si="12"/>
        <v>Error?</v>
      </c>
    </row>
    <row r="844" spans="1:4" x14ac:dyDescent="0.2">
      <c r="A844" s="5">
        <v>783</v>
      </c>
      <c r="B844" s="138">
        <f>'Expenditures 15-22'!E44</f>
        <v>2967</v>
      </c>
      <c r="D844" s="2" t="str">
        <f t="shared" si="12"/>
        <v>Error?</v>
      </c>
    </row>
    <row r="845" spans="1:4" x14ac:dyDescent="0.2">
      <c r="A845" s="5">
        <v>784</v>
      </c>
      <c r="B845" s="138">
        <f>'Expenditures 15-22'!E45</f>
        <v>134682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137649</v>
      </c>
      <c r="C847" s="2" t="s">
        <v>594</v>
      </c>
      <c r="D847" s="2" t="str">
        <f t="shared" si="12"/>
        <v>Error?</v>
      </c>
    </row>
    <row r="848" spans="1:4" x14ac:dyDescent="0.2">
      <c r="A848" s="5">
        <v>787</v>
      </c>
      <c r="B848" s="138">
        <f>'Expenditures 15-22'!E49</f>
        <v>24152</v>
      </c>
      <c r="D848" s="2" t="str">
        <f t="shared" si="12"/>
        <v>Error?</v>
      </c>
    </row>
    <row r="849" spans="1:4" x14ac:dyDescent="0.2">
      <c r="A849" s="5">
        <v>788</v>
      </c>
      <c r="B849" s="138">
        <f>'Expenditures 15-22'!E50</f>
        <v>795</v>
      </c>
      <c r="D849" s="2" t="str">
        <f t="shared" si="12"/>
        <v>Error?</v>
      </c>
    </row>
    <row r="850" spans="1:4" x14ac:dyDescent="0.2">
      <c r="A850" s="5">
        <v>789</v>
      </c>
      <c r="B850" s="138">
        <f>'Expenditures 15-22'!E53</f>
        <v>24947</v>
      </c>
      <c r="C850" s="2" t="s">
        <v>594</v>
      </c>
      <c r="D850" s="2" t="str">
        <f t="shared" si="12"/>
        <v>Error?</v>
      </c>
    </row>
    <row r="851" spans="1:4" x14ac:dyDescent="0.2">
      <c r="A851" s="5">
        <v>790</v>
      </c>
      <c r="B851" s="138">
        <f>'Expenditures 15-22'!E55</f>
        <v>3434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3434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9124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19856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28980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79637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79637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277273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322852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71145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6116</v>
      </c>
      <c r="D891" s="2" t="str">
        <f t="shared" si="12"/>
        <v>Error?</v>
      </c>
    </row>
    <row r="892" spans="1:4" x14ac:dyDescent="0.2">
      <c r="A892" s="5">
        <v>831</v>
      </c>
      <c r="B892" s="138">
        <f>'Expenditures 15-22'!F14</f>
        <v>38268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137935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852</v>
      </c>
      <c r="D896" s="2" t="str">
        <f t="shared" si="13"/>
        <v>Error?</v>
      </c>
    </row>
    <row r="897" spans="1:4" x14ac:dyDescent="0.2">
      <c r="A897" s="5">
        <v>836</v>
      </c>
      <c r="B897" s="138">
        <f>'Expenditures 15-22'!F38</f>
        <v>3286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4138</v>
      </c>
      <c r="C901" s="2" t="s">
        <v>594</v>
      </c>
      <c r="D901" s="2" t="str">
        <f t="shared" si="13"/>
        <v>Error?</v>
      </c>
    </row>
    <row r="902" spans="1:4" x14ac:dyDescent="0.2">
      <c r="A902" s="5">
        <v>841</v>
      </c>
      <c r="B902" s="138">
        <f>'Expenditures 15-22'!F44</f>
        <v>1000</v>
      </c>
      <c r="D902" s="2" t="str">
        <f t="shared" si="13"/>
        <v>Error?</v>
      </c>
    </row>
    <row r="903" spans="1:4" x14ac:dyDescent="0.2">
      <c r="A903" s="5">
        <v>842</v>
      </c>
      <c r="B903" s="138">
        <f>'Expenditures 15-22'!F45</f>
        <v>78996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79996</v>
      </c>
      <c r="C905" s="2" t="s">
        <v>594</v>
      </c>
      <c r="D905" s="2" t="str">
        <f t="shared" si="13"/>
        <v>Error?</v>
      </c>
    </row>
    <row r="906" spans="1:4" x14ac:dyDescent="0.2">
      <c r="A906" s="5">
        <v>845</v>
      </c>
      <c r="B906" s="138">
        <f>'Expenditures 15-22'!F49</f>
        <v>902</v>
      </c>
      <c r="D906" s="2" t="str">
        <f t="shared" si="13"/>
        <v>Error?</v>
      </c>
    </row>
    <row r="907" spans="1:4" x14ac:dyDescent="0.2">
      <c r="A907" s="5">
        <v>846</v>
      </c>
      <c r="B907" s="138">
        <f>'Expenditures 15-22'!F50</f>
        <v>2552</v>
      </c>
      <c r="D907" s="2" t="str">
        <f t="shared" si="13"/>
        <v>Error?</v>
      </c>
    </row>
    <row r="908" spans="1:4" x14ac:dyDescent="0.2">
      <c r="A908" s="5">
        <v>847</v>
      </c>
      <c r="B908" s="138">
        <f>'Expenditures 15-22'!F53</f>
        <v>3454</v>
      </c>
      <c r="C908" s="2" t="s">
        <v>594</v>
      </c>
      <c r="D908" s="2" t="str">
        <f t="shared" si="13"/>
        <v>Error?</v>
      </c>
    </row>
    <row r="909" spans="1:4" x14ac:dyDescent="0.2">
      <c r="A909" s="5">
        <v>848</v>
      </c>
      <c r="B909" s="138">
        <f>'Expenditures 15-22'!F55</f>
        <v>960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960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2864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173695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176559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265107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403042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4400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1369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5769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5769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5769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6972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7551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157823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157823</v>
      </c>
      <c r="C1021" s="2" t="s">
        <v>594</v>
      </c>
      <c r="D1021" s="2" t="str">
        <f t="shared" si="14"/>
        <v>Error?</v>
      </c>
    </row>
    <row r="1022" spans="1:4" x14ac:dyDescent="0.2">
      <c r="A1022" s="5">
        <v>961</v>
      </c>
      <c r="B1022" s="138">
        <f>'Expenditures 15-22'!H49</f>
        <v>8308</v>
      </c>
      <c r="D1022" s="2" t="str">
        <f t="shared" si="14"/>
        <v>Error?</v>
      </c>
    </row>
    <row r="1023" spans="1:4" x14ac:dyDescent="0.2">
      <c r="A1023" s="5">
        <v>962</v>
      </c>
      <c r="B1023" s="138">
        <f>'Expenditures 15-22'!H50</f>
        <v>1770</v>
      </c>
      <c r="D1023" s="2" t="str">
        <f t="shared" ref="D1023:D1086" si="15">IF(ISBLANK(B1023),"OK",IF(A1023-B1023=0,"OK","Error?"))</f>
        <v>Error?</v>
      </c>
    </row>
    <row r="1024" spans="1:4" x14ac:dyDescent="0.2">
      <c r="A1024" s="5">
        <v>963</v>
      </c>
      <c r="B1024" s="138">
        <f>'Expenditures 15-22'!H53</f>
        <v>10078</v>
      </c>
      <c r="C1024" s="2" t="s">
        <v>594</v>
      </c>
      <c r="D1024" s="2" t="str">
        <f t="shared" si="15"/>
        <v>Error?</v>
      </c>
    </row>
    <row r="1025" spans="1:4" x14ac:dyDescent="0.2">
      <c r="A1025" s="5">
        <v>964</v>
      </c>
      <c r="B1025" s="138">
        <f>'Expenditures 15-22'!H55</f>
        <v>2087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2087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169988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356359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533898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2858757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500</v>
      </c>
      <c r="C1104" s="2" t="s">
        <v>594</v>
      </c>
      <c r="D1104" s="2" t="str">
        <f t="shared" si="16"/>
        <v>Error?</v>
      </c>
    </row>
    <row r="1105" spans="1:4" x14ac:dyDescent="0.2">
      <c r="A1105" s="5">
        <v>1044</v>
      </c>
      <c r="B1105" s="138">
        <f>'Expenditures 15-22'!K13</f>
        <v>161235</v>
      </c>
      <c r="C1105" s="2" t="s">
        <v>594</v>
      </c>
      <c r="D1105" s="2" t="str">
        <f t="shared" si="16"/>
        <v>Error?</v>
      </c>
    </row>
    <row r="1106" spans="1:4" x14ac:dyDescent="0.2">
      <c r="A1106" s="5">
        <v>1045</v>
      </c>
      <c r="B1106" s="138">
        <f>'Expenditures 15-22'!K14</f>
        <v>413781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4048741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3070</v>
      </c>
      <c r="C1110" s="2" t="s">
        <v>594</v>
      </c>
      <c r="D1110" s="2" t="str">
        <f t="shared" si="16"/>
        <v>Error?</v>
      </c>
    </row>
    <row r="1111" spans="1:4" x14ac:dyDescent="0.2">
      <c r="A1111" s="5">
        <v>1050</v>
      </c>
      <c r="B1111" s="138">
        <f>'Expenditures 15-22'!K38</f>
        <v>10300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4088</v>
      </c>
      <c r="C1114" s="2" t="s">
        <v>594</v>
      </c>
      <c r="D1114" s="2" t="str">
        <f t="shared" si="16"/>
        <v>Error?</v>
      </c>
    </row>
    <row r="1115" spans="1:4" x14ac:dyDescent="0.2">
      <c r="A1115" s="5">
        <v>1054</v>
      </c>
      <c r="B1115" s="138">
        <f>'Expenditures 15-22'!K42</f>
        <v>17458</v>
      </c>
      <c r="C1115" s="2" t="s">
        <v>594</v>
      </c>
      <c r="D1115" s="2" t="str">
        <f t="shared" si="16"/>
        <v>Error?</v>
      </c>
    </row>
    <row r="1116" spans="1:4" x14ac:dyDescent="0.2">
      <c r="A1116" s="5">
        <v>1055</v>
      </c>
      <c r="B1116" s="138">
        <f>'Expenditures 15-22'!K44</f>
        <v>20169</v>
      </c>
      <c r="C1116" s="2" t="s">
        <v>594</v>
      </c>
      <c r="D1116" s="2" t="str">
        <f t="shared" si="16"/>
        <v>Error?</v>
      </c>
    </row>
    <row r="1117" spans="1:4" x14ac:dyDescent="0.2">
      <c r="A1117" s="5">
        <v>1056</v>
      </c>
      <c r="B1117" s="138">
        <f>'Expenditures 15-22'!K45</f>
        <v>371501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391670</v>
      </c>
      <c r="C1119" s="2" t="s">
        <v>594</v>
      </c>
      <c r="D1119" s="2" t="str">
        <f t="shared" si="16"/>
        <v>Error?</v>
      </c>
    </row>
    <row r="1120" spans="1:4" x14ac:dyDescent="0.2">
      <c r="A1120" s="5">
        <v>1059</v>
      </c>
      <c r="B1120" s="138">
        <f>'Expenditures 15-22'!K49</f>
        <v>35540</v>
      </c>
      <c r="C1120" s="2" t="s">
        <v>594</v>
      </c>
      <c r="D1120" s="2" t="str">
        <f t="shared" si="16"/>
        <v>Error?</v>
      </c>
    </row>
    <row r="1121" spans="1:4" x14ac:dyDescent="0.2">
      <c r="A1121" s="5">
        <v>1060</v>
      </c>
      <c r="B1121" s="138">
        <f>'Expenditures 15-22'!K50</f>
        <v>77929</v>
      </c>
      <c r="C1121" s="2" t="s">
        <v>594</v>
      </c>
      <c r="D1121" s="2" t="str">
        <f t="shared" si="16"/>
        <v>Error?</v>
      </c>
    </row>
    <row r="1122" spans="1:4" x14ac:dyDescent="0.2">
      <c r="A1122" s="5">
        <v>1061</v>
      </c>
      <c r="B1122" s="138">
        <f>'Expenditures 15-22'!K53</f>
        <v>113469</v>
      </c>
      <c r="C1122" s="2" t="s">
        <v>594</v>
      </c>
      <c r="D1122" s="2" t="str">
        <f t="shared" si="16"/>
        <v>Error?</v>
      </c>
    </row>
    <row r="1123" spans="1:4" x14ac:dyDescent="0.2">
      <c r="A1123" s="5">
        <v>1062</v>
      </c>
      <c r="B1123" s="138">
        <f>'Expenditures 15-22'!K55</f>
        <v>288328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288328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92103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311064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403167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79637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79637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1293729</v>
      </c>
      <c r="C1143" s="2" t="s">
        <v>594</v>
      </c>
      <c r="D1143" s="2" t="str">
        <f t="shared" si="16"/>
        <v>Error?</v>
      </c>
    </row>
    <row r="1144" spans="1:4" x14ac:dyDescent="0.2">
      <c r="A1144" s="5">
        <v>1083</v>
      </c>
      <c r="B1144" s="138">
        <f>'Expenditures 15-22'!K75</f>
        <v>16443</v>
      </c>
      <c r="C1144" s="2" t="s">
        <v>594</v>
      </c>
      <c r="D1144" s="2" t="str">
        <f t="shared" si="16"/>
        <v>Error?</v>
      </c>
    </row>
    <row r="1145" spans="1:4" x14ac:dyDescent="0.2">
      <c r="A1145" s="5">
        <v>1084</v>
      </c>
      <c r="B1145" s="138">
        <f>'Expenditures 15-22'!K102</f>
        <v>356359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5715272</v>
      </c>
      <c r="C1152" s="2" t="s">
        <v>594</v>
      </c>
      <c r="D1152" s="2" t="str">
        <f t="shared" si="17"/>
        <v>Error?</v>
      </c>
    </row>
    <row r="1153" spans="1:4" x14ac:dyDescent="0.2">
      <c r="A1153" s="5">
        <v>1092</v>
      </c>
      <c r="B1153" s="138">
        <f>'Expenditures 15-22'!K115</f>
        <v>419879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32168</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116391</v>
      </c>
      <c r="D1221" s="2" t="str">
        <f t="shared" si="18"/>
        <v>Error?</v>
      </c>
    </row>
    <row r="1222" spans="1:4" x14ac:dyDescent="0.2">
      <c r="A1222" s="10">
        <v>1161</v>
      </c>
      <c r="D1222" s="2" t="str">
        <f t="shared" si="18"/>
        <v>OK</v>
      </c>
    </row>
    <row r="1223" spans="1:4" x14ac:dyDescent="0.2">
      <c r="A1223" s="5">
        <v>1162</v>
      </c>
      <c r="B1223" s="138">
        <f>'Expenditures 15-22'!C127</f>
        <v>148559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148559</v>
      </c>
      <c r="C1225" s="2" t="s">
        <v>594</v>
      </c>
      <c r="D1225" s="2" t="str">
        <f t="shared" si="18"/>
        <v>Error?</v>
      </c>
    </row>
    <row r="1226" spans="1:4" x14ac:dyDescent="0.2">
      <c r="A1226" s="5">
        <v>1165</v>
      </c>
      <c r="B1226" s="138">
        <f>'Expenditures 15-22'!C151</f>
        <v>148559</v>
      </c>
      <c r="C1226" s="2" t="s">
        <v>594</v>
      </c>
      <c r="D1226" s="2" t="str">
        <f t="shared" si="18"/>
        <v>Error?</v>
      </c>
    </row>
    <row r="1227" spans="1:4" x14ac:dyDescent="0.2">
      <c r="A1227" s="5">
        <v>1166</v>
      </c>
      <c r="B1227" s="138">
        <f>'Expenditures 15-22'!D122</f>
        <v>6236</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22172</v>
      </c>
      <c r="D1229" s="2" t="str">
        <f t="shared" si="18"/>
        <v>Error?</v>
      </c>
    </row>
    <row r="1230" spans="1:4" x14ac:dyDescent="0.2">
      <c r="A1230" s="10">
        <v>1169</v>
      </c>
      <c r="D1230" s="2" t="str">
        <f t="shared" si="18"/>
        <v>OK</v>
      </c>
    </row>
    <row r="1231" spans="1:4" x14ac:dyDescent="0.2">
      <c r="A1231" s="5">
        <v>1170</v>
      </c>
      <c r="B1231" s="138">
        <f>'Expenditures 15-22'!D127</f>
        <v>28408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28408</v>
      </c>
      <c r="C1233" s="2" t="s">
        <v>594</v>
      </c>
      <c r="D1233" s="2" t="str">
        <f t="shared" si="18"/>
        <v>Error?</v>
      </c>
    </row>
    <row r="1234" spans="1:4" x14ac:dyDescent="0.2">
      <c r="A1234" s="5">
        <v>1173</v>
      </c>
      <c r="B1234" s="138">
        <f>'Expenditures 15-22'!D151</f>
        <v>28408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168511</v>
      </c>
      <c r="D1237" s="2" t="str">
        <f t="shared" si="18"/>
        <v>Error?</v>
      </c>
    </row>
    <row r="1238" spans="1:4" x14ac:dyDescent="0.2">
      <c r="A1238" s="10">
        <v>1177</v>
      </c>
      <c r="D1238" s="2" t="str">
        <f t="shared" si="18"/>
        <v>OK</v>
      </c>
    </row>
    <row r="1239" spans="1:4" x14ac:dyDescent="0.2">
      <c r="A1239" s="5">
        <v>1178</v>
      </c>
      <c r="B1239" s="138">
        <f>'Expenditures 15-22'!E127</f>
        <v>168511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168511</v>
      </c>
      <c r="C1241" s="2" t="s">
        <v>594</v>
      </c>
      <c r="D1241" s="2" t="str">
        <f t="shared" si="18"/>
        <v>Error?</v>
      </c>
    </row>
    <row r="1242" spans="1:4" x14ac:dyDescent="0.2">
      <c r="A1242" s="5">
        <v>1181</v>
      </c>
      <c r="B1242" s="138">
        <f>'Expenditures 15-22'!E151</f>
        <v>168511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170947</v>
      </c>
      <c r="D1245" s="2" t="str">
        <f t="shared" si="18"/>
        <v>Error?</v>
      </c>
    </row>
    <row r="1246" spans="1:4" x14ac:dyDescent="0.2">
      <c r="A1246" s="10">
        <v>1185</v>
      </c>
      <c r="D1246" s="2" t="str">
        <f t="shared" si="18"/>
        <v>OK</v>
      </c>
    </row>
    <row r="1247" spans="1:4" x14ac:dyDescent="0.2">
      <c r="A1247" s="5">
        <v>1186</v>
      </c>
      <c r="B1247" s="138">
        <f>'Expenditures 15-22'!F127</f>
        <v>170947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170947</v>
      </c>
      <c r="C1249" s="2" t="s">
        <v>594</v>
      </c>
      <c r="D1249" s="2" t="str">
        <f t="shared" si="18"/>
        <v>Error?</v>
      </c>
    </row>
    <row r="1250" spans="1:4" x14ac:dyDescent="0.2">
      <c r="A1250" s="5">
        <v>1189</v>
      </c>
      <c r="B1250" s="138">
        <f>'Expenditures 15-22'!F151</f>
        <v>170947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10970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10970</v>
      </c>
      <c r="C1273" s="2" t="s">
        <v>594</v>
      </c>
      <c r="D1273" s="2" t="str">
        <f t="shared" si="18"/>
        <v>Error?</v>
      </c>
    </row>
    <row r="1274" spans="1:4" x14ac:dyDescent="0.2">
      <c r="A1274" s="5">
        <v>1213</v>
      </c>
      <c r="B1274" s="138">
        <f>'Expenditures 15-22'!K122</f>
        <v>38404</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478021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516425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516425</v>
      </c>
      <c r="C1281" s="2" t="s">
        <v>594</v>
      </c>
      <c r="D1281" s="2" t="str">
        <f t="shared" si="19"/>
        <v>Error?</v>
      </c>
    </row>
    <row r="1282" spans="1:4" x14ac:dyDescent="0.2">
      <c r="A1282" s="5">
        <v>1221</v>
      </c>
      <c r="B1282" s="138">
        <f>'Expenditures 15-22'!K139</f>
        <v>10970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527395</v>
      </c>
      <c r="C1288" s="2" t="s">
        <v>594</v>
      </c>
      <c r="D1288" s="2" t="str">
        <f t="shared" si="19"/>
        <v>Error?</v>
      </c>
    </row>
    <row r="1289" spans="1:4" x14ac:dyDescent="0.2">
      <c r="A1289" s="5">
        <v>1228</v>
      </c>
      <c r="B1289" s="138">
        <f>'Expenditures 15-22'!K152</f>
        <v>-12815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277099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1635000</v>
      </c>
      <c r="D1315" s="2" t="str">
        <f t="shared" si="19"/>
        <v>Error?</v>
      </c>
    </row>
    <row r="1316" spans="1:4" x14ac:dyDescent="0.2">
      <c r="A1316" s="5">
        <v>1255</v>
      </c>
      <c r="B1316" s="138">
        <f>'Expenditures 15-22'!H171</f>
        <v>304</v>
      </c>
      <c r="D1316" s="2" t="str">
        <f t="shared" si="19"/>
        <v>Error?</v>
      </c>
    </row>
    <row r="1317" spans="1:4" x14ac:dyDescent="0.2">
      <c r="A1317" s="5">
        <v>1256</v>
      </c>
      <c r="B1317" s="138">
        <f>'Expenditures 15-22'!H172</f>
        <v>1912403</v>
      </c>
      <c r="C1317" s="2" t="s">
        <v>594</v>
      </c>
      <c r="D1317" s="2" t="str">
        <f t="shared" si="19"/>
        <v>Error?</v>
      </c>
    </row>
    <row r="1318" spans="1:4" x14ac:dyDescent="0.2">
      <c r="A1318" s="5">
        <v>1257</v>
      </c>
      <c r="B1318" s="138">
        <f>'Expenditures 15-22'!H174</f>
        <v>1912403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277099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1635000</v>
      </c>
      <c r="C1329" s="2" t="s">
        <v>594</v>
      </c>
      <c r="D1329" s="2" t="str">
        <f t="shared" si="19"/>
        <v>Error?</v>
      </c>
    </row>
    <row r="1330" spans="1:4" x14ac:dyDescent="0.2">
      <c r="A1330" s="5">
        <v>1269</v>
      </c>
      <c r="B1330" s="138">
        <f>'Expenditures 15-22'!K171</f>
        <v>304</v>
      </c>
      <c r="C1330" s="2" t="s">
        <v>594</v>
      </c>
      <c r="D1330" s="2" t="str">
        <f t="shared" si="19"/>
        <v>Error?</v>
      </c>
    </row>
    <row r="1331" spans="1:4" x14ac:dyDescent="0.2">
      <c r="A1331" s="5">
        <v>1270</v>
      </c>
      <c r="B1331" s="138">
        <f>'Expenditures 15-22'!K172</f>
        <v>1912403</v>
      </c>
      <c r="C1331" s="2" t="s">
        <v>594</v>
      </c>
      <c r="D1331" s="2" t="str">
        <f t="shared" si="19"/>
        <v>Error?</v>
      </c>
    </row>
    <row r="1332" spans="1:4" x14ac:dyDescent="0.2">
      <c r="A1332" s="5">
        <v>1271</v>
      </c>
      <c r="B1332" s="138">
        <f>'Expenditures 15-22'!K174</f>
        <v>1912403</v>
      </c>
      <c r="C1332" s="2" t="s">
        <v>594</v>
      </c>
      <c r="D1332" s="2" t="str">
        <f t="shared" si="19"/>
        <v>Error?</v>
      </c>
    </row>
    <row r="1333" spans="1:4" x14ac:dyDescent="0.2">
      <c r="A1333" s="5">
        <v>1272</v>
      </c>
      <c r="B1333" s="138">
        <f>'Expenditures 15-22'!K175</f>
        <v>-709763</v>
      </c>
      <c r="C1333" s="2" t="s">
        <v>594</v>
      </c>
      <c r="D1333" s="2" t="str">
        <f t="shared" si="19"/>
        <v>Error?</v>
      </c>
    </row>
    <row r="1334" spans="1:4" x14ac:dyDescent="0.2">
      <c r="A1334" s="10">
        <v>1273</v>
      </c>
      <c r="D1334" s="2" t="str">
        <f t="shared" si="19"/>
        <v>OK</v>
      </c>
    </row>
    <row r="1335" spans="1:4" x14ac:dyDescent="0.2">
      <c r="A1335" s="5">
        <v>1274</v>
      </c>
      <c r="B1335" s="138">
        <f>'Expenditures 15-22'!C182</f>
        <v>234802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234802</v>
      </c>
      <c r="C1339" s="2" t="s">
        <v>594</v>
      </c>
      <c r="D1339" s="2" t="str">
        <f t="shared" si="19"/>
        <v>Error?</v>
      </c>
    </row>
    <row r="1340" spans="1:4" x14ac:dyDescent="0.2">
      <c r="A1340" s="5">
        <v>1279</v>
      </c>
      <c r="B1340" s="138">
        <f>'Expenditures 15-22'!C210</f>
        <v>234802</v>
      </c>
      <c r="C1340" s="2" t="s">
        <v>594</v>
      </c>
      <c r="D1340" s="2" t="str">
        <f t="shared" si="19"/>
        <v>Error?</v>
      </c>
    </row>
    <row r="1341" spans="1:4" x14ac:dyDescent="0.2">
      <c r="A1341" s="5">
        <v>1280</v>
      </c>
      <c r="B1341" s="138">
        <f>'Expenditures 15-22'!D182</f>
        <v>51447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51447</v>
      </c>
      <c r="C1345" s="2" t="s">
        <v>594</v>
      </c>
      <c r="D1345" s="2" t="str">
        <f t="shared" si="20"/>
        <v>Error?</v>
      </c>
    </row>
    <row r="1346" spans="1:4" x14ac:dyDescent="0.2">
      <c r="A1346" s="5">
        <v>1285</v>
      </c>
      <c r="B1346" s="138">
        <f>'Expenditures 15-22'!D210</f>
        <v>51447</v>
      </c>
      <c r="C1346" s="2" t="s">
        <v>594</v>
      </c>
      <c r="D1346" s="2" t="str">
        <f t="shared" si="20"/>
        <v>Error?</v>
      </c>
    </row>
    <row r="1347" spans="1:4" x14ac:dyDescent="0.2">
      <c r="A1347" s="5">
        <v>1286</v>
      </c>
      <c r="B1347" s="138">
        <f>'Expenditures 15-22'!E182</f>
        <v>25988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25988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25988</v>
      </c>
      <c r="C1353" s="2" t="s">
        <v>594</v>
      </c>
      <c r="D1353" s="2" t="str">
        <f t="shared" si="20"/>
        <v>Error?</v>
      </c>
    </row>
    <row r="1354" spans="1:4" x14ac:dyDescent="0.2">
      <c r="A1354" s="5">
        <v>1293</v>
      </c>
      <c r="B1354" s="138">
        <f>'Expenditures 15-22'!F182</f>
        <v>87186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87186</v>
      </c>
      <c r="C1358" s="2" t="s">
        <v>594</v>
      </c>
      <c r="D1358" s="2" t="str">
        <f t="shared" si="20"/>
        <v>Error?</v>
      </c>
    </row>
    <row r="1359" spans="1:4" x14ac:dyDescent="0.2">
      <c r="A1359" s="5">
        <v>1298</v>
      </c>
      <c r="B1359" s="138">
        <f>'Expenditures 15-22'!F210</f>
        <v>87186</v>
      </c>
      <c r="C1359" s="2" t="s">
        <v>594</v>
      </c>
      <c r="D1359" s="2" t="str">
        <f t="shared" si="20"/>
        <v>Error?</v>
      </c>
    </row>
    <row r="1360" spans="1:4" x14ac:dyDescent="0.2">
      <c r="A1360" s="5">
        <v>1299</v>
      </c>
      <c r="B1360" s="138">
        <f>'Expenditures 15-22'!G182</f>
        <v>51053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51053</v>
      </c>
      <c r="C1364" s="2" t="s">
        <v>594</v>
      </c>
      <c r="D1364" s="2" t="str">
        <f t="shared" si="20"/>
        <v>Error?</v>
      </c>
    </row>
    <row r="1365" spans="1:4" x14ac:dyDescent="0.2">
      <c r="A1365" s="5">
        <v>1304</v>
      </c>
      <c r="B1365" s="138">
        <f>'Expenditures 15-22'!G210</f>
        <v>51053</v>
      </c>
      <c r="C1365" s="2" t="s">
        <v>594</v>
      </c>
      <c r="D1365" s="2" t="str">
        <f t="shared" si="20"/>
        <v>Error?</v>
      </c>
    </row>
    <row r="1366" spans="1:4" x14ac:dyDescent="0.2">
      <c r="A1366" s="5">
        <v>1305</v>
      </c>
      <c r="B1366" s="138">
        <f>'Expenditures 15-22'!H182</f>
        <v>132032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132032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132032</v>
      </c>
      <c r="C1376" s="2" t="s">
        <v>594</v>
      </c>
      <c r="D1376" s="2" t="str">
        <f t="shared" si="20"/>
        <v>Error?</v>
      </c>
    </row>
    <row r="1377" spans="1:4" x14ac:dyDescent="0.2">
      <c r="A1377" s="5">
        <v>1316</v>
      </c>
      <c r="B1377" s="138">
        <f>'Expenditures 15-22'!K182</f>
        <v>582508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582508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582508</v>
      </c>
      <c r="C1388" s="2" t="s">
        <v>594</v>
      </c>
      <c r="D1388" s="2" t="str">
        <f t="shared" si="20"/>
        <v>Error?</v>
      </c>
    </row>
    <row r="1389" spans="1:4" x14ac:dyDescent="0.2">
      <c r="A1389" s="5">
        <v>1328</v>
      </c>
      <c r="B1389" s="138">
        <f>'Expenditures 15-22'!K211</f>
        <v>154618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1978</v>
      </c>
      <c r="D1407" s="2" t="str">
        <f t="shared" ref="D1407:D1470" si="21">IF(ISBLANK(B1407),"OK",IF(A1407-B1407=0,"OK","Error?"))</f>
        <v>Error?</v>
      </c>
    </row>
    <row r="1408" spans="1:4" x14ac:dyDescent="0.2">
      <c r="A1408" s="5">
        <v>1347</v>
      </c>
      <c r="B1408" s="138">
        <f>'Expenditures 15-22'!D223</f>
        <v>6576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61759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869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528</v>
      </c>
      <c r="D1416" s="2" t="str">
        <f t="shared" si="21"/>
        <v>Error?</v>
      </c>
    </row>
    <row r="1417" spans="1:4" x14ac:dyDescent="0.2">
      <c r="A1417" s="5">
        <v>1356</v>
      </c>
      <c r="B1417" s="138">
        <f>'Expenditures 15-22'!D238</f>
        <v>1397</v>
      </c>
      <c r="C1417" s="2" t="s">
        <v>594</v>
      </c>
      <c r="D1417" s="2" t="str">
        <f t="shared" si="21"/>
        <v>Error?</v>
      </c>
    </row>
    <row r="1418" spans="1:4" x14ac:dyDescent="0.2">
      <c r="A1418" s="5">
        <v>1357</v>
      </c>
      <c r="B1418" s="138">
        <f>'Expenditures 15-22'!D240</f>
        <v>209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209</v>
      </c>
      <c r="C1421" s="2" t="s">
        <v>594</v>
      </c>
      <c r="D1421" s="2" t="str">
        <f t="shared" si="21"/>
        <v>Error?</v>
      </c>
    </row>
    <row r="1422" spans="1:4" x14ac:dyDescent="0.2">
      <c r="A1422" s="5">
        <v>1361</v>
      </c>
      <c r="B1422" s="138">
        <f>'Expenditures 15-22'!D245</f>
        <v>167</v>
      </c>
      <c r="D1422" s="2" t="str">
        <f t="shared" si="21"/>
        <v>Error?</v>
      </c>
    </row>
    <row r="1423" spans="1:4" x14ac:dyDescent="0.2">
      <c r="A1423" s="5">
        <v>1362</v>
      </c>
      <c r="B1423" s="138">
        <f>'Expenditures 15-22'!D246</f>
        <v>2615</v>
      </c>
      <c r="D1423" s="2" t="str">
        <f t="shared" si="21"/>
        <v>Error?</v>
      </c>
    </row>
    <row r="1424" spans="1:4" x14ac:dyDescent="0.2">
      <c r="A1424" s="5">
        <v>1363</v>
      </c>
      <c r="B1424" s="138">
        <f>'Expenditures 15-22'!D257</f>
        <v>27771</v>
      </c>
      <c r="C1424" s="2" t="s">
        <v>594</v>
      </c>
      <c r="D1424" s="2" t="str">
        <f t="shared" si="21"/>
        <v>Error?</v>
      </c>
    </row>
    <row r="1425" spans="1:4" x14ac:dyDescent="0.2">
      <c r="A1425" s="5">
        <v>1364</v>
      </c>
      <c r="B1425" s="138">
        <f>'Expenditures 15-22'!D259</f>
        <v>15481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15481</v>
      </c>
      <c r="C1427" s="2" t="s">
        <v>594</v>
      </c>
      <c r="D1427" s="2" t="str">
        <f t="shared" si="21"/>
        <v>Error?</v>
      </c>
    </row>
    <row r="1428" spans="1:4" x14ac:dyDescent="0.2">
      <c r="A1428" s="5">
        <v>1367</v>
      </c>
      <c r="B1428" s="138">
        <f>'Expenditures 15-22'!D263</f>
        <v>3077</v>
      </c>
      <c r="D1428" s="2" t="str">
        <f t="shared" si="21"/>
        <v>Error?</v>
      </c>
    </row>
    <row r="1429" spans="1:4" x14ac:dyDescent="0.2">
      <c r="A1429" s="5">
        <v>1368</v>
      </c>
      <c r="B1429" s="138">
        <f>'Expenditures 15-22'!D264</f>
        <v>7830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14123</v>
      </c>
      <c r="D1431" s="2" t="str">
        <f t="shared" si="21"/>
        <v>Error?</v>
      </c>
    </row>
    <row r="1432" spans="1:4" x14ac:dyDescent="0.2">
      <c r="A1432" s="5">
        <v>1371</v>
      </c>
      <c r="B1432" s="138">
        <f>'Expenditures 15-22'!D267</f>
        <v>24925</v>
      </c>
      <c r="D1432" s="2" t="str">
        <f t="shared" si="21"/>
        <v>Error?</v>
      </c>
    </row>
    <row r="1433" spans="1:4" x14ac:dyDescent="0.2">
      <c r="A1433" s="5">
        <v>1372</v>
      </c>
      <c r="B1433" s="138">
        <f>'Expenditures 15-22'!D268</f>
        <v>8198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58153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103011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178831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1978</v>
      </c>
      <c r="C1471" s="2" t="s">
        <v>594</v>
      </c>
      <c r="D1471" s="2" t="str">
        <f t="shared" ref="D1471:D1534" si="22">IF(ISBLANK(B1471),"OK",IF(A1471-B1471=0,"OK","Error?"))</f>
        <v>Error?</v>
      </c>
    </row>
    <row r="1472" spans="1:4" x14ac:dyDescent="0.2">
      <c r="A1472" s="5">
        <v>1411</v>
      </c>
      <c r="B1472" s="138">
        <f>'Expenditures 15-22'!K223</f>
        <v>6576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61759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869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528</v>
      </c>
      <c r="C1480" s="2" t="s">
        <v>594</v>
      </c>
      <c r="D1480" s="2" t="str">
        <f t="shared" si="22"/>
        <v>Error?</v>
      </c>
    </row>
    <row r="1481" spans="1:4" x14ac:dyDescent="0.2">
      <c r="A1481" s="5">
        <v>1420</v>
      </c>
      <c r="B1481" s="138">
        <f>'Expenditures 15-22'!K238</f>
        <v>1397</v>
      </c>
      <c r="C1481" s="2" t="s">
        <v>594</v>
      </c>
      <c r="D1481" s="2" t="str">
        <f t="shared" si="22"/>
        <v>Error?</v>
      </c>
    </row>
    <row r="1482" spans="1:4" x14ac:dyDescent="0.2">
      <c r="A1482" s="5">
        <v>1421</v>
      </c>
      <c r="B1482" s="138">
        <f>'Expenditures 15-22'!K240</f>
        <v>209</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209</v>
      </c>
      <c r="C1485" s="2" t="s">
        <v>594</v>
      </c>
      <c r="D1485" s="2" t="str">
        <f t="shared" si="22"/>
        <v>Error?</v>
      </c>
    </row>
    <row r="1486" spans="1:4" x14ac:dyDescent="0.2">
      <c r="A1486" s="5">
        <v>1425</v>
      </c>
      <c r="B1486" s="138">
        <f>'Expenditures 15-22'!K245</f>
        <v>167</v>
      </c>
      <c r="C1486" s="2" t="s">
        <v>594</v>
      </c>
      <c r="D1486" s="2" t="str">
        <f t="shared" si="22"/>
        <v>Error?</v>
      </c>
    </row>
    <row r="1487" spans="1:4" x14ac:dyDescent="0.2">
      <c r="A1487" s="5">
        <v>1426</v>
      </c>
      <c r="B1487" s="138">
        <f>'Expenditures 15-22'!K246</f>
        <v>2615</v>
      </c>
      <c r="C1487" s="2" t="s">
        <v>594</v>
      </c>
      <c r="D1487" s="2" t="str">
        <f t="shared" si="22"/>
        <v>Error?</v>
      </c>
    </row>
    <row r="1488" spans="1:4" x14ac:dyDescent="0.2">
      <c r="A1488" s="5">
        <v>1427</v>
      </c>
      <c r="B1488" s="138">
        <f>'Expenditures 15-22'!K257</f>
        <v>27771</v>
      </c>
      <c r="C1488" s="2" t="s">
        <v>594</v>
      </c>
      <c r="D1488" s="2" t="str">
        <f t="shared" si="22"/>
        <v>Error?</v>
      </c>
    </row>
    <row r="1489" spans="1:4" x14ac:dyDescent="0.2">
      <c r="A1489" s="5">
        <v>1428</v>
      </c>
      <c r="B1489" s="138">
        <f>'Expenditures 15-22'!K259</f>
        <v>15481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15481</v>
      </c>
      <c r="C1491" s="2" t="s">
        <v>594</v>
      </c>
      <c r="D1491" s="2" t="str">
        <f t="shared" si="22"/>
        <v>Error?</v>
      </c>
    </row>
    <row r="1492" spans="1:4" x14ac:dyDescent="0.2">
      <c r="A1492" s="5">
        <v>1431</v>
      </c>
      <c r="B1492" s="138">
        <f>'Expenditures 15-22'!K263</f>
        <v>3077</v>
      </c>
      <c r="C1492" s="2" t="s">
        <v>594</v>
      </c>
      <c r="D1492" s="2" t="str">
        <f t="shared" si="22"/>
        <v>Error?</v>
      </c>
    </row>
    <row r="1493" spans="1:4" x14ac:dyDescent="0.2">
      <c r="A1493" s="5">
        <v>1432</v>
      </c>
      <c r="B1493" s="138">
        <f>'Expenditures 15-22'!K264</f>
        <v>7830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14123</v>
      </c>
      <c r="C1495" s="2" t="s">
        <v>594</v>
      </c>
      <c r="D1495" s="2" t="str">
        <f t="shared" si="22"/>
        <v>Error?</v>
      </c>
    </row>
    <row r="1496" spans="1:4" x14ac:dyDescent="0.2">
      <c r="A1496" s="5">
        <v>1435</v>
      </c>
      <c r="B1496" s="138">
        <f>'Expenditures 15-22'!K267</f>
        <v>24925</v>
      </c>
      <c r="C1496" s="2" t="s">
        <v>594</v>
      </c>
      <c r="D1496" s="2" t="str">
        <f t="shared" si="22"/>
        <v>Error?</v>
      </c>
    </row>
    <row r="1497" spans="1:4" x14ac:dyDescent="0.2">
      <c r="A1497" s="5">
        <v>1436</v>
      </c>
      <c r="B1497" s="138">
        <f>'Expenditures 15-22'!K268</f>
        <v>8198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58153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103011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178831</v>
      </c>
      <c r="C1517" s="2" t="s">
        <v>594</v>
      </c>
      <c r="D1517" s="2" t="str">
        <f t="shared" si="22"/>
        <v>Error?</v>
      </c>
    </row>
    <row r="1518" spans="1:4" x14ac:dyDescent="0.2">
      <c r="A1518" s="5">
        <v>1457</v>
      </c>
      <c r="B1518" s="138">
        <f>'Expenditures 15-22'!K296</f>
        <v>52894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83158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83158</v>
      </c>
      <c r="C1547" s="2" t="s">
        <v>594</v>
      </c>
      <c r="D1547" s="2" t="str">
        <f t="shared" si="23"/>
        <v>Error?</v>
      </c>
    </row>
    <row r="1548" spans="1:4" x14ac:dyDescent="0.2">
      <c r="A1548" s="5">
        <v>1487</v>
      </c>
      <c r="B1548" s="138">
        <f>'Expenditures 15-22'!G312</f>
        <v>83158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83158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83158</v>
      </c>
      <c r="C1559" s="2" t="s">
        <v>594</v>
      </c>
      <c r="D1559" s="2" t="str">
        <f t="shared" si="23"/>
        <v>Error?</v>
      </c>
    </row>
    <row r="1560" spans="1:4" x14ac:dyDescent="0.2">
      <c r="A1560" s="5">
        <v>1499</v>
      </c>
      <c r="B1560" s="138">
        <f>'Expenditures 15-22'!K312</f>
        <v>83158</v>
      </c>
      <c r="C1560" s="2" t="s">
        <v>594</v>
      </c>
      <c r="D1560" s="2" t="str">
        <f t="shared" si="23"/>
        <v>Error?</v>
      </c>
    </row>
    <row r="1561" spans="1:4" x14ac:dyDescent="0.2">
      <c r="A1561" s="5">
        <v>1500</v>
      </c>
      <c r="B1561" s="138">
        <f>'Expenditures 15-22'!K313</f>
        <v>-76163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2706692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3210871</v>
      </c>
      <c r="C1630" s="2" t="s">
        <v>594</v>
      </c>
      <c r="D1630" s="2" t="str">
        <f t="shared" si="24"/>
        <v>Error?</v>
      </c>
    </row>
    <row r="1631" spans="1:4" x14ac:dyDescent="0.2">
      <c r="A1631" s="5">
        <v>1570</v>
      </c>
      <c r="B1631" s="138">
        <f>'Acct Summary 7-8'!D79</f>
        <v>480143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967328</v>
      </c>
      <c r="C1644" s="2" t="s">
        <v>594</v>
      </c>
      <c r="D1644" s="2" t="str">
        <f t="shared" si="24"/>
        <v>Error?</v>
      </c>
    </row>
    <row r="1645" spans="1:4" x14ac:dyDescent="0.2">
      <c r="A1645" s="5">
        <v>1584</v>
      </c>
      <c r="B1645" s="138">
        <f>'Acct Summary 7-8'!E79</f>
        <v>676697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554502</v>
      </c>
      <c r="C1658" s="2" t="s">
        <v>594</v>
      </c>
      <c r="D1658" s="2" t="str">
        <f t="shared" si="24"/>
        <v>Error?</v>
      </c>
    </row>
    <row r="1659" spans="1:4" x14ac:dyDescent="0.2">
      <c r="A1659" s="5">
        <v>1598</v>
      </c>
      <c r="B1659" s="138">
        <f>'Acct Summary 7-8'!F79</f>
        <v>658768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813386</v>
      </c>
      <c r="C1672" s="2" t="s">
        <v>594</v>
      </c>
      <c r="D1672" s="2" t="str">
        <f t="shared" si="25"/>
        <v>Error?</v>
      </c>
    </row>
    <row r="1673" spans="1:4" x14ac:dyDescent="0.2">
      <c r="A1673" s="5">
        <v>1612</v>
      </c>
      <c r="B1673" s="138">
        <f>'Acct Summary 7-8'!G79</f>
        <v>300805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353699</v>
      </c>
      <c r="C1686" s="2" t="s">
        <v>594</v>
      </c>
      <c r="D1686" s="2" t="str">
        <f t="shared" si="25"/>
        <v>Error?</v>
      </c>
    </row>
    <row r="1687" spans="1:4" x14ac:dyDescent="0.2">
      <c r="A1687" s="5">
        <v>1626</v>
      </c>
      <c r="B1687" s="138">
        <f>'Acct Summary 7-8'!H79</f>
        <v>1235531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1159368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2452342</v>
      </c>
      <c r="C1744" s="2" t="s">
        <v>594</v>
      </c>
      <c r="D1744" s="2" t="str">
        <f t="shared" si="26"/>
        <v>Error?</v>
      </c>
    </row>
    <row r="1745" spans="1:5" x14ac:dyDescent="0.2">
      <c r="A1745" s="5">
        <v>1684</v>
      </c>
      <c r="B1745" s="138">
        <f>'Tax Sched 23'!B5</f>
        <v>506334</v>
      </c>
      <c r="C1745" s="2" t="s">
        <v>594</v>
      </c>
      <c r="D1745" s="2" t="str">
        <f t="shared" si="26"/>
        <v>Error?</v>
      </c>
    </row>
    <row r="1746" spans="1:5" x14ac:dyDescent="0.2">
      <c r="A1746" s="5">
        <v>1685</v>
      </c>
      <c r="B1746" s="138">
        <f>'Tax Sched 23'!B6</f>
        <v>1197673</v>
      </c>
      <c r="C1746" s="2" t="s">
        <v>594</v>
      </c>
      <c r="D1746" s="2" t="str">
        <f t="shared" si="26"/>
        <v>Error?</v>
      </c>
    </row>
    <row r="1747" spans="1:5" x14ac:dyDescent="0.2">
      <c r="A1747" s="5">
        <v>1686</v>
      </c>
      <c r="B1747" s="138">
        <f>'Tax Sched 23'!B7</f>
        <v>201841</v>
      </c>
      <c r="C1747" s="2" t="s">
        <v>594</v>
      </c>
      <c r="D1747" s="2" t="str">
        <f t="shared" si="26"/>
        <v>Error?</v>
      </c>
    </row>
    <row r="1748" spans="1:5" x14ac:dyDescent="0.2">
      <c r="A1748" s="5">
        <v>1687</v>
      </c>
      <c r="B1748" s="138">
        <f>'Tax Sched 23'!B8</f>
        <v>68715</v>
      </c>
      <c r="C1748" s="2" t="s">
        <v>594</v>
      </c>
      <c r="D1748" s="2" t="str">
        <f t="shared" si="26"/>
        <v>Error?</v>
      </c>
    </row>
    <row r="1749" spans="1:5" x14ac:dyDescent="0.2">
      <c r="A1749" s="5">
        <v>1688</v>
      </c>
      <c r="B1749" s="138">
        <f>'Tax Sched 23'!B10</f>
        <v>50461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852250</v>
      </c>
      <c r="C1752" s="2" t="s">
        <v>594</v>
      </c>
      <c r="D1752" s="2" t="str">
        <f t="shared" si="26"/>
        <v>Error?</v>
      </c>
    </row>
    <row r="1753" spans="1:5" x14ac:dyDescent="0.2">
      <c r="A1753" s="5">
        <v>1692</v>
      </c>
      <c r="B1753" s="138">
        <f>'Tax Sched 23'!B12</f>
        <v>50461</v>
      </c>
      <c r="C1753" s="2" t="s">
        <v>594</v>
      </c>
      <c r="D1753" s="2" t="str">
        <f t="shared" si="26"/>
        <v>Error?</v>
      </c>
    </row>
    <row r="1754" spans="1:5" x14ac:dyDescent="0.2">
      <c r="A1754" s="5">
        <v>1693</v>
      </c>
      <c r="B1754" s="138">
        <f>'Tax Sched 23'!B14</f>
        <v>40367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5628197</v>
      </c>
      <c r="C1759" s="2" t="s">
        <v>594</v>
      </c>
      <c r="D1759" s="2" t="str">
        <f t="shared" si="26"/>
        <v>Error?</v>
      </c>
    </row>
    <row r="1760" spans="1:5" x14ac:dyDescent="0.2">
      <c r="A1760" s="5">
        <v>1699</v>
      </c>
      <c r="B1760" s="138">
        <f>'Tax Sched 23'!D4</f>
        <v>1242288</v>
      </c>
      <c r="C1760" s="2" t="s">
        <v>594</v>
      </c>
      <c r="D1760" s="2" t="str">
        <f t="shared" si="26"/>
        <v>Error?</v>
      </c>
    </row>
    <row r="1761" spans="1:5" x14ac:dyDescent="0.2">
      <c r="A1761" s="5">
        <v>1700</v>
      </c>
      <c r="B1761" s="138">
        <f>'Tax Sched 23'!D5</f>
        <v>257352</v>
      </c>
      <c r="C1761" s="2" t="s">
        <v>594</v>
      </c>
      <c r="D1761" s="2" t="str">
        <f t="shared" si="26"/>
        <v>Error?</v>
      </c>
    </row>
    <row r="1762" spans="1:5" s="8" customFormat="1" x14ac:dyDescent="0.2">
      <c r="A1762" s="5">
        <v>1701</v>
      </c>
      <c r="B1762" s="138">
        <f>'Tax Sched 23'!D6</f>
        <v>676873</v>
      </c>
      <c r="C1762" s="2" t="s">
        <v>594</v>
      </c>
      <c r="D1762" s="2" t="str">
        <f t="shared" si="26"/>
        <v>Error?</v>
      </c>
      <c r="E1762" s="9"/>
    </row>
    <row r="1763" spans="1:5" x14ac:dyDescent="0.2">
      <c r="A1763" s="5">
        <v>1702</v>
      </c>
      <c r="B1763" s="138">
        <f>'Tax Sched 23'!D7</f>
        <v>102247</v>
      </c>
      <c r="C1763" s="2" t="s">
        <v>594</v>
      </c>
      <c r="D1763" s="2" t="str">
        <f t="shared" si="26"/>
        <v>Error?</v>
      </c>
    </row>
    <row r="1764" spans="1:5" x14ac:dyDescent="0.2">
      <c r="A1764" s="5">
        <v>1703</v>
      </c>
      <c r="B1764" s="138">
        <f>'Tax Sched 23'!D8</f>
        <v>40432</v>
      </c>
      <c r="C1764" s="2" t="s">
        <v>594</v>
      </c>
      <c r="D1764" s="2" t="str">
        <f t="shared" si="26"/>
        <v>Error?</v>
      </c>
    </row>
    <row r="1765" spans="1:5" x14ac:dyDescent="0.2">
      <c r="A1765" s="5">
        <v>1704</v>
      </c>
      <c r="B1765" s="138">
        <f>'Tax Sched 23'!D10</f>
        <v>25562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441679</v>
      </c>
      <c r="C1768" s="2" t="s">
        <v>594</v>
      </c>
      <c r="D1768" s="2" t="str">
        <f t="shared" si="26"/>
        <v>Error?</v>
      </c>
    </row>
    <row r="1769" spans="1:5" x14ac:dyDescent="0.2">
      <c r="A1769" s="5">
        <v>1708</v>
      </c>
      <c r="B1769" s="138">
        <f>'Tax Sched 23'!D12</f>
        <v>25562</v>
      </c>
      <c r="C1769" s="2" t="s">
        <v>594</v>
      </c>
      <c r="D1769" s="2" t="str">
        <f t="shared" si="26"/>
        <v>Error?</v>
      </c>
    </row>
    <row r="1770" spans="1:5" x14ac:dyDescent="0.2">
      <c r="A1770" s="5">
        <v>1709</v>
      </c>
      <c r="B1770" s="138">
        <f>'Tax Sched 23'!D14</f>
        <v>20449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2950356</v>
      </c>
      <c r="C1775" s="2" t="s">
        <v>594</v>
      </c>
      <c r="D1775" s="2" t="str">
        <f t="shared" si="26"/>
        <v>Error?</v>
      </c>
    </row>
    <row r="1776" spans="1:5" x14ac:dyDescent="0.2">
      <c r="A1776" s="5">
        <v>1715</v>
      </c>
      <c r="B1776" s="138">
        <f>'Tax Sched 23'!C4</f>
        <v>1210054</v>
      </c>
      <c r="D1776" s="2" t="str">
        <f t="shared" si="26"/>
        <v>Error?</v>
      </c>
    </row>
    <row r="1777" spans="1:4" x14ac:dyDescent="0.2">
      <c r="A1777" s="5">
        <v>1716</v>
      </c>
      <c r="B1777" s="138">
        <f>'Tax Sched 23'!C5</f>
        <v>248982</v>
      </c>
      <c r="D1777" s="2" t="str">
        <f t="shared" si="26"/>
        <v>Error?</v>
      </c>
    </row>
    <row r="1778" spans="1:4" x14ac:dyDescent="0.2">
      <c r="A1778" s="5">
        <v>1717</v>
      </c>
      <c r="B1778" s="138">
        <f>'Tax Sched 23'!C6</f>
        <v>520800</v>
      </c>
      <c r="D1778" s="2" t="str">
        <f t="shared" si="26"/>
        <v>Error?</v>
      </c>
    </row>
    <row r="1779" spans="1:4" x14ac:dyDescent="0.2">
      <c r="A1779" s="5">
        <v>1718</v>
      </c>
      <c r="B1779" s="138">
        <f>'Tax Sched 23'!C7</f>
        <v>99594</v>
      </c>
      <c r="D1779" s="2" t="str">
        <f t="shared" si="26"/>
        <v>Error?</v>
      </c>
    </row>
    <row r="1780" spans="1:4" x14ac:dyDescent="0.2">
      <c r="A1780" s="5">
        <v>1719</v>
      </c>
      <c r="B1780" s="138">
        <f>'Tax Sched 23'!C8</f>
        <v>28283</v>
      </c>
      <c r="D1780" s="2" t="str">
        <f t="shared" si="26"/>
        <v>Error?</v>
      </c>
    </row>
    <row r="1781" spans="1:4" x14ac:dyDescent="0.2">
      <c r="A1781" s="5">
        <v>1720</v>
      </c>
      <c r="B1781" s="138">
        <f>'Tax Sched 23'!C10</f>
        <v>24899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410571</v>
      </c>
      <c r="D1784" s="2" t="str">
        <f t="shared" si="26"/>
        <v>Error?</v>
      </c>
    </row>
    <row r="1785" spans="1:4" x14ac:dyDescent="0.2">
      <c r="A1785" s="5">
        <v>1724</v>
      </c>
      <c r="B1785" s="138">
        <f>'Tax Sched 23'!C12</f>
        <v>24899</v>
      </c>
      <c r="D1785" s="2" t="str">
        <f t="shared" si="26"/>
        <v>Error?</v>
      </c>
    </row>
    <row r="1786" spans="1:4" x14ac:dyDescent="0.2">
      <c r="A1786" s="5">
        <v>1725</v>
      </c>
      <c r="B1786" s="138">
        <f>'Tax Sched 23'!C14</f>
        <v>19918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2677841</v>
      </c>
      <c r="C1791" s="2" t="s">
        <v>594</v>
      </c>
      <c r="D1791" s="2" t="str">
        <f t="shared" ref="D1791:D1854" si="27">IF(ISBLANK(B1791),"OK",IF(A1791-B1791=0,"OK","Error?"))</f>
        <v>Error?</v>
      </c>
    </row>
    <row r="1792" spans="1:4" x14ac:dyDescent="0.2">
      <c r="A1792" s="5">
        <v>1731</v>
      </c>
      <c r="B1792" s="138">
        <f>'Tax Sched 23'!F4</f>
        <v>1328539</v>
      </c>
      <c r="C1792" s="2" t="s">
        <v>594</v>
      </c>
      <c r="D1792" s="2" t="str">
        <f t="shared" si="27"/>
        <v>Error?</v>
      </c>
    </row>
    <row r="1793" spans="1:4" x14ac:dyDescent="0.2">
      <c r="A1793" s="5">
        <v>1732</v>
      </c>
      <c r="B1793" s="138">
        <f>'Tax Sched 23'!F5</f>
        <v>273362</v>
      </c>
      <c r="C1793" s="2" t="s">
        <v>594</v>
      </c>
      <c r="D1793" s="2" t="str">
        <f t="shared" si="27"/>
        <v>Error?</v>
      </c>
    </row>
    <row r="1794" spans="1:4" x14ac:dyDescent="0.2">
      <c r="A1794" s="5">
        <v>1733</v>
      </c>
      <c r="B1794" s="138">
        <f>'Tax Sched 23'!F6</f>
        <v>578024</v>
      </c>
      <c r="C1794" s="2" t="s">
        <v>594</v>
      </c>
      <c r="D1794" s="2" t="str">
        <f t="shared" si="27"/>
        <v>Error?</v>
      </c>
    </row>
    <row r="1795" spans="1:4" x14ac:dyDescent="0.2">
      <c r="A1795" s="5">
        <v>1734</v>
      </c>
      <c r="B1795" s="138">
        <f>'Tax Sched 23'!F7</f>
        <v>109344</v>
      </c>
      <c r="C1795" s="2" t="s">
        <v>594</v>
      </c>
      <c r="D1795" s="2" t="str">
        <f t="shared" si="27"/>
        <v>Error?</v>
      </c>
    </row>
    <row r="1796" spans="1:4" x14ac:dyDescent="0.2">
      <c r="A1796" s="5">
        <v>1735</v>
      </c>
      <c r="B1796" s="138">
        <f>'Tax Sched 23'!F8</f>
        <v>31118</v>
      </c>
      <c r="C1796" s="2" t="s">
        <v>594</v>
      </c>
      <c r="D1796" s="2" t="str">
        <f t="shared" si="27"/>
        <v>Error?</v>
      </c>
    </row>
    <row r="1797" spans="1:4" x14ac:dyDescent="0.2">
      <c r="A1797" s="5">
        <v>1736</v>
      </c>
      <c r="B1797" s="138">
        <f>'Tax Sched 23'!F10</f>
        <v>27335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451704</v>
      </c>
      <c r="C1800" s="2" t="s">
        <v>594</v>
      </c>
      <c r="D1800" s="2" t="str">
        <f t="shared" si="27"/>
        <v>Error?</v>
      </c>
    </row>
    <row r="1801" spans="1:4" x14ac:dyDescent="0.2">
      <c r="A1801" s="5">
        <v>1740</v>
      </c>
      <c r="B1801" s="138">
        <f>'Tax Sched 23'!F12</f>
        <v>27335</v>
      </c>
      <c r="C1801" s="2" t="s">
        <v>594</v>
      </c>
      <c r="D1801" s="2" t="str">
        <f t="shared" si="27"/>
        <v>Error?</v>
      </c>
    </row>
    <row r="1802" spans="1:4" x14ac:dyDescent="0.2">
      <c r="A1802" s="5">
        <v>1741</v>
      </c>
      <c r="B1802" s="138">
        <f>'Tax Sched 23'!F14</f>
        <v>21870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2947419</v>
      </c>
      <c r="C1807" s="2" t="s">
        <v>594</v>
      </c>
      <c r="D1807" s="2" t="str">
        <f t="shared" si="27"/>
        <v>Error?</v>
      </c>
    </row>
    <row r="1808" spans="1:4" x14ac:dyDescent="0.2">
      <c r="A1808" s="5">
        <v>1747</v>
      </c>
      <c r="B1808" s="138">
        <f>'Tax Sched 23'!E4</f>
        <v>2538593</v>
      </c>
      <c r="D1808" s="2" t="str">
        <f t="shared" si="27"/>
        <v>Error?</v>
      </c>
    </row>
    <row r="1809" spans="1:4" x14ac:dyDescent="0.2">
      <c r="A1809" s="5">
        <v>1748</v>
      </c>
      <c r="B1809" s="138">
        <f>'Tax Sched 23'!E5</f>
        <v>522344</v>
      </c>
      <c r="D1809" s="2" t="str">
        <f t="shared" si="27"/>
        <v>Error?</v>
      </c>
    </row>
    <row r="1810" spans="1:4" x14ac:dyDescent="0.2">
      <c r="A1810" s="5">
        <v>1749</v>
      </c>
      <c r="B1810" s="138">
        <f>'Tax Sched 23'!E6</f>
        <v>1098824</v>
      </c>
      <c r="D1810" s="2" t="str">
        <f t="shared" si="27"/>
        <v>Error?</v>
      </c>
    </row>
    <row r="1811" spans="1:4" x14ac:dyDescent="0.2">
      <c r="A1811" s="5">
        <v>1750</v>
      </c>
      <c r="B1811" s="138">
        <f>'Tax Sched 23'!E7</f>
        <v>208938</v>
      </c>
      <c r="D1811" s="2" t="str">
        <f t="shared" si="27"/>
        <v>Error?</v>
      </c>
    </row>
    <row r="1812" spans="1:4" x14ac:dyDescent="0.2">
      <c r="A1812" s="5">
        <v>1751</v>
      </c>
      <c r="B1812" s="138">
        <f>'Tax Sched 23'!E8</f>
        <v>59401</v>
      </c>
      <c r="D1812" s="2" t="str">
        <f t="shared" si="27"/>
        <v>Error?</v>
      </c>
    </row>
    <row r="1813" spans="1:4" x14ac:dyDescent="0.2">
      <c r="A1813" s="5">
        <v>1752</v>
      </c>
      <c r="B1813" s="138">
        <f>'Tax Sched 23'!E10</f>
        <v>52234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862275</v>
      </c>
      <c r="D1816" s="2" t="str">
        <f t="shared" si="27"/>
        <v>Error?</v>
      </c>
    </row>
    <row r="1817" spans="1:4" x14ac:dyDescent="0.2">
      <c r="A1817" s="5">
        <v>1756</v>
      </c>
      <c r="B1817" s="138">
        <f>'Tax Sched 23'!E12</f>
        <v>52234</v>
      </c>
      <c r="D1817" s="2" t="str">
        <f t="shared" si="27"/>
        <v>Error?</v>
      </c>
    </row>
    <row r="1818" spans="1:4" x14ac:dyDescent="0.2">
      <c r="A1818" s="5">
        <v>1757</v>
      </c>
      <c r="B1818" s="138">
        <f>'Tax Sched 23'!E14</f>
        <v>41788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5625260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7469552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40367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40367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40367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77950</v>
      </c>
      <c r="D2008" s="2" t="str">
        <f t="shared" si="30"/>
        <v>Error?</v>
      </c>
    </row>
    <row r="2009" spans="1:4" x14ac:dyDescent="0.2">
      <c r="A2009" s="5">
        <v>1948</v>
      </c>
      <c r="B2009" s="138">
        <f>'Cap Outlay Deprec 26'!C8</f>
        <v>18821829</v>
      </c>
      <c r="D2009" s="2" t="str">
        <f t="shared" si="30"/>
        <v>Error?</v>
      </c>
    </row>
    <row r="2010" spans="1:4" x14ac:dyDescent="0.2">
      <c r="A2010" s="5">
        <v>1949</v>
      </c>
      <c r="B2010" s="138">
        <f>'Cap Outlay Deprec 26'!C10</f>
        <v>3759757</v>
      </c>
      <c r="D2010" s="2" t="str">
        <f t="shared" si="30"/>
        <v>Error?</v>
      </c>
    </row>
    <row r="2011" spans="1:4" x14ac:dyDescent="0.2">
      <c r="A2011" s="5">
        <v>1950</v>
      </c>
      <c r="B2011" s="138">
        <f>'Cap Outlay Deprec 26'!C12</f>
        <v>1607789</v>
      </c>
      <c r="D2011" s="2" t="str">
        <f t="shared" si="30"/>
        <v>Error?</v>
      </c>
    </row>
    <row r="2012" spans="1:4" x14ac:dyDescent="0.2">
      <c r="A2012" s="5">
        <v>1951</v>
      </c>
      <c r="B2012" s="138">
        <f>'Cap Outlay Deprec 26'!C13</f>
        <v>2025237</v>
      </c>
      <c r="D2012" s="2" t="str">
        <f t="shared" si="30"/>
        <v>Error?</v>
      </c>
    </row>
    <row r="2013" spans="1:4" x14ac:dyDescent="0.2">
      <c r="A2013" s="5">
        <v>1952</v>
      </c>
      <c r="B2013" s="138">
        <f>'Cap Outlay Deprec 26'!C16</f>
        <v>26292562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136032</v>
      </c>
      <c r="D2016" s="2" t="str">
        <f t="shared" si="30"/>
        <v>Error?</v>
      </c>
    </row>
    <row r="2017" spans="1:4" x14ac:dyDescent="0.2">
      <c r="A2017" s="5">
        <v>1956</v>
      </c>
      <c r="B2017" s="138">
        <f>'Cap Outlay Deprec 26'!D12</f>
        <v>5769</v>
      </c>
      <c r="D2017" s="2" t="str">
        <f t="shared" si="30"/>
        <v>Error?</v>
      </c>
    </row>
    <row r="2018" spans="1:4" x14ac:dyDescent="0.2">
      <c r="A2018" s="5">
        <v>1957</v>
      </c>
      <c r="B2018" s="138">
        <f>'Cap Outlay Deprec 26'!D13</f>
        <v>51053</v>
      </c>
      <c r="D2018" s="2" t="str">
        <f t="shared" si="30"/>
        <v>Error?</v>
      </c>
    </row>
    <row r="2019" spans="1:4" x14ac:dyDescent="0.2">
      <c r="A2019" s="5">
        <v>1958</v>
      </c>
      <c r="B2019" s="138">
        <f>'Cap Outlay Deprec 26'!D16</f>
        <v>192854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77950</v>
      </c>
      <c r="C2026" s="2" t="s">
        <v>594</v>
      </c>
      <c r="D2026" s="2" t="str">
        <f t="shared" si="30"/>
        <v>Error?</v>
      </c>
    </row>
    <row r="2027" spans="1:4" x14ac:dyDescent="0.2">
      <c r="A2027" s="5">
        <v>1966</v>
      </c>
      <c r="B2027" s="138">
        <f>'Cap Outlay Deprec 26'!F8</f>
        <v>18821829</v>
      </c>
      <c r="C2027" s="2" t="s">
        <v>594</v>
      </c>
      <c r="D2027" s="2" t="str">
        <f t="shared" si="30"/>
        <v>Error?</v>
      </c>
    </row>
    <row r="2028" spans="1:4" x14ac:dyDescent="0.2">
      <c r="A2028" s="5">
        <v>1967</v>
      </c>
      <c r="B2028" s="138">
        <f>'Cap Outlay Deprec 26'!F10</f>
        <v>3895789</v>
      </c>
      <c r="C2028" s="2" t="s">
        <v>594</v>
      </c>
      <c r="D2028" s="2" t="str">
        <f t="shared" si="30"/>
        <v>Error?</v>
      </c>
    </row>
    <row r="2029" spans="1:4" x14ac:dyDescent="0.2">
      <c r="A2029" s="5">
        <v>1968</v>
      </c>
      <c r="B2029" s="138">
        <f>'Cap Outlay Deprec 26'!F12</f>
        <v>1613558</v>
      </c>
      <c r="C2029" s="2" t="s">
        <v>594</v>
      </c>
      <c r="D2029" s="2" t="str">
        <f t="shared" si="30"/>
        <v>Error?</v>
      </c>
    </row>
    <row r="2030" spans="1:4" x14ac:dyDescent="0.2">
      <c r="A2030" s="5">
        <v>1969</v>
      </c>
      <c r="B2030" s="138">
        <f>'Cap Outlay Deprec 26'!F13</f>
        <v>2076290</v>
      </c>
      <c r="C2030" s="2" t="s">
        <v>594</v>
      </c>
      <c r="D2030" s="2" t="str">
        <f t="shared" si="30"/>
        <v>Error?</v>
      </c>
    </row>
    <row r="2031" spans="1:4" x14ac:dyDescent="0.2">
      <c r="A2031" s="5">
        <v>1970</v>
      </c>
      <c r="B2031" s="138">
        <f>'Cap Outlay Deprec 26'!F16</f>
        <v>26485416</v>
      </c>
      <c r="C2031" s="2" t="s">
        <v>594</v>
      </c>
      <c r="D2031" s="2" t="str">
        <f t="shared" si="30"/>
        <v>Error?</v>
      </c>
    </row>
    <row r="2032" spans="1:4" x14ac:dyDescent="0.2">
      <c r="A2032" s="10">
        <v>1971</v>
      </c>
      <c r="D2032" s="2" t="str">
        <f t="shared" si="30"/>
        <v>OK</v>
      </c>
    </row>
    <row r="2033" spans="1:4" x14ac:dyDescent="0.2">
      <c r="A2033" s="5">
        <v>1972</v>
      </c>
      <c r="B2033" s="138">
        <f>'Cap Outlay Deprec 26'!H8</f>
        <v>9406154</v>
      </c>
      <c r="D2033" s="2" t="str">
        <f t="shared" si="30"/>
        <v>Error?</v>
      </c>
    </row>
    <row r="2034" spans="1:4" x14ac:dyDescent="0.2">
      <c r="A2034" s="5">
        <v>1973</v>
      </c>
      <c r="B2034" s="138">
        <f>'Cap Outlay Deprec 26'!H10</f>
        <v>777344</v>
      </c>
      <c r="D2034" s="2" t="str">
        <f t="shared" si="30"/>
        <v>Error?</v>
      </c>
    </row>
    <row r="2035" spans="1:4" x14ac:dyDescent="0.2">
      <c r="A2035" s="5">
        <v>1974</v>
      </c>
      <c r="B2035" s="138">
        <f>'Cap Outlay Deprec 26'!H12</f>
        <v>1457717</v>
      </c>
      <c r="D2035" s="2" t="str">
        <f t="shared" si="30"/>
        <v>Error?</v>
      </c>
    </row>
    <row r="2036" spans="1:4" x14ac:dyDescent="0.2">
      <c r="A2036" s="5">
        <v>1975</v>
      </c>
      <c r="B2036" s="138">
        <f>'Cap Outlay Deprec 26'!H13</f>
        <v>2025237</v>
      </c>
      <c r="D2036" s="2" t="str">
        <f t="shared" si="30"/>
        <v>Error?</v>
      </c>
    </row>
    <row r="2037" spans="1:4" x14ac:dyDescent="0.2">
      <c r="A2037" s="5">
        <v>1976</v>
      </c>
      <c r="B2037" s="138">
        <f>'Cap Outlay Deprec 26'!H16</f>
        <v>13666452</v>
      </c>
      <c r="C2037" s="2" t="s">
        <v>594</v>
      </c>
      <c r="D2037" s="2" t="str">
        <f t="shared" si="30"/>
        <v>Error?</v>
      </c>
    </row>
    <row r="2038" spans="1:4" x14ac:dyDescent="0.2">
      <c r="A2038" s="10">
        <v>1977</v>
      </c>
      <c r="D2038" s="2" t="str">
        <f t="shared" si="30"/>
        <v>OK</v>
      </c>
    </row>
    <row r="2039" spans="1:4" x14ac:dyDescent="0.2">
      <c r="A2039" s="5">
        <v>1978</v>
      </c>
      <c r="B2039" s="138">
        <f>'Cap Outlay Deprec 26'!I8</f>
        <v>328372</v>
      </c>
      <c r="D2039" s="2" t="str">
        <f t="shared" si="30"/>
        <v>Error?</v>
      </c>
    </row>
    <row r="2040" spans="1:4" x14ac:dyDescent="0.2">
      <c r="A2040" s="5">
        <v>1979</v>
      </c>
      <c r="B2040" s="138">
        <f>'Cap Outlay Deprec 26'!I10</f>
        <v>184909</v>
      </c>
      <c r="D2040" s="2" t="str">
        <f t="shared" si="30"/>
        <v>Error?</v>
      </c>
    </row>
    <row r="2041" spans="1:4" x14ac:dyDescent="0.2">
      <c r="A2041" s="5">
        <v>1980</v>
      </c>
      <c r="B2041" s="138">
        <f>'Cap Outlay Deprec 26'!I12</f>
        <v>80735</v>
      </c>
      <c r="D2041" s="2" t="str">
        <f t="shared" si="30"/>
        <v>Error?</v>
      </c>
    </row>
    <row r="2042" spans="1:4" x14ac:dyDescent="0.2">
      <c r="A2042" s="5">
        <v>1981</v>
      </c>
      <c r="B2042" s="138">
        <f>'Cap Outlay Deprec 26'!I13</f>
        <v>10211</v>
      </c>
      <c r="D2042" s="2" t="str">
        <f t="shared" si="30"/>
        <v>Error?</v>
      </c>
    </row>
    <row r="2043" spans="1:4" x14ac:dyDescent="0.2">
      <c r="A2043" s="5">
        <v>1982</v>
      </c>
      <c r="B2043" s="138">
        <f>'Cap Outlay Deprec 26'!I16</f>
        <v>604227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9734526</v>
      </c>
      <c r="C2051" s="2" t="s">
        <v>594</v>
      </c>
      <c r="D2051" s="2" t="str">
        <f t="shared" si="31"/>
        <v>Error?</v>
      </c>
    </row>
    <row r="2052" spans="1:4" x14ac:dyDescent="0.2">
      <c r="A2052" s="5">
        <v>1991</v>
      </c>
      <c r="B2052" s="138">
        <f>'Cap Outlay Deprec 26'!K10</f>
        <v>962253</v>
      </c>
      <c r="C2052" s="2" t="s">
        <v>594</v>
      </c>
      <c r="D2052" s="2" t="str">
        <f t="shared" si="31"/>
        <v>Error?</v>
      </c>
    </row>
    <row r="2053" spans="1:4" x14ac:dyDescent="0.2">
      <c r="A2053" s="5">
        <v>1992</v>
      </c>
      <c r="B2053" s="138">
        <f>'Cap Outlay Deprec 26'!K12</f>
        <v>1538452</v>
      </c>
      <c r="C2053" s="2" t="s">
        <v>594</v>
      </c>
      <c r="D2053" s="2" t="str">
        <f t="shared" si="31"/>
        <v>Error?</v>
      </c>
    </row>
    <row r="2054" spans="1:4" x14ac:dyDescent="0.2">
      <c r="A2054" s="5">
        <v>1993</v>
      </c>
      <c r="B2054" s="138">
        <f>'Cap Outlay Deprec 26'!K13</f>
        <v>2035448</v>
      </c>
      <c r="C2054" s="2" t="s">
        <v>594</v>
      </c>
      <c r="D2054" s="2" t="str">
        <f t="shared" si="31"/>
        <v>Error?</v>
      </c>
    </row>
    <row r="2055" spans="1:4" x14ac:dyDescent="0.2">
      <c r="A2055" s="5">
        <v>1994</v>
      </c>
      <c r="B2055" s="138">
        <f>'Cap Outlay Deprec 26'!K16</f>
        <v>14270679</v>
      </c>
      <c r="C2055" s="2" t="s">
        <v>594</v>
      </c>
      <c r="D2055" s="2" t="str">
        <f t="shared" si="31"/>
        <v>Error?</v>
      </c>
    </row>
    <row r="2056" spans="1:4" x14ac:dyDescent="0.2">
      <c r="A2056" s="5">
        <v>1995</v>
      </c>
      <c r="B2056" s="138">
        <f>'Cap Outlay Deprec 26'!L5</f>
        <v>77950</v>
      </c>
      <c r="C2056" s="2" t="s">
        <v>594</v>
      </c>
      <c r="D2056" s="2" t="str">
        <f t="shared" si="31"/>
        <v>Error?</v>
      </c>
    </row>
    <row r="2057" spans="1:4" x14ac:dyDescent="0.2">
      <c r="A2057" s="5">
        <v>1996</v>
      </c>
      <c r="B2057" s="138">
        <f>'Cap Outlay Deprec 26'!L8</f>
        <v>9087303</v>
      </c>
      <c r="C2057" s="2" t="s">
        <v>594</v>
      </c>
      <c r="D2057" s="2" t="str">
        <f t="shared" si="31"/>
        <v>Error?</v>
      </c>
    </row>
    <row r="2058" spans="1:4" x14ac:dyDescent="0.2">
      <c r="A2058" s="5">
        <v>1997</v>
      </c>
      <c r="B2058" s="138">
        <f>'Cap Outlay Deprec 26'!L10</f>
        <v>2933536</v>
      </c>
      <c r="C2058" s="2" t="s">
        <v>594</v>
      </c>
      <c r="D2058" s="2" t="str">
        <f t="shared" si="31"/>
        <v>Error?</v>
      </c>
    </row>
    <row r="2059" spans="1:4" x14ac:dyDescent="0.2">
      <c r="A2059" s="5">
        <v>1998</v>
      </c>
      <c r="B2059" s="138">
        <f>'Cap Outlay Deprec 26'!L12</f>
        <v>75106</v>
      </c>
      <c r="C2059" s="2" t="s">
        <v>594</v>
      </c>
      <c r="D2059" s="2" t="str">
        <f t="shared" si="31"/>
        <v>Error?</v>
      </c>
    </row>
    <row r="2060" spans="1:4" x14ac:dyDescent="0.2">
      <c r="A2060" s="5">
        <v>1999</v>
      </c>
      <c r="B2060" s="138">
        <f>'Cap Outlay Deprec 26'!L13</f>
        <v>40842</v>
      </c>
      <c r="C2060" s="2" t="s">
        <v>594</v>
      </c>
      <c r="D2060" s="2" t="str">
        <f t="shared" si="31"/>
        <v>Error?</v>
      </c>
    </row>
    <row r="2061" spans="1:4" x14ac:dyDescent="0.2">
      <c r="A2061" s="5">
        <v>2000</v>
      </c>
      <c r="B2061" s="138">
        <f>'Cap Outlay Deprec 26'!L16</f>
        <v>12214737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356359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356359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10970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10970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587568</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3319780</v>
      </c>
      <c r="C2551" s="2" t="s">
        <v>594</v>
      </c>
      <c r="D2551" s="2" t="str">
        <f t="shared" si="38"/>
        <v>Error?</v>
      </c>
    </row>
    <row r="2552" spans="1:4" x14ac:dyDescent="0.2">
      <c r="A2552" s="10">
        <v>2491</v>
      </c>
      <c r="D2552" s="2" t="str">
        <f t="shared" si="38"/>
        <v>OK</v>
      </c>
    </row>
    <row r="2553" spans="1:4" x14ac:dyDescent="0.2">
      <c r="A2553" s="5">
        <v>2492</v>
      </c>
      <c r="B2553" s="138">
        <f>'Acct Summary 7-8'!C6</f>
        <v>2460457</v>
      </c>
      <c r="C2553" s="2" t="s">
        <v>594</v>
      </c>
      <c r="D2553" s="2" t="str">
        <f t="shared" si="38"/>
        <v>Error?</v>
      </c>
    </row>
    <row r="2554" spans="1:4" x14ac:dyDescent="0.2">
      <c r="A2554" s="5">
        <v>2493</v>
      </c>
      <c r="B2554" s="138">
        <f>'Acct Summary 7-8'!C7</f>
        <v>354914</v>
      </c>
      <c r="C2554" s="2" t="s">
        <v>594</v>
      </c>
      <c r="D2554" s="2" t="str">
        <f t="shared" si="38"/>
        <v>Error?</v>
      </c>
    </row>
    <row r="2555" spans="1:4" x14ac:dyDescent="0.2">
      <c r="A2555" s="5">
        <v>2494</v>
      </c>
      <c r="B2555" s="138">
        <f>'Acct Summary 7-8'!C8</f>
        <v>6135151</v>
      </c>
      <c r="C2555" s="2" t="s">
        <v>594</v>
      </c>
      <c r="D2555" s="2" t="str">
        <f t="shared" si="38"/>
        <v>Error?</v>
      </c>
    </row>
    <row r="2556" spans="1:4" x14ac:dyDescent="0.2">
      <c r="A2556" s="5">
        <v>2495</v>
      </c>
      <c r="B2556" s="138">
        <f>'Acct Summary 7-8'!C12</f>
        <v>4048741</v>
      </c>
      <c r="C2556" s="2" t="s">
        <v>594</v>
      </c>
      <c r="D2556" s="2" t="str">
        <f t="shared" si="38"/>
        <v>Error?</v>
      </c>
    </row>
    <row r="2557" spans="1:4" x14ac:dyDescent="0.2">
      <c r="A2557" s="5">
        <v>2496</v>
      </c>
      <c r="B2557" s="138">
        <f>'Acct Summary 7-8'!C13</f>
        <v>1293729</v>
      </c>
      <c r="C2557" s="2" t="s">
        <v>594</v>
      </c>
      <c r="D2557" s="2" t="str">
        <f t="shared" si="38"/>
        <v>Error?</v>
      </c>
    </row>
    <row r="2558" spans="1:4" x14ac:dyDescent="0.2">
      <c r="A2558" s="5">
        <v>2497</v>
      </c>
      <c r="B2558" s="138">
        <f>'Acct Summary 7-8'!C14</f>
        <v>16443</v>
      </c>
      <c r="C2558" s="2" t="s">
        <v>594</v>
      </c>
      <c r="D2558" s="2" t="str">
        <f t="shared" si="38"/>
        <v>Error?</v>
      </c>
    </row>
    <row r="2559" spans="1:4" x14ac:dyDescent="0.2">
      <c r="A2559" s="5">
        <v>2498</v>
      </c>
      <c r="B2559" s="138">
        <f>'Acct Summary 7-8'!C15</f>
        <v>356359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5715272</v>
      </c>
      <c r="C2561" s="2" t="s">
        <v>594</v>
      </c>
      <c r="D2561" s="2" t="str">
        <f t="shared" si="39"/>
        <v>Error?</v>
      </c>
    </row>
    <row r="2562" spans="1:4" x14ac:dyDescent="0.2">
      <c r="A2562" s="5">
        <v>2501</v>
      </c>
      <c r="B2562" s="138">
        <f>'Acct Summary 7-8'!C20</f>
        <v>419879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514580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514580</v>
      </c>
      <c r="C2568" s="2" t="s">
        <v>594</v>
      </c>
      <c r="D2568" s="2" t="str">
        <f t="shared" si="39"/>
        <v>Error?</v>
      </c>
    </row>
    <row r="2569" spans="1:4" x14ac:dyDescent="0.2">
      <c r="A2569" s="5">
        <v>2508</v>
      </c>
      <c r="B2569" s="138">
        <f>'Acct Summary 7-8'!D13</f>
        <v>516425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10970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527395</v>
      </c>
      <c r="C2573" s="2" t="s">
        <v>594</v>
      </c>
      <c r="D2573" s="2" t="str">
        <f t="shared" si="39"/>
        <v>Error?</v>
      </c>
    </row>
    <row r="2574" spans="1:4" x14ac:dyDescent="0.2">
      <c r="A2574" s="5">
        <v>2513</v>
      </c>
      <c r="B2574" s="138">
        <f>'Acct Summary 7-8'!D20</f>
        <v>-12815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215390</v>
      </c>
      <c r="C2591" s="2" t="s">
        <v>594</v>
      </c>
      <c r="D2591" s="2" t="str">
        <f t="shared" si="39"/>
        <v>Error?</v>
      </c>
    </row>
    <row r="2592" spans="1:4" x14ac:dyDescent="0.2">
      <c r="A2592" s="10">
        <v>2531</v>
      </c>
      <c r="D2592" s="2" t="str">
        <f t="shared" si="39"/>
        <v>OK</v>
      </c>
    </row>
    <row r="2593" spans="1:4" x14ac:dyDescent="0.2">
      <c r="A2593" s="5">
        <v>2532</v>
      </c>
      <c r="B2593" s="138">
        <f>'Acct Summary 7-8'!F6</f>
        <v>521736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737126</v>
      </c>
      <c r="C2595" s="2" t="s">
        <v>594</v>
      </c>
      <c r="D2595" s="2" t="str">
        <f t="shared" si="39"/>
        <v>Error?</v>
      </c>
    </row>
    <row r="2596" spans="1:4" x14ac:dyDescent="0.2">
      <c r="A2596" s="5">
        <v>2535</v>
      </c>
      <c r="B2596" s="138">
        <f>'Acct Summary 7-8'!F13</f>
        <v>582508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582508</v>
      </c>
      <c r="C2600" s="2" t="s">
        <v>594</v>
      </c>
      <c r="D2600" s="2" t="str">
        <f t="shared" si="39"/>
        <v>Error?</v>
      </c>
    </row>
    <row r="2601" spans="1:4" x14ac:dyDescent="0.2">
      <c r="A2601" s="5">
        <v>2540</v>
      </c>
      <c r="B2601" s="138">
        <f>'Acct Summary 7-8'!F20</f>
        <v>154618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231725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231725</v>
      </c>
      <c r="C2606" s="2" t="s">
        <v>594</v>
      </c>
      <c r="D2606" s="2" t="str">
        <f t="shared" si="39"/>
        <v>Error?</v>
      </c>
    </row>
    <row r="2607" spans="1:4" x14ac:dyDescent="0.2">
      <c r="A2607" s="5">
        <v>2546</v>
      </c>
      <c r="B2607" s="138">
        <f>'Acct Summary 7-8'!G12</f>
        <v>61759</v>
      </c>
      <c r="C2607" s="2" t="s">
        <v>594</v>
      </c>
      <c r="D2607" s="2" t="str">
        <f t="shared" si="39"/>
        <v>Error?</v>
      </c>
    </row>
    <row r="2608" spans="1:4" x14ac:dyDescent="0.2">
      <c r="A2608" s="5">
        <v>2547</v>
      </c>
      <c r="B2608" s="138">
        <f>'Acct Summary 7-8'!G13</f>
        <v>103011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178831</v>
      </c>
      <c r="C2612" s="2" t="s">
        <v>594</v>
      </c>
      <c r="D2612" s="2" t="str">
        <f t="shared" si="39"/>
        <v>Error?</v>
      </c>
    </row>
    <row r="2613" spans="1:4" x14ac:dyDescent="0.2">
      <c r="A2613" s="5">
        <v>2552</v>
      </c>
      <c r="B2613" s="138">
        <f>'Acct Summary 7-8'!G20</f>
        <v>52894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1202640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1202640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1912403</v>
      </c>
      <c r="C2634" s="2" t="s">
        <v>594</v>
      </c>
      <c r="D2634" s="2" t="str">
        <f t="shared" si="40"/>
        <v>Error?</v>
      </c>
    </row>
    <row r="2635" spans="1:4" x14ac:dyDescent="0.2">
      <c r="A2635" s="5">
        <v>2574</v>
      </c>
      <c r="B2635" s="138">
        <f>'Acct Summary 7-8'!E17</f>
        <v>1912403</v>
      </c>
      <c r="C2635" s="2" t="s">
        <v>594</v>
      </c>
      <c r="D2635" s="2" t="str">
        <f t="shared" si="40"/>
        <v>Error?</v>
      </c>
    </row>
    <row r="2636" spans="1:4" x14ac:dyDescent="0.2">
      <c r="A2636" s="5">
        <v>2575</v>
      </c>
      <c r="B2636" s="138">
        <f>'Acct Summary 7-8'!E20</f>
        <v>-709763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6995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6995</v>
      </c>
      <c r="C2658" s="2" t="s">
        <v>594</v>
      </c>
      <c r="D2658" s="2" t="str">
        <f t="shared" si="40"/>
        <v>Error?</v>
      </c>
    </row>
    <row r="2659" spans="1:4" x14ac:dyDescent="0.2">
      <c r="A2659" s="5">
        <v>2598</v>
      </c>
      <c r="B2659" s="138">
        <f>'Acct Summary 7-8'!H13</f>
        <v>83158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83158</v>
      </c>
      <c r="C2661" s="2" t="s">
        <v>594</v>
      </c>
      <c r="D2661" s="2" t="str">
        <f t="shared" si="40"/>
        <v>Error?</v>
      </c>
    </row>
    <row r="2662" spans="1:4" x14ac:dyDescent="0.2">
      <c r="A2662" s="5">
        <v>2601</v>
      </c>
      <c r="B2662" s="138">
        <f>'Acct Summary 7-8'!H20</f>
        <v>-76163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74083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797615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112327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797615</v>
      </c>
      <c r="D2912" s="2" t="str">
        <f t="shared" si="44"/>
        <v>Error?</v>
      </c>
    </row>
    <row r="2913" spans="1:4" x14ac:dyDescent="0.2">
      <c r="A2913" s="5">
        <v>2852</v>
      </c>
      <c r="B2913" s="138">
        <f>'Assets-Liab 5-6'!I41</f>
        <v>797615</v>
      </c>
      <c r="C2913" s="2" t="s">
        <v>594</v>
      </c>
      <c r="D2913" s="2" t="str">
        <f t="shared" si="44"/>
        <v>Error?</v>
      </c>
    </row>
    <row r="2914" spans="1:4" x14ac:dyDescent="0.2">
      <c r="A2914" s="5">
        <v>2853</v>
      </c>
      <c r="B2914" s="138">
        <f>'Assets-Liab 5-6'!L33</f>
        <v>112327</v>
      </c>
      <c r="D2914" s="2" t="str">
        <f t="shared" si="44"/>
        <v>Error?</v>
      </c>
    </row>
    <row r="2915" spans="1:4" x14ac:dyDescent="0.2">
      <c r="A2915" s="10">
        <v>2854</v>
      </c>
      <c r="D2915" s="2" t="str">
        <f t="shared" si="44"/>
        <v>OK</v>
      </c>
    </row>
    <row r="2916" spans="1:4" x14ac:dyDescent="0.2">
      <c r="A2916" s="5">
        <v>2855</v>
      </c>
      <c r="B2916" s="138">
        <f>'Assets-Liab 5-6'!L34</f>
        <v>112327</v>
      </c>
      <c r="C2916" s="2" t="s">
        <v>594</v>
      </c>
      <c r="D2916" s="2" t="str">
        <f t="shared" si="44"/>
        <v>Error?</v>
      </c>
    </row>
    <row r="2917" spans="1:4" x14ac:dyDescent="0.2">
      <c r="A2917" s="5">
        <v>2856</v>
      </c>
      <c r="B2917" s="138">
        <f>'Assets-Liab 5-6'!L41</f>
        <v>112327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322518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33841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322518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33841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3386</v>
      </c>
      <c r="D2979" s="2" t="str">
        <f t="shared" si="45"/>
        <v>Error?</v>
      </c>
    </row>
    <row r="2980" spans="1:4" x14ac:dyDescent="0.2">
      <c r="A2980" s="5">
        <v>2919</v>
      </c>
      <c r="B2980" s="138">
        <f>'Expenditures 15-22'!H135</f>
        <v>7584</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3386</v>
      </c>
      <c r="C2986" s="2" t="s">
        <v>594</v>
      </c>
      <c r="D2986" s="2" t="str">
        <f t="shared" si="45"/>
        <v>Error?</v>
      </c>
    </row>
    <row r="2987" spans="1:4" x14ac:dyDescent="0.2">
      <c r="A2987" s="5">
        <v>2926</v>
      </c>
      <c r="B2987" s="138">
        <f>'Expenditures 15-22'!K135</f>
        <v>7584</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82033</v>
      </c>
      <c r="D3055" s="2" t="str">
        <f t="shared" si="46"/>
        <v>Error?</v>
      </c>
    </row>
    <row r="3056" spans="1:4" x14ac:dyDescent="0.2">
      <c r="A3056" s="5">
        <v>2995</v>
      </c>
      <c r="B3056" s="138">
        <f>'Expenditures 15-22'!D10</f>
        <v>11929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13280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107242</v>
      </c>
      <c r="C3062" s="2" t="s">
        <v>594</v>
      </c>
      <c r="D3062" s="2" t="str">
        <f t="shared" si="46"/>
        <v>Error?</v>
      </c>
    </row>
    <row r="3063" spans="1:4" x14ac:dyDescent="0.2">
      <c r="A3063" s="10">
        <v>3002</v>
      </c>
      <c r="D3063" s="2" t="str">
        <f t="shared" si="46"/>
        <v>OK</v>
      </c>
    </row>
    <row r="3064" spans="1:4" x14ac:dyDescent="0.2">
      <c r="A3064" s="5">
        <v>3003</v>
      </c>
      <c r="B3064" s="138">
        <f>'Expenditures 15-22'!D219</f>
        <v>1309</v>
      </c>
      <c r="D3064" s="2" t="str">
        <f t="shared" si="46"/>
        <v>Error?</v>
      </c>
    </row>
    <row r="3065" spans="1:4" x14ac:dyDescent="0.2">
      <c r="A3065" s="5">
        <v>3004</v>
      </c>
      <c r="B3065" s="138">
        <f>'Expenditures 15-22'!K219</f>
        <v>1309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67190</v>
      </c>
      <c r="C3225" s="2" t="s">
        <v>594</v>
      </c>
      <c r="D3225" s="2" t="str">
        <f t="shared" si="49"/>
        <v>Error?</v>
      </c>
    </row>
    <row r="3226" spans="1:4" x14ac:dyDescent="0.2">
      <c r="A3226" s="5">
        <v>3165</v>
      </c>
      <c r="B3226" s="138">
        <f>'Acct Summary 7-8'!I8</f>
        <v>67190</v>
      </c>
      <c r="C3226" s="2" t="s">
        <v>594</v>
      </c>
      <c r="D3226" s="2" t="str">
        <f t="shared" si="49"/>
        <v>Error?</v>
      </c>
    </row>
    <row r="3227" spans="1:4" x14ac:dyDescent="0.2">
      <c r="A3227" s="5">
        <v>3166</v>
      </c>
      <c r="B3227" s="138">
        <f>'Acct Summary 7-8'!I20</f>
        <v>67190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84300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84300</v>
      </c>
      <c r="C3232" s="2" t="s">
        <v>594</v>
      </c>
      <c r="D3232" s="2" t="str">
        <f t="shared" si="49"/>
        <v>Error?</v>
      </c>
    </row>
    <row r="3233" spans="1:4" x14ac:dyDescent="0.2">
      <c r="A3233" s="5">
        <v>3172</v>
      </c>
      <c r="B3233" s="138">
        <f>'Acct Summary 7-8'!C78</f>
        <v>504179</v>
      </c>
      <c r="C3233" s="2" t="s">
        <v>594</v>
      </c>
      <c r="D3233" s="2" t="str">
        <f t="shared" si="49"/>
        <v>Error?</v>
      </c>
    </row>
    <row r="3234" spans="1:4" x14ac:dyDescent="0.2">
      <c r="A3234" s="5">
        <v>3173</v>
      </c>
      <c r="B3234" s="138">
        <f>'Acct Summary 7-8'!D43</f>
        <v>500000</v>
      </c>
      <c r="D3234" s="2" t="str">
        <f t="shared" si="49"/>
        <v>Error?</v>
      </c>
    </row>
    <row r="3235" spans="1:4" x14ac:dyDescent="0.2">
      <c r="A3235" s="5">
        <v>3174</v>
      </c>
      <c r="B3235" s="138">
        <f>'Acct Summary 7-8'!D44</f>
        <v>500000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500000</v>
      </c>
      <c r="C3238" s="2" t="s">
        <v>594</v>
      </c>
      <c r="D3238" s="2" t="str">
        <f t="shared" si="49"/>
        <v>Error?</v>
      </c>
    </row>
    <row r="3239" spans="1:4" x14ac:dyDescent="0.2">
      <c r="A3239" s="5">
        <v>3178</v>
      </c>
      <c r="B3239" s="138">
        <f>'Acct Summary 7-8'!D78</f>
        <v>487185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154618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52894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587568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587568</v>
      </c>
      <c r="C3277" s="2" t="s">
        <v>594</v>
      </c>
      <c r="D3277" s="2" t="str">
        <f t="shared" si="50"/>
        <v>Error?</v>
      </c>
    </row>
    <row r="3278" spans="1:4" x14ac:dyDescent="0.2">
      <c r="A3278" s="5">
        <v>3217</v>
      </c>
      <c r="B3278" s="138">
        <f>'Acct Summary 7-8'!E78</f>
        <v>-122195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-76163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587568</v>
      </c>
      <c r="C3318" s="2" t="s">
        <v>594</v>
      </c>
      <c r="D3318" s="2" t="str">
        <f t="shared" si="50"/>
        <v>Error?</v>
      </c>
    </row>
    <row r="3319" spans="1:4" x14ac:dyDescent="0.2">
      <c r="A3319" s="5">
        <v>3258</v>
      </c>
      <c r="B3319" s="138">
        <f>'Acct Summary 7-8'!I77</f>
        <v>-587568</v>
      </c>
      <c r="C3319" s="2" t="s">
        <v>594</v>
      </c>
      <c r="D3319" s="2" t="str">
        <f t="shared" si="50"/>
        <v>Error?</v>
      </c>
    </row>
    <row r="3320" spans="1:4" x14ac:dyDescent="0.2">
      <c r="A3320" s="5">
        <v>3259</v>
      </c>
      <c r="B3320" s="138">
        <f>'Acct Summary 7-8'!I78</f>
        <v>-520378</v>
      </c>
      <c r="C3320" s="2" t="s">
        <v>594</v>
      </c>
      <c r="D3320" s="2" t="str">
        <f t="shared" si="50"/>
        <v>Error?</v>
      </c>
    </row>
    <row r="3321" spans="1:4" x14ac:dyDescent="0.2">
      <c r="A3321" s="5">
        <v>3260</v>
      </c>
      <c r="B3321" s="138">
        <f>'Acct Summary 7-8'!I79</f>
        <v>1317993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797615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409669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87719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9126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507226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30221</v>
      </c>
      <c r="D3387" s="2" t="str">
        <f t="shared" si="51"/>
        <v>Error?</v>
      </c>
    </row>
    <row r="3388" spans="1:4" x14ac:dyDescent="0.2">
      <c r="A3388" s="5">
        <v>3327</v>
      </c>
      <c r="B3388" s="138">
        <f>'Expenditures 15-22'!D217</f>
        <v>21675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30221</v>
      </c>
      <c r="C3390" s="2" t="s">
        <v>594</v>
      </c>
      <c r="D3390" s="2" t="str">
        <f t="shared" si="51"/>
        <v>Error?</v>
      </c>
    </row>
    <row r="3391" spans="1:4" x14ac:dyDescent="0.2">
      <c r="A3391" s="5">
        <v>3330</v>
      </c>
      <c r="B3391" s="138">
        <f>'Expenditures 15-22'!K217</f>
        <v>21675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3210871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686156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362818</v>
      </c>
      <c r="D3417" s="2" t="str">
        <f t="shared" si="52"/>
        <v>Error?</v>
      </c>
    </row>
    <row r="3418" spans="1:4" x14ac:dyDescent="0.2">
      <c r="A3418" s="10">
        <v>3357</v>
      </c>
      <c r="D3418" s="2" t="str">
        <f t="shared" si="52"/>
        <v>OK</v>
      </c>
    </row>
    <row r="3419" spans="1:4" x14ac:dyDescent="0.2">
      <c r="A3419" s="5">
        <v>3358</v>
      </c>
      <c r="B3419" s="138">
        <f>'Assets-Liab 5-6'!F4</f>
        <v>643466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232546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306780</v>
      </c>
      <c r="D3425" s="2" t="str">
        <f t="shared" si="52"/>
        <v>Error?</v>
      </c>
    </row>
    <row r="3426" spans="1:4" x14ac:dyDescent="0.2">
      <c r="A3426" s="10">
        <v>3365</v>
      </c>
      <c r="D3426" s="2" t="str">
        <f t="shared" si="52"/>
        <v>OK</v>
      </c>
    </row>
    <row r="3427" spans="1:4" x14ac:dyDescent="0.2">
      <c r="A3427" s="5">
        <v>3366</v>
      </c>
      <c r="B3427" s="138">
        <f>'Assets-Liab 5-6'!I4</f>
        <v>723532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112327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157292</v>
      </c>
      <c r="C3446" s="2" t="s">
        <v>594</v>
      </c>
      <c r="D3446" s="2" t="str">
        <f t="shared" si="52"/>
        <v>Error?</v>
      </c>
    </row>
    <row r="3447" spans="1:4" x14ac:dyDescent="0.2">
      <c r="A3447" s="5">
        <v>3386</v>
      </c>
      <c r="B3447" s="138">
        <f>'Tax Sched 23'!D16</f>
        <v>92350</v>
      </c>
      <c r="C3447" s="2" t="s">
        <v>594</v>
      </c>
      <c r="D3447" s="2" t="str">
        <f t="shared" si="52"/>
        <v>Error?</v>
      </c>
    </row>
    <row r="3448" spans="1:4" x14ac:dyDescent="0.2">
      <c r="A3448" s="5">
        <v>3387</v>
      </c>
      <c r="B3448" s="138">
        <f>'Tax Sched 23'!C16</f>
        <v>64942</v>
      </c>
      <c r="D3448" s="2" t="str">
        <f t="shared" si="52"/>
        <v>Error?</v>
      </c>
    </row>
    <row r="3449" spans="1:4" x14ac:dyDescent="0.2">
      <c r="A3449" s="5">
        <v>3388</v>
      </c>
      <c r="B3449" s="138">
        <f>'Tax Sched 23'!F16</f>
        <v>71453</v>
      </c>
      <c r="C3449" s="2" t="s">
        <v>594</v>
      </c>
      <c r="D3449" s="2" t="str">
        <f t="shared" si="52"/>
        <v>Error?</v>
      </c>
    </row>
    <row r="3450" spans="1:4" x14ac:dyDescent="0.2">
      <c r="A3450" s="5">
        <v>3389</v>
      </c>
      <c r="B3450" s="138">
        <f>'Tax Sched 23'!E16</f>
        <v>136395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1151714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186552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1338266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1338266</v>
      </c>
      <c r="D3567" s="2" t="str">
        <f t="shared" si="54"/>
        <v>Error?</v>
      </c>
    </row>
    <row r="3568" spans="1:4" x14ac:dyDescent="0.2">
      <c r="A3568" s="5">
        <v>3507</v>
      </c>
      <c r="B3568" s="138">
        <f>'Assets-Liab 5-6'!K41</f>
        <v>1338266</v>
      </c>
      <c r="C3568" s="2" t="s">
        <v>594</v>
      </c>
      <c r="D3568" s="2" t="str">
        <f t="shared" si="54"/>
        <v>Error?</v>
      </c>
    </row>
    <row r="3569" spans="1:4" x14ac:dyDescent="0.2">
      <c r="A3569" s="5">
        <v>3508</v>
      </c>
      <c r="B3569" s="138">
        <f>'Acct Summary 7-8'!K4</f>
        <v>65977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65977</v>
      </c>
      <c r="C3571" s="2" t="s">
        <v>594</v>
      </c>
      <c r="D3571" s="2" t="str">
        <f t="shared" si="54"/>
        <v>Error?</v>
      </c>
    </row>
    <row r="3572" spans="1:4" x14ac:dyDescent="0.2">
      <c r="A3572" s="5">
        <v>3511</v>
      </c>
      <c r="B3572" s="138">
        <f>'Acct Summary 7-8'!K13</f>
        <v>372538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372538</v>
      </c>
      <c r="C3575" s="2" t="s">
        <v>594</v>
      </c>
      <c r="D3575" s="2" t="str">
        <f t="shared" si="54"/>
        <v>Error?</v>
      </c>
    </row>
    <row r="3576" spans="1:4" x14ac:dyDescent="0.2">
      <c r="A3576" s="5">
        <v>3515</v>
      </c>
      <c r="B3576" s="138">
        <f>'Acct Summary 7-8'!K20</f>
        <v>-306561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-306561</v>
      </c>
      <c r="C3588" s="2" t="s">
        <v>594</v>
      </c>
      <c r="D3588" s="2" t="str">
        <f t="shared" si="55"/>
        <v>Error?</v>
      </c>
    </row>
    <row r="3589" spans="1:4" x14ac:dyDescent="0.2">
      <c r="A3589" s="5">
        <v>3528</v>
      </c>
      <c r="B3589" s="138">
        <f>'Acct Summary 7-8'!K79</f>
        <v>1644827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1338266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319664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319664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319664</v>
      </c>
      <c r="C3635" s="2" t="s">
        <v>594</v>
      </c>
      <c r="D3635" s="2" t="str">
        <f t="shared" si="55"/>
        <v>Error?</v>
      </c>
    </row>
    <row r="3636" spans="1:4" x14ac:dyDescent="0.2">
      <c r="A3636" s="5">
        <v>3575</v>
      </c>
      <c r="B3636" s="138">
        <f>'Expenditures 15-22'!E367</f>
        <v>319664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52874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52874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52874</v>
      </c>
      <c r="C3649" s="2" t="s">
        <v>594</v>
      </c>
      <c r="D3649" s="2" t="str">
        <f t="shared" si="56"/>
        <v>Error?</v>
      </c>
    </row>
    <row r="3650" spans="1:4" x14ac:dyDescent="0.2">
      <c r="A3650" s="5">
        <v>3589</v>
      </c>
      <c r="B3650" s="138">
        <f>'Expenditures 15-22'!G367</f>
        <v>52874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372538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372538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372538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372538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-306561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12145</v>
      </c>
      <c r="D3721" s="2" t="str">
        <f t="shared" si="57"/>
        <v>Error?</v>
      </c>
    </row>
    <row r="3722" spans="1:4" x14ac:dyDescent="0.2">
      <c r="A3722" s="5">
        <v>3661</v>
      </c>
      <c r="B3722" s="138">
        <f>'Expenditures 15-22'!D285</f>
        <v>14061</v>
      </c>
      <c r="C3722" s="2" t="s">
        <v>594</v>
      </c>
      <c r="D3722" s="2" t="str">
        <f t="shared" si="57"/>
        <v>Error?</v>
      </c>
    </row>
    <row r="3723" spans="1:4" x14ac:dyDescent="0.2">
      <c r="A3723" s="5">
        <v>3662</v>
      </c>
      <c r="B3723" s="138">
        <f>'Expenditures 15-22'!K283</f>
        <v>12145</v>
      </c>
      <c r="C3723" s="2" t="s">
        <v>594</v>
      </c>
      <c r="D3723" s="2" t="str">
        <f t="shared" si="57"/>
        <v>Error?</v>
      </c>
    </row>
    <row r="3724" spans="1:4" x14ac:dyDescent="0.2">
      <c r="A3724" s="5">
        <v>3663</v>
      </c>
      <c r="B3724" s="138">
        <f>'Expenditures 15-22'!K285</f>
        <v>14061</v>
      </c>
      <c r="C3724" s="2" t="s">
        <v>594</v>
      </c>
      <c r="D3724" s="2" t="str">
        <f t="shared" si="57"/>
        <v>Error?</v>
      </c>
    </row>
    <row r="3725" spans="1:4" x14ac:dyDescent="0.2">
      <c r="A3725" s="5">
        <v>3664</v>
      </c>
      <c r="B3725" s="138">
        <f>'Tax Sched 23'!B13</f>
        <v>50461</v>
      </c>
      <c r="C3725" s="2" t="s">
        <v>594</v>
      </c>
      <c r="D3725" s="2" t="str">
        <f t="shared" si="57"/>
        <v>Error?</v>
      </c>
    </row>
    <row r="3726" spans="1:4" x14ac:dyDescent="0.2">
      <c r="A3726" s="5">
        <v>3665</v>
      </c>
      <c r="B3726" s="138">
        <f>'Tax Sched 23'!D13</f>
        <v>25562</v>
      </c>
      <c r="C3726" s="2" t="s">
        <v>594</v>
      </c>
      <c r="D3726" s="2" t="str">
        <f t="shared" si="57"/>
        <v>Error?</v>
      </c>
    </row>
    <row r="3727" spans="1:4" x14ac:dyDescent="0.2">
      <c r="A3727" s="5">
        <v>3666</v>
      </c>
      <c r="B3727" s="138">
        <f>'Tax Sched 23'!C13</f>
        <v>24899</v>
      </c>
      <c r="D3727" s="2" t="str">
        <f t="shared" si="57"/>
        <v>Error?</v>
      </c>
    </row>
    <row r="3728" spans="1:4" x14ac:dyDescent="0.2">
      <c r="A3728" s="5">
        <v>3667</v>
      </c>
      <c r="B3728" s="138">
        <f>'Tax Sched 23'!F13</f>
        <v>27335</v>
      </c>
      <c r="C3728" s="2" t="s">
        <v>594</v>
      </c>
      <c r="D3728" s="2" t="str">
        <f t="shared" si="57"/>
        <v>Error?</v>
      </c>
    </row>
    <row r="3729" spans="1:4" x14ac:dyDescent="0.2">
      <c r="A3729" s="5">
        <v>3668</v>
      </c>
      <c r="B3729" s="138">
        <f>'Tax Sched 23'!E13</f>
        <v>52234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2789333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8924484</v>
      </c>
      <c r="C4122" s="2" t="s">
        <v>594</v>
      </c>
      <c r="D4122" s="2" t="str">
        <f t="shared" si="63"/>
        <v>Error?</v>
      </c>
    </row>
    <row r="4123" spans="1:4" x14ac:dyDescent="0.2">
      <c r="A4123" s="5">
        <v>4062</v>
      </c>
      <c r="B4123" s="138">
        <f>'Acct Summary 7-8'!D10</f>
        <v>514580</v>
      </c>
      <c r="C4123" s="2" t="s">
        <v>594</v>
      </c>
      <c r="D4123" s="2" t="str">
        <f t="shared" si="63"/>
        <v>Error?</v>
      </c>
    </row>
    <row r="4124" spans="1:4" x14ac:dyDescent="0.2">
      <c r="A4124" s="5">
        <v>4063</v>
      </c>
      <c r="B4124" s="138">
        <f>'Acct Summary 7-8'!E10</f>
        <v>1202640</v>
      </c>
      <c r="C4124" s="2" t="s">
        <v>594</v>
      </c>
      <c r="D4124" s="2" t="str">
        <f t="shared" si="63"/>
        <v>Error?</v>
      </c>
    </row>
    <row r="4125" spans="1:4" x14ac:dyDescent="0.2">
      <c r="A4125" s="5">
        <v>4064</v>
      </c>
      <c r="B4125" s="138">
        <f>'Acct Summary 7-8'!F10</f>
        <v>737126</v>
      </c>
      <c r="C4125" s="2" t="s">
        <v>594</v>
      </c>
      <c r="D4125" s="2" t="str">
        <f t="shared" si="63"/>
        <v>Error?</v>
      </c>
    </row>
    <row r="4126" spans="1:4" x14ac:dyDescent="0.2">
      <c r="A4126" s="5">
        <v>4065</v>
      </c>
      <c r="B4126" s="138">
        <f>'Acct Summary 7-8'!G10</f>
        <v>231725</v>
      </c>
      <c r="C4126" s="2" t="s">
        <v>594</v>
      </c>
      <c r="D4126" s="2" t="str">
        <f t="shared" si="63"/>
        <v>Error?</v>
      </c>
    </row>
    <row r="4127" spans="1:4" x14ac:dyDescent="0.2">
      <c r="A4127" s="5">
        <v>4066</v>
      </c>
      <c r="B4127" s="138">
        <f>'Acct Summary 7-8'!H10</f>
        <v>6995</v>
      </c>
      <c r="C4127" s="2" t="s">
        <v>594</v>
      </c>
      <c r="D4127" s="2" t="str">
        <f t="shared" si="63"/>
        <v>Error?</v>
      </c>
    </row>
    <row r="4128" spans="1:4" x14ac:dyDescent="0.2">
      <c r="A4128" s="5">
        <v>4067</v>
      </c>
      <c r="B4128" s="138">
        <f>'Acct Summary 7-8'!I10</f>
        <v>67190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65977</v>
      </c>
      <c r="C4130" s="2" t="s">
        <v>594</v>
      </c>
      <c r="D4130" s="2" t="str">
        <f t="shared" si="63"/>
        <v>Error?</v>
      </c>
    </row>
    <row r="4131" spans="1:4" x14ac:dyDescent="0.2">
      <c r="A4131" s="5">
        <v>4070</v>
      </c>
      <c r="B4131" s="138">
        <f>'Acct Summary 7-8'!C18</f>
        <v>2789333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8504605</v>
      </c>
      <c r="C4136" s="2" t="s">
        <v>594</v>
      </c>
      <c r="D4136" s="2" t="str">
        <f t="shared" si="63"/>
        <v>Error?</v>
      </c>
    </row>
    <row r="4137" spans="1:4" x14ac:dyDescent="0.2">
      <c r="A4137" s="5">
        <v>4076</v>
      </c>
      <c r="B4137" s="138">
        <f>'Acct Summary 7-8'!D19</f>
        <v>527395</v>
      </c>
      <c r="C4137" s="2" t="s">
        <v>594</v>
      </c>
      <c r="D4137" s="2" t="str">
        <f t="shared" si="63"/>
        <v>Error?</v>
      </c>
    </row>
    <row r="4138" spans="1:4" x14ac:dyDescent="0.2">
      <c r="A4138" s="5">
        <v>4077</v>
      </c>
      <c r="B4138" s="138">
        <f>'Acct Summary 7-8'!E19</f>
        <v>1912403</v>
      </c>
      <c r="C4138" s="2" t="s">
        <v>594</v>
      </c>
      <c r="D4138" s="2" t="str">
        <f t="shared" si="63"/>
        <v>Error?</v>
      </c>
    </row>
    <row r="4139" spans="1:4" x14ac:dyDescent="0.2">
      <c r="A4139" s="5">
        <v>4078</v>
      </c>
      <c r="B4139" s="138">
        <f>'Acct Summary 7-8'!F19</f>
        <v>582508</v>
      </c>
      <c r="C4139" s="2" t="s">
        <v>594</v>
      </c>
      <c r="D4139" s="2" t="str">
        <f t="shared" si="63"/>
        <v>Error?</v>
      </c>
    </row>
    <row r="4140" spans="1:4" x14ac:dyDescent="0.2">
      <c r="A4140" s="5">
        <v>4079</v>
      </c>
      <c r="B4140" s="138">
        <f>'Acct Summary 7-8'!G19</f>
        <v>178831</v>
      </c>
      <c r="C4140" s="2" t="s">
        <v>594</v>
      </c>
      <c r="D4140" s="2" t="str">
        <f t="shared" si="63"/>
        <v>Error?</v>
      </c>
    </row>
    <row r="4141" spans="1:4" x14ac:dyDescent="0.2">
      <c r="A4141" s="5">
        <v>4080</v>
      </c>
      <c r="B4141" s="138">
        <f>'Acct Summary 7-8'!H19</f>
        <v>83158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372538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5834552</v>
      </c>
      <c r="C4171" s="2" t="s">
        <v>594</v>
      </c>
      <c r="D4171" s="2" t="str">
        <f t="shared" si="64"/>
        <v>Error?</v>
      </c>
    </row>
    <row r="4172" spans="1:4" x14ac:dyDescent="0.2">
      <c r="A4172" s="5">
        <v>4111</v>
      </c>
      <c r="B4172" s="138">
        <f>'Short-Term Long-Term Debt 24'!J49</f>
        <v>5280050</v>
      </c>
      <c r="C4172" s="2" t="s">
        <v>594</v>
      </c>
      <c r="D4172" s="2" t="str">
        <f t="shared" si="64"/>
        <v>Error?</v>
      </c>
    </row>
    <row r="4173" spans="1:4" x14ac:dyDescent="0.2">
      <c r="A4173" s="5">
        <v>4112</v>
      </c>
      <c r="B4173" s="138">
        <f>'Short-Term Long-Term Debt 24'!H49</f>
        <v>1635000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3130</v>
      </c>
      <c r="C4268" s="2" t="s">
        <v>594</v>
      </c>
      <c r="D4268" s="2" t="str">
        <f t="shared" si="65"/>
        <v>Error?</v>
      </c>
    </row>
    <row r="4269" spans="1:5" x14ac:dyDescent="0.2">
      <c r="A4269" s="12">
        <v>4208</v>
      </c>
      <c r="B4269" s="138">
        <f>'FP Info 3'!J16</f>
        <v>5789200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11227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37216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7620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104468838</v>
      </c>
      <c r="D4995" s="2" t="str">
        <f t="shared" si="77"/>
        <v>Error?</v>
      </c>
    </row>
    <row r="4996" spans="1:4" x14ac:dyDescent="0.2">
      <c r="A4996" s="12">
        <v>4935</v>
      </c>
      <c r="B4996" s="138">
        <f>'FP Info 3'!H31</f>
        <v>14416699.644000001</v>
      </c>
      <c r="D4996" s="2" t="str">
        <f t="shared" si="77"/>
        <v>Error?</v>
      </c>
    </row>
    <row r="4997" spans="1:4" x14ac:dyDescent="0.2">
      <c r="A4997" s="12">
        <v>4936</v>
      </c>
      <c r="B4997" s="138">
        <f>'FP Info 3'!H37</f>
        <v>5834552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50461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2452342</v>
      </c>
      <c r="D5061" s="2" t="str">
        <f t="shared" si="78"/>
        <v>Error?</v>
      </c>
    </row>
    <row r="5062" spans="1:4" x14ac:dyDescent="0.2">
      <c r="A5062" s="10">
        <v>5001</v>
      </c>
      <c r="D5062" s="2" t="str">
        <f t="shared" si="78"/>
        <v>OK</v>
      </c>
    </row>
    <row r="5063" spans="1:4" x14ac:dyDescent="0.2">
      <c r="A5063" s="5">
        <v>5002</v>
      </c>
      <c r="B5063" s="138">
        <f>'Revenues 9-14'!C7</f>
        <v>40367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2543170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172590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172590</v>
      </c>
      <c r="C5071" s="2" t="s">
        <v>594</v>
      </c>
      <c r="D5071" s="2" t="str">
        <f t="shared" si="78"/>
        <v>Error?</v>
      </c>
    </row>
    <row r="5072" spans="1:4" x14ac:dyDescent="0.2">
      <c r="A5072" s="5">
        <v>5011</v>
      </c>
      <c r="B5072" s="138">
        <f>'Revenues 9-14'!C20</f>
        <v>3144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67303</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70447</v>
      </c>
      <c r="C5087" s="2" t="s">
        <v>594</v>
      </c>
      <c r="D5087" s="2" t="str">
        <f t="shared" si="78"/>
        <v>Error?</v>
      </c>
    </row>
    <row r="5088" spans="1:4" x14ac:dyDescent="0.2">
      <c r="A5088" s="5">
        <v>5027</v>
      </c>
      <c r="B5088" s="138">
        <f>'Revenues 9-14'!C65</f>
        <v>27042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27042</v>
      </c>
      <c r="C5090" s="2" t="s">
        <v>594</v>
      </c>
      <c r="D5090" s="2" t="str">
        <f t="shared" si="78"/>
        <v>Error?</v>
      </c>
    </row>
    <row r="5091" spans="1:4" x14ac:dyDescent="0.2">
      <c r="A5091" s="5">
        <v>5030</v>
      </c>
      <c r="B5091" s="138">
        <f>'Revenues 9-14'!C70</f>
        <v>4901</v>
      </c>
      <c r="D5091" s="2" t="str">
        <f t="shared" si="78"/>
        <v>Error?</v>
      </c>
    </row>
    <row r="5092" spans="1:4" x14ac:dyDescent="0.2">
      <c r="A5092" s="5">
        <v>5031</v>
      </c>
      <c r="B5092" s="138">
        <f>'Revenues 9-14'!C71</f>
        <v>52153</v>
      </c>
      <c r="D5092" s="2" t="str">
        <f t="shared" si="78"/>
        <v>Error?</v>
      </c>
    </row>
    <row r="5093" spans="1:4" x14ac:dyDescent="0.2">
      <c r="A5093" s="5">
        <v>5032</v>
      </c>
      <c r="B5093" s="138">
        <f>'Revenues 9-14'!C72</f>
        <v>5226</v>
      </c>
      <c r="D5093" s="2" t="str">
        <f t="shared" si="78"/>
        <v>Error?</v>
      </c>
    </row>
    <row r="5094" spans="1:4" x14ac:dyDescent="0.2">
      <c r="A5094" s="5">
        <v>5033</v>
      </c>
      <c r="B5094" s="138">
        <f>'Revenues 9-14'!C73</f>
        <v>3221</v>
      </c>
      <c r="D5094" s="2" t="str">
        <f t="shared" si="78"/>
        <v>Error?</v>
      </c>
    </row>
    <row r="5095" spans="1:4" x14ac:dyDescent="0.2">
      <c r="A5095" s="5">
        <v>5034</v>
      </c>
      <c r="B5095" s="138">
        <f>'Revenues 9-14'!C74</f>
        <v>9909</v>
      </c>
      <c r="D5095" s="2" t="str">
        <f t="shared" si="78"/>
        <v>Error?</v>
      </c>
    </row>
    <row r="5096" spans="1:4" x14ac:dyDescent="0.2">
      <c r="A5096" s="5">
        <v>5035</v>
      </c>
      <c r="B5096" s="138">
        <f>'Revenues 9-14'!C75</f>
        <v>171640</v>
      </c>
      <c r="C5096" s="2" t="s">
        <v>594</v>
      </c>
      <c r="D5096" s="2" t="str">
        <f t="shared" si="78"/>
        <v>Error?</v>
      </c>
    </row>
    <row r="5097" spans="1:4" x14ac:dyDescent="0.2">
      <c r="A5097" s="5">
        <v>5036</v>
      </c>
      <c r="B5097" s="138">
        <f>'Revenues 9-14'!C77</f>
        <v>15245</v>
      </c>
      <c r="D5097" s="2" t="str">
        <f t="shared" si="78"/>
        <v>Error?</v>
      </c>
    </row>
    <row r="5098" spans="1:4" x14ac:dyDescent="0.2">
      <c r="A5098" s="5">
        <v>5037</v>
      </c>
      <c r="B5098" s="138">
        <f>'Revenues 9-14'!C78</f>
        <v>18982</v>
      </c>
      <c r="D5098" s="2" t="str">
        <f t="shared" si="78"/>
        <v>Error?</v>
      </c>
    </row>
    <row r="5099" spans="1:4" x14ac:dyDescent="0.2">
      <c r="A5099" s="5">
        <v>5038</v>
      </c>
      <c r="B5099" s="138">
        <f>'Revenues 9-14'!C79</f>
        <v>25765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31058</v>
      </c>
      <c r="D5101" s="2" t="str">
        <f t="shared" si="78"/>
        <v>Error?</v>
      </c>
    </row>
    <row r="5102" spans="1:4" x14ac:dyDescent="0.2">
      <c r="A5102" s="5">
        <v>5041</v>
      </c>
      <c r="B5102" s="138">
        <f>'Revenues 9-14'!C82</f>
        <v>91050</v>
      </c>
      <c r="C5102" s="2" t="s">
        <v>594</v>
      </c>
      <c r="D5102" s="2" t="str">
        <f t="shared" si="78"/>
        <v>Error?</v>
      </c>
    </row>
    <row r="5103" spans="1:4" x14ac:dyDescent="0.2">
      <c r="A5103" s="5">
        <v>5042</v>
      </c>
      <c r="B5103" s="138">
        <f>'Revenues 9-14'!C84</f>
        <v>83189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83189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98734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8291</v>
      </c>
      <c r="D5118" s="2" t="str">
        <f t="shared" si="78"/>
        <v>Error?</v>
      </c>
    </row>
    <row r="5119" spans="1:4" x14ac:dyDescent="0.2">
      <c r="A5119" s="5">
        <v>5058</v>
      </c>
      <c r="B5119" s="138">
        <f>'Revenues 9-14'!C107</f>
        <v>41377</v>
      </c>
      <c r="D5119" s="2" t="str">
        <f t="shared" ref="D5119:D5182" si="79">IF(ISBLANK(B5119),"OK",IF(A5119-B5119=0,"OK","Error?"))</f>
        <v>Error?</v>
      </c>
    </row>
    <row r="5120" spans="1:4" x14ac:dyDescent="0.2">
      <c r="A5120" s="5">
        <v>5059</v>
      </c>
      <c r="B5120" s="138">
        <f>'Revenues 9-14'!C108</f>
        <v>160652</v>
      </c>
      <c r="C5120" s="2" t="s">
        <v>594</v>
      </c>
      <c r="D5120" s="2" t="str">
        <f t="shared" si="79"/>
        <v>Error?</v>
      </c>
    </row>
    <row r="5121" spans="1:4" x14ac:dyDescent="0.2">
      <c r="A5121" s="5">
        <v>5060</v>
      </c>
      <c r="B5121" s="138">
        <f>'Revenues 9-14'!C109</f>
        <v>3319780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2152438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2152438</v>
      </c>
      <c r="C5132" s="2" t="s">
        <v>594</v>
      </c>
      <c r="D5132" s="2" t="str">
        <f t="shared" si="79"/>
        <v>Error?</v>
      </c>
    </row>
    <row r="5133" spans="1:4" x14ac:dyDescent="0.2">
      <c r="A5133" s="5">
        <v>5072</v>
      </c>
      <c r="B5133" s="138">
        <f>'Revenues 9-14'!C124</f>
        <v>93300</v>
      </c>
      <c r="D5133" s="2" t="str">
        <f t="shared" si="79"/>
        <v>Error?</v>
      </c>
    </row>
    <row r="5134" spans="1:4" x14ac:dyDescent="0.2">
      <c r="A5134" s="5">
        <v>5073</v>
      </c>
      <c r="B5134" s="138">
        <f>'Revenues 9-14'!C125</f>
        <v>53386</v>
      </c>
      <c r="D5134" s="2" t="str">
        <f t="shared" si="79"/>
        <v>Error?</v>
      </c>
    </row>
    <row r="5135" spans="1:4" x14ac:dyDescent="0.2">
      <c r="A5135" s="5">
        <v>5074</v>
      </c>
      <c r="B5135" s="138">
        <f>'Revenues 9-14'!C126</f>
        <v>39925</v>
      </c>
      <c r="D5135" s="2" t="str">
        <f t="shared" si="79"/>
        <v>Error?</v>
      </c>
    </row>
    <row r="5136" spans="1:4" x14ac:dyDescent="0.2">
      <c r="A5136" s="10">
        <v>5075</v>
      </c>
      <c r="D5136" s="2" t="str">
        <f t="shared" si="79"/>
        <v>OK</v>
      </c>
    </row>
    <row r="5137" spans="1:4" x14ac:dyDescent="0.2">
      <c r="A5137" s="5">
        <v>5076</v>
      </c>
      <c r="B5137" s="138">
        <f>'Revenues 9-14'!C127</f>
        <v>14725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1628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202964</v>
      </c>
      <c r="C5147" s="2" t="s">
        <v>594</v>
      </c>
      <c r="D5147" s="2" t="str">
        <f t="shared" si="79"/>
        <v>Error?</v>
      </c>
    </row>
    <row r="5148" spans="1:4" x14ac:dyDescent="0.2">
      <c r="A5148" s="5">
        <v>5087</v>
      </c>
      <c r="B5148" s="138">
        <f>'Revenues 9-14'!C133</f>
        <v>8508</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3798</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12306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1703</v>
      </c>
      <c r="D5167" s="2" t="str">
        <f t="shared" si="79"/>
        <v>Error?</v>
      </c>
    </row>
    <row r="5168" spans="1:4" x14ac:dyDescent="0.2">
      <c r="A5168" s="5">
        <v>5107</v>
      </c>
      <c r="B5168" s="138">
        <f>'Revenues 9-14'!C147</f>
        <v>9028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82018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308019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2460457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119935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24887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144822</v>
      </c>
      <c r="C5246" s="2" t="s">
        <v>594</v>
      </c>
      <c r="D5246" s="2" t="str">
        <f t="shared" si="80"/>
        <v>Error?</v>
      </c>
    </row>
    <row r="5247" spans="1:4" x14ac:dyDescent="0.2">
      <c r="A5247" s="5">
        <v>5186</v>
      </c>
      <c r="B5247" s="138">
        <f>'Revenues 9-14'!C203</f>
        <v>88409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88409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59370</v>
      </c>
      <c r="D5274" s="2" t="str">
        <f t="shared" si="81"/>
        <v>Error?</v>
      </c>
    </row>
    <row r="5275" spans="1:4" x14ac:dyDescent="0.2">
      <c r="A5275" s="5">
        <v>5214</v>
      </c>
      <c r="B5275" s="138">
        <f>'Revenues 9-14'!C219</f>
        <v>6250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65620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354914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354914</v>
      </c>
      <c r="C5326" s="2" t="s">
        <v>594</v>
      </c>
      <c r="D5326" s="2" t="str">
        <f t="shared" si="82"/>
        <v>Error?</v>
      </c>
    </row>
    <row r="5327" spans="1:4" x14ac:dyDescent="0.2">
      <c r="A5327" s="5">
        <v>5266</v>
      </c>
      <c r="B5327" s="138">
        <f>'Revenues 9-14'!C275</f>
        <v>6135151</v>
      </c>
      <c r="C5327" s="2" t="s">
        <v>594</v>
      </c>
      <c r="D5327" s="2" t="str">
        <f t="shared" si="82"/>
        <v>Error?</v>
      </c>
    </row>
    <row r="5328" spans="1:4" x14ac:dyDescent="0.2">
      <c r="A5328" s="5">
        <v>5267</v>
      </c>
      <c r="B5328" s="138">
        <f>'Revenues 9-14'!D5</f>
        <v>506334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506334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8246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8246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514580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514580</v>
      </c>
      <c r="C5508" s="2" t="s">
        <v>594</v>
      </c>
      <c r="D5508" s="2" t="str">
        <f t="shared" si="85"/>
        <v>Error?</v>
      </c>
    </row>
    <row r="5509" spans="1:4" x14ac:dyDescent="0.2">
      <c r="A5509" s="5">
        <v>5448</v>
      </c>
      <c r="B5509" s="138">
        <f>'Revenues 9-14'!E5</f>
        <v>1197673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1197673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4967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4967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1202640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1202640</v>
      </c>
      <c r="C5552" s="2" t="s">
        <v>594</v>
      </c>
      <c r="D5552" s="2" t="str">
        <f t="shared" si="85"/>
        <v>Error?</v>
      </c>
    </row>
    <row r="5553" spans="1:4" x14ac:dyDescent="0.2">
      <c r="A5553" s="5">
        <v>5492</v>
      </c>
      <c r="B5553" s="138">
        <f>'Revenues 9-14'!F5</f>
        <v>201841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201841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4833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4833</v>
      </c>
      <c r="C5579" s="2" t="s">
        <v>594</v>
      </c>
      <c r="D5579" s="2" t="str">
        <f t="shared" si="86"/>
        <v>Error?</v>
      </c>
    </row>
    <row r="5580" spans="1:4" x14ac:dyDescent="0.2">
      <c r="A5580" s="5">
        <v>5519</v>
      </c>
      <c r="B5580" s="138">
        <f>'Revenues 9-14'!F65</f>
        <v>6716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6716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2000</v>
      </c>
      <c r="D5586" s="2" t="str">
        <f t="shared" si="86"/>
        <v>Error?</v>
      </c>
    </row>
    <row r="5587" spans="1:4" x14ac:dyDescent="0.2">
      <c r="A5587" s="5">
        <v>5526</v>
      </c>
      <c r="B5587" s="138">
        <f>'Revenues 9-14'!F108</f>
        <v>2000</v>
      </c>
      <c r="C5587" s="2" t="s">
        <v>594</v>
      </c>
      <c r="D5587" s="2" t="str">
        <f t="shared" si="86"/>
        <v>Error?</v>
      </c>
    </row>
    <row r="5588" spans="1:4" x14ac:dyDescent="0.2">
      <c r="A5588" s="5">
        <v>5527</v>
      </c>
      <c r="B5588" s="138">
        <f>'Revenues 9-14'!F109</f>
        <v>215390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394991</v>
      </c>
      <c r="D5615" s="2" t="str">
        <f t="shared" si="86"/>
        <v>Error?</v>
      </c>
    </row>
    <row r="5616" spans="1:4" x14ac:dyDescent="0.2">
      <c r="A5616" s="10">
        <v>5555</v>
      </c>
      <c r="D5616" s="2" t="str">
        <f t="shared" si="86"/>
        <v>OK</v>
      </c>
    </row>
    <row r="5617" spans="1:4" x14ac:dyDescent="0.2">
      <c r="A5617" s="5">
        <v>5556</v>
      </c>
      <c r="B5617" s="138">
        <f>'Revenues 9-14'!F152</f>
        <v>126745</v>
      </c>
      <c r="D5617" s="2" t="str">
        <f t="shared" si="86"/>
        <v>Error?</v>
      </c>
    </row>
    <row r="5618" spans="1:4" x14ac:dyDescent="0.2">
      <c r="A5618" s="5">
        <v>5557</v>
      </c>
      <c r="B5618" s="138">
        <f>'Revenues 9-14'!F154</f>
        <v>521736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521736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521736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737126</v>
      </c>
      <c r="C5720" s="2" t="s">
        <v>594</v>
      </c>
      <c r="D5720" s="2" t="str">
        <f t="shared" si="88"/>
        <v>Error?</v>
      </c>
    </row>
    <row r="5721" spans="1:4" x14ac:dyDescent="0.2">
      <c r="A5721" s="5">
        <v>5660</v>
      </c>
      <c r="B5721" s="138">
        <f>'Revenues 9-14'!G5</f>
        <v>68715</v>
      </c>
      <c r="D5721" s="2" t="str">
        <f t="shared" si="88"/>
        <v>Error?</v>
      </c>
    </row>
    <row r="5722" spans="1:4" x14ac:dyDescent="0.2">
      <c r="A5722" s="5">
        <v>5661</v>
      </c>
      <c r="B5722" s="138">
        <f>'Revenues 9-14'!G7</f>
        <v>0</v>
      </c>
      <c r="D5722" s="2" t="str">
        <f t="shared" si="88"/>
        <v>Error?</v>
      </c>
    </row>
    <row r="5723" spans="1:4" x14ac:dyDescent="0.2">
      <c r="A5723" s="5">
        <v>5662</v>
      </c>
      <c r="B5723" s="138">
        <f>'Revenues 9-14'!G8</f>
        <v>157292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226007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2362</v>
      </c>
      <c r="C5730" s="2" t="s">
        <v>594</v>
      </c>
      <c r="D5730" s="2" t="str">
        <f t="shared" si="88"/>
        <v>Error?</v>
      </c>
    </row>
    <row r="5731" spans="1:4" x14ac:dyDescent="0.2">
      <c r="A5731" s="5">
        <v>5670</v>
      </c>
      <c r="B5731" s="138">
        <f>'Revenues 9-14'!G65</f>
        <v>3356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3356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231725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6995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6995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6995</v>
      </c>
      <c r="C5915" s="2" t="s">
        <v>594</v>
      </c>
      <c r="D5915" s="2" t="str">
        <f t="shared" si="91"/>
        <v>Error?</v>
      </c>
    </row>
    <row r="5916" spans="1:4" x14ac:dyDescent="0.2">
      <c r="A5916" s="5">
        <v>5855</v>
      </c>
      <c r="B5916" s="138">
        <f>'Revenues 9-14'!I5</f>
        <v>50461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50461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16729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16729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67190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50461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50461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15516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15516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65977</v>
      </c>
      <c r="C6023" s="2" t="s">
        <v>594</v>
      </c>
      <c r="D6023" s="2" t="str">
        <f t="shared" si="93"/>
        <v>Error?</v>
      </c>
    </row>
    <row r="6024" spans="1:5" x14ac:dyDescent="0.2">
      <c r="A6024" s="5">
        <v>5963</v>
      </c>
      <c r="B6024" s="138">
        <f>'Revenues 9-14'!G109</f>
        <v>231725</v>
      </c>
      <c r="C6024" s="2" t="s">
        <v>594</v>
      </c>
      <c r="D6024" s="2" t="str">
        <f t="shared" si="93"/>
        <v>Error?</v>
      </c>
    </row>
    <row r="6025" spans="1:5" x14ac:dyDescent="0.2">
      <c r="A6025" s="5">
        <v>5964</v>
      </c>
      <c r="B6025" s="138">
        <f>'Revenues 9-14'!H109</f>
        <v>6995</v>
      </c>
      <c r="C6025" s="2" t="s">
        <v>594</v>
      </c>
      <c r="D6025" s="2" t="str">
        <f t="shared" si="93"/>
        <v>Error?</v>
      </c>
    </row>
    <row r="6026" spans="1:5" x14ac:dyDescent="0.2">
      <c r="A6026" s="5">
        <v>5965</v>
      </c>
      <c r="B6026" s="138">
        <f>'Revenues 9-14'!I109</f>
        <v>67190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65977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96230</v>
      </c>
      <c r="D6031" s="2" t="str">
        <f t="shared" si="93"/>
        <v>Error?</v>
      </c>
    </row>
    <row r="6032" spans="1:5" x14ac:dyDescent="0.2">
      <c r="A6032" s="5">
        <v>5971</v>
      </c>
      <c r="B6032" s="138">
        <f>'Acct Summary 7-8'!G15</f>
        <v>14061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24253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757.74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837921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837921</v>
      </c>
      <c r="D6215" s="2" t="str">
        <f t="shared" si="96"/>
        <v>Error?</v>
      </c>
      <c r="E6215" s="2" t="s">
        <v>199</v>
      </c>
    </row>
    <row r="6216" spans="1:5" x14ac:dyDescent="0.2">
      <c r="A6216">
        <v>6155</v>
      </c>
      <c r="B6216" s="138">
        <f>'Assets-Liab 5-6'!J41</f>
        <v>837921</v>
      </c>
      <c r="D6216" s="2" t="str">
        <f t="shared" si="96"/>
        <v>Error?</v>
      </c>
      <c r="E6216" s="2" t="s">
        <v>199</v>
      </c>
    </row>
    <row r="6217" spans="1:5" x14ac:dyDescent="0.2">
      <c r="A6217">
        <v>6156</v>
      </c>
      <c r="B6217" s="138">
        <f>'Assets-Liab 5-6'!J4</f>
        <v>587436</v>
      </c>
      <c r="D6217" s="2" t="str">
        <f t="shared" si="96"/>
        <v>Error?</v>
      </c>
      <c r="E6217" s="2" t="s">
        <v>199</v>
      </c>
    </row>
    <row r="6218" spans="1:5" x14ac:dyDescent="0.2">
      <c r="A6218">
        <v>6157</v>
      </c>
      <c r="B6218" s="138">
        <f>'Assets-Liab 5-6'!J5</f>
        <v>250485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862386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862386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862386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788642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788642</v>
      </c>
      <c r="D6229" s="2" t="str">
        <f t="shared" si="96"/>
        <v>Error?</v>
      </c>
      <c r="E6229" s="2" t="s">
        <v>199</v>
      </c>
    </row>
    <row r="6230" spans="1:5" x14ac:dyDescent="0.2">
      <c r="A6230">
        <v>6169</v>
      </c>
      <c r="B6230" s="138">
        <f>'Acct Summary 7-8'!J20</f>
        <v>73744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500000</v>
      </c>
      <c r="D6260" s="2" t="str">
        <f t="shared" si="96"/>
        <v>Error?</v>
      </c>
      <c r="E6260" s="2" t="s">
        <v>199</v>
      </c>
    </row>
    <row r="6261" spans="1:5" x14ac:dyDescent="0.2">
      <c r="A6261">
        <v>6200</v>
      </c>
      <c r="B6261" s="138">
        <f>'Acct Summary 7-8'!J76</f>
        <v>500000</v>
      </c>
      <c r="D6261" s="2" t="str">
        <f t="shared" si="96"/>
        <v>Error?</v>
      </c>
      <c r="E6261" s="2" t="s">
        <v>199</v>
      </c>
    </row>
    <row r="6262" spans="1:5" x14ac:dyDescent="0.2">
      <c r="A6262">
        <v>6201</v>
      </c>
      <c r="B6262" s="138">
        <f>'Acct Summary 7-8'!J77</f>
        <v>-500000</v>
      </c>
      <c r="D6262" s="2" t="str">
        <f t="shared" si="96"/>
        <v>Error?</v>
      </c>
      <c r="E6262" s="2" t="s">
        <v>199</v>
      </c>
    </row>
    <row r="6263" spans="1:5" x14ac:dyDescent="0.2">
      <c r="A6263">
        <v>6202</v>
      </c>
      <c r="B6263" s="138">
        <f>'Acct Summary 7-8'!J78</f>
        <v>-426256</v>
      </c>
      <c r="D6263" s="2" t="str">
        <f t="shared" si="96"/>
        <v>Error?</v>
      </c>
      <c r="E6263" s="2" t="s">
        <v>199</v>
      </c>
    </row>
    <row r="6264" spans="1:5" x14ac:dyDescent="0.2">
      <c r="A6264">
        <v>6203</v>
      </c>
      <c r="B6264" s="138">
        <f>'Acct Summary 7-8'!J79</f>
        <v>1264177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837921</v>
      </c>
      <c r="D6266" s="2" t="str">
        <f t="shared" si="96"/>
        <v>Error?</v>
      </c>
      <c r="E6266" s="2" t="s">
        <v>199</v>
      </c>
    </row>
    <row r="6267" spans="1:5" x14ac:dyDescent="0.2">
      <c r="A6267">
        <v>6206</v>
      </c>
      <c r="B6267" s="138">
        <f>'Acct Summary 7-8'!C82</f>
        <v>504179</v>
      </c>
      <c r="D6267" s="2" t="str">
        <f t="shared" si="96"/>
        <v>Error?</v>
      </c>
      <c r="E6267" s="2" t="s">
        <v>199</v>
      </c>
    </row>
    <row r="6268" spans="1:5" x14ac:dyDescent="0.2">
      <c r="A6268">
        <v>6207</v>
      </c>
      <c r="B6268" s="138">
        <f>'Acct Summary 7-8'!D82</f>
        <v>487185</v>
      </c>
      <c r="D6268" s="2" t="str">
        <f t="shared" si="96"/>
        <v>Error?</v>
      </c>
      <c r="E6268" s="2" t="s">
        <v>199</v>
      </c>
    </row>
    <row r="6269" spans="1:5" x14ac:dyDescent="0.2">
      <c r="A6269">
        <v>6208</v>
      </c>
      <c r="B6269" s="138">
        <f>'Acct Summary 7-8'!E82</f>
        <v>-122195</v>
      </c>
      <c r="D6269" s="2" t="str">
        <f t="shared" si="96"/>
        <v>Error?</v>
      </c>
      <c r="E6269" s="2" t="s">
        <v>199</v>
      </c>
    </row>
    <row r="6270" spans="1:5" x14ac:dyDescent="0.2">
      <c r="A6270">
        <v>6209</v>
      </c>
      <c r="B6270" s="138">
        <f>'Acct Summary 7-8'!F82</f>
        <v>154618</v>
      </c>
      <c r="D6270" s="2" t="str">
        <f t="shared" si="96"/>
        <v>Error?</v>
      </c>
      <c r="E6270" s="2" t="s">
        <v>199</v>
      </c>
    </row>
    <row r="6271" spans="1:5" x14ac:dyDescent="0.2">
      <c r="A6271">
        <v>6210</v>
      </c>
      <c r="B6271" s="138">
        <f>'Acct Summary 7-8'!G82</f>
        <v>52894</v>
      </c>
      <c r="D6271" s="2" t="str">
        <f t="shared" ref="D6271:D6334" si="97">IF(ISBLANK(B6271),"OK",IF(A6271-B6271=0,"OK","Error?"))</f>
        <v>Error?</v>
      </c>
      <c r="E6271" s="2" t="s">
        <v>199</v>
      </c>
    </row>
    <row r="6272" spans="1:5" x14ac:dyDescent="0.2">
      <c r="A6272">
        <v>6211</v>
      </c>
      <c r="B6272" s="138">
        <f>'Acct Summary 7-8'!H82</f>
        <v>-76163</v>
      </c>
      <c r="D6272" s="2" t="str">
        <f t="shared" si="97"/>
        <v>Error?</v>
      </c>
      <c r="E6272" s="2" t="s">
        <v>199</v>
      </c>
    </row>
    <row r="6273" spans="1:5" x14ac:dyDescent="0.2">
      <c r="A6273">
        <v>6212</v>
      </c>
      <c r="B6273" s="138">
        <f>'Acct Summary 7-8'!I82</f>
        <v>-520378</v>
      </c>
      <c r="D6273" s="2" t="str">
        <f t="shared" si="97"/>
        <v>Error?</v>
      </c>
      <c r="E6273" s="2" t="s">
        <v>199</v>
      </c>
    </row>
    <row r="6274" spans="1:5" x14ac:dyDescent="0.2">
      <c r="A6274">
        <v>6213</v>
      </c>
      <c r="B6274" s="138">
        <f>'Acct Summary 7-8'!J82</f>
        <v>-426256</v>
      </c>
      <c r="D6274" s="2" t="str">
        <f t="shared" si="97"/>
        <v>Error?</v>
      </c>
      <c r="E6274" s="2" t="s">
        <v>199</v>
      </c>
    </row>
    <row r="6275" spans="1:5" x14ac:dyDescent="0.2">
      <c r="A6275">
        <v>6214</v>
      </c>
      <c r="B6275" s="138">
        <f>'Acct Summary 7-8'!K82</f>
        <v>-306561</v>
      </c>
      <c r="D6275" s="2" t="str">
        <f t="shared" si="97"/>
        <v>Error?</v>
      </c>
      <c r="E6275" s="2" t="s">
        <v>199</v>
      </c>
    </row>
    <row r="6276" spans="1:5" x14ac:dyDescent="0.2">
      <c r="A6276">
        <v>6215</v>
      </c>
      <c r="B6276" s="138">
        <f>'Acct Summary 7-8'!C83</f>
        <v>0.15702250261689119</v>
      </c>
      <c r="D6276" s="2" t="str">
        <f t="shared" si="97"/>
        <v>Error?</v>
      </c>
      <c r="E6276" s="2" t="s">
        <v>199</v>
      </c>
    </row>
    <row r="6277" spans="1:5" x14ac:dyDescent="0.2">
      <c r="A6277">
        <v>6216</v>
      </c>
      <c r="B6277" s="138">
        <f>'Acct Summary 7-8'!D83</f>
        <v>0.503639923583314</v>
      </c>
      <c r="D6277" s="2" t="str">
        <f t="shared" si="97"/>
        <v>Error?</v>
      </c>
      <c r="E6277" s="2" t="s">
        <v>199</v>
      </c>
    </row>
    <row r="6278" spans="1:5" x14ac:dyDescent="0.2">
      <c r="A6278">
        <v>6217</v>
      </c>
      <c r="B6278" s="138">
        <f>'Acct Summary 7-8'!E83</f>
        <v>-0.22036890759636574</v>
      </c>
      <c r="D6278" s="2" t="str">
        <f t="shared" si="97"/>
        <v>Error?</v>
      </c>
      <c r="E6278" s="2" t="s">
        <v>199</v>
      </c>
    </row>
    <row r="6279" spans="1:5" x14ac:dyDescent="0.2">
      <c r="A6279">
        <v>6218</v>
      </c>
      <c r="B6279" s="138">
        <f>'Acct Summary 7-8'!F83</f>
        <v>0.19009178913824432</v>
      </c>
      <c r="D6279" s="2" t="str">
        <f t="shared" si="97"/>
        <v>Error?</v>
      </c>
      <c r="E6279" s="2" t="s">
        <v>199</v>
      </c>
    </row>
    <row r="6280" spans="1:5" x14ac:dyDescent="0.2">
      <c r="A6280">
        <v>6219</v>
      </c>
      <c r="B6280" s="138">
        <f>'Acct Summary 7-8'!G83</f>
        <v>0.14954523479003334</v>
      </c>
      <c r="D6280" s="2" t="str">
        <f t="shared" si="97"/>
        <v>Error?</v>
      </c>
      <c r="E6280" s="2" t="s">
        <v>199</v>
      </c>
    </row>
    <row r="6281" spans="1:5" x14ac:dyDescent="0.2">
      <c r="A6281">
        <v>6220</v>
      </c>
      <c r="B6281" s="138">
        <f>'Acct Summary 7-8'!H83</f>
        <v>-6.5693550279117593E-2</v>
      </c>
      <c r="D6281" s="2" t="str">
        <f t="shared" si="97"/>
        <v>Error?</v>
      </c>
      <c r="E6281" s="2" t="s">
        <v>199</v>
      </c>
    </row>
    <row r="6282" spans="1:5" x14ac:dyDescent="0.2">
      <c r="A6282">
        <v>6221</v>
      </c>
      <c r="B6282" s="138">
        <f>'Acct Summary 7-8'!I83</f>
        <v>-0.65241751973069717</v>
      </c>
      <c r="D6282" s="2" t="str">
        <f t="shared" si="97"/>
        <v>Error?</v>
      </c>
      <c r="E6282" s="2" t="s">
        <v>199</v>
      </c>
    </row>
    <row r="6283" spans="1:5" x14ac:dyDescent="0.2">
      <c r="A6283">
        <v>6222</v>
      </c>
      <c r="B6283" s="138">
        <f>'Acct Summary 7-8'!J83</f>
        <v>-0.50870666805104536</v>
      </c>
      <c r="D6283" s="2" t="str">
        <f t="shared" si="97"/>
        <v>Error?</v>
      </c>
      <c r="E6283" s="2" t="s">
        <v>199</v>
      </c>
    </row>
    <row r="6284" spans="1:5" x14ac:dyDescent="0.2">
      <c r="A6284">
        <v>6223</v>
      </c>
      <c r="B6284" s="138">
        <f>'Acct Summary 7-8'!K83</f>
        <v>-0.22907329335124707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84300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852250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852250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10136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10136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12250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862386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363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363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363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363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788642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862386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24989</v>
      </c>
      <c r="D7093" s="2" t="str">
        <f t="shared" si="109"/>
        <v>Error?</v>
      </c>
    </row>
    <row r="7094" spans="1:4" x14ac:dyDescent="0.2">
      <c r="A7094">
        <v>7033</v>
      </c>
      <c r="B7094" s="138">
        <f>'Expenditures 15-22'!K254</f>
        <v>24989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4657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4657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119710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119710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8479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8479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449671</v>
      </c>
      <c r="D7172" s="2" t="str">
        <f t="shared" si="111"/>
        <v>Error?</v>
      </c>
    </row>
    <row r="7173" spans="1:4" x14ac:dyDescent="0.2">
      <c r="A7173">
        <v>7112</v>
      </c>
      <c r="B7173" s="138">
        <f>'Expenditures 15-22'!D325</f>
        <v>131879</v>
      </c>
      <c r="D7173" s="2" t="str">
        <f t="shared" si="111"/>
        <v>Error?</v>
      </c>
    </row>
    <row r="7174" spans="1:4" x14ac:dyDescent="0.2">
      <c r="A7174">
        <v>7113</v>
      </c>
      <c r="B7174" s="138">
        <f>'Expenditures 15-22'!E325</f>
        <v>18437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51180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651167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4629</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4629</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449671</v>
      </c>
      <c r="D7199" s="2" t="str">
        <f t="shared" si="111"/>
        <v>Error?</v>
      </c>
    </row>
    <row r="7200" spans="1:4" x14ac:dyDescent="0.2">
      <c r="A7200">
        <v>7139</v>
      </c>
      <c r="B7200" s="138">
        <f>'Expenditures 15-22'!D330</f>
        <v>131879</v>
      </c>
      <c r="D7200" s="2" t="str">
        <f t="shared" si="111"/>
        <v>Error?</v>
      </c>
    </row>
    <row r="7201" spans="1:4" x14ac:dyDescent="0.2">
      <c r="A7201">
        <v>7140</v>
      </c>
      <c r="B7201" s="138">
        <f>'Expenditures 15-22'!E330</f>
        <v>155912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51180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788642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449671</v>
      </c>
      <c r="D7216" s="2" t="str">
        <f t="shared" si="111"/>
        <v>Error?</v>
      </c>
    </row>
    <row r="7217" spans="1:4" x14ac:dyDescent="0.2">
      <c r="A7217">
        <v>7156</v>
      </c>
      <c r="B7217" s="138">
        <f>'Expenditures 15-22'!D342</f>
        <v>131879</v>
      </c>
      <c r="D7217" s="2" t="str">
        <f t="shared" si="111"/>
        <v>Error?</v>
      </c>
    </row>
    <row r="7218" spans="1:4" x14ac:dyDescent="0.2">
      <c r="A7218">
        <v>7157</v>
      </c>
      <c r="B7218" s="138">
        <f>'Expenditures 15-22'!E342</f>
        <v>155912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51180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788642</v>
      </c>
      <c r="D7224" s="2" t="str">
        <f t="shared" si="111"/>
        <v>Error?</v>
      </c>
    </row>
    <row r="7225" spans="1:4" x14ac:dyDescent="0.2">
      <c r="A7225">
        <v>7164</v>
      </c>
      <c r="B7225" s="138">
        <f>'Expenditures 15-22'!K343</f>
        <v>73744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363</v>
      </c>
      <c r="D7624" s="2" t="str">
        <f t="shared" si="124"/>
        <v>Error?</v>
      </c>
      <c r="E7624" s="2" t="s">
        <v>19</v>
      </c>
    </row>
    <row r="7625" spans="1:5" x14ac:dyDescent="0.2">
      <c r="A7625">
        <f t="shared" si="123"/>
        <v>7564</v>
      </c>
      <c r="B7625" s="138">
        <f>'Cap Outlay Deprec 26'!I17</f>
        <v>36.299999999999997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604263.30000000005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12250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9028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21278</v>
      </c>
      <c r="D7719" s="2" t="str">
        <f t="shared" si="126"/>
        <v>Error?</v>
      </c>
      <c r="E7719" s="2" t="s">
        <v>881</v>
      </c>
    </row>
    <row r="7720" spans="1:6" x14ac:dyDescent="0.2">
      <c r="A7720">
        <v>7659</v>
      </c>
      <c r="B7720" s="138">
        <f>'Rest Tax Levies-Tort Im 25'!H14</f>
        <v>40367</v>
      </c>
      <c r="D7720" s="2" t="str">
        <f t="shared" si="126"/>
        <v>Error?</v>
      </c>
      <c r="E7720" s="2" t="s">
        <v>881</v>
      </c>
    </row>
    <row r="7721" spans="1:6" x14ac:dyDescent="0.2">
      <c r="A7721">
        <v>7660</v>
      </c>
      <c r="B7721" s="138">
        <f>'Rest Tax Levies-Tort Im 25'!K14</f>
        <v>21278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587568</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1916</v>
      </c>
      <c r="D7783" s="2" t="str">
        <f t="shared" si="127"/>
        <v>Error?</v>
      </c>
      <c r="E7783" s="4" t="s">
        <v>1967</v>
      </c>
    </row>
    <row r="7784" spans="1:5" x14ac:dyDescent="0.2">
      <c r="A7784">
        <v>7723</v>
      </c>
      <c r="B7784" s="138">
        <f>'Expenditures 15-22'!K282</f>
        <v>1916</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Forrestville Valley CUSD 221</v>
      </c>
      <c r="B7" s="2401"/>
      <c r="C7" s="2401"/>
      <c r="D7" s="2438"/>
      <c r="E7" s="2439">
        <f>COVER!A13</f>
        <v>47071221026</v>
      </c>
      <c r="F7" s="2440"/>
      <c r="G7" s="2407" t="str">
        <f>COVER!T23</f>
        <v>066-004023</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Wipfli LLP</v>
      </c>
      <c r="H9" s="2414"/>
      <c r="I9" s="2414"/>
      <c r="J9" s="2414"/>
      <c r="K9" s="2414"/>
      <c r="L9" s="2415"/>
    </row>
    <row r="10" spans="1:29" ht="13.5" customHeight="1" x14ac:dyDescent="0.2">
      <c r="A10" s="2397" t="str">
        <f>COVER!A38</f>
        <v>Sheri Smith</v>
      </c>
      <c r="B10" s="2398"/>
      <c r="C10" s="2398"/>
      <c r="D10" s="2398"/>
      <c r="E10" s="2398"/>
      <c r="F10" s="2399"/>
      <c r="G10" s="2413" t="str">
        <f>COVER!T17</f>
        <v>403 East Third</v>
      </c>
      <c r="H10" s="2426"/>
      <c r="I10" s="2426"/>
      <c r="J10" s="2426"/>
      <c r="K10" s="2426"/>
      <c r="L10" s="2427"/>
    </row>
    <row r="11" spans="1:29" ht="13.5" customHeight="1" x14ac:dyDescent="0.2">
      <c r="A11" s="1185" t="s">
        <v>1599</v>
      </c>
      <c r="B11" s="1186"/>
      <c r="C11" s="1187"/>
      <c r="D11" s="1192"/>
      <c r="E11" s="1187"/>
      <c r="F11" s="1191"/>
      <c r="G11" s="2413" t="str">
        <f>COVER!T19</f>
        <v>Sterling</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mschueler@wipfli.com</v>
      </c>
      <c r="J13" s="2435"/>
      <c r="K13" s="2435"/>
      <c r="L13" s="2436"/>
    </row>
    <row r="14" spans="1:29" ht="13.5" customHeight="1" x14ac:dyDescent="0.2">
      <c r="A14" s="2413" t="str">
        <f>COVER!A19</f>
        <v>PO Box 665</v>
      </c>
      <c r="B14" s="2426"/>
      <c r="C14" s="2426"/>
      <c r="D14" s="2426"/>
      <c r="E14" s="2426"/>
      <c r="F14" s="2427"/>
      <c r="G14" s="1196" t="s">
        <v>1247</v>
      </c>
      <c r="H14" s="1194"/>
      <c r="I14" s="1194"/>
      <c r="J14" s="1194"/>
      <c r="K14" s="1194"/>
      <c r="L14" s="1195"/>
    </row>
    <row r="15" spans="1:29" ht="13.5" customHeight="1" x14ac:dyDescent="0.2">
      <c r="A15" s="2413" t="str">
        <f>COVER!A21</f>
        <v>Forreston</v>
      </c>
      <c r="B15" s="2426"/>
      <c r="C15" s="2426"/>
      <c r="D15" s="2426"/>
      <c r="E15" s="2426"/>
      <c r="F15" s="2427"/>
      <c r="G15" s="2423" t="str">
        <f>COVER!T15</f>
        <v>Matthew Schueler</v>
      </c>
      <c r="H15" s="2424"/>
      <c r="I15" s="2424"/>
      <c r="J15" s="2424"/>
      <c r="K15" s="2424"/>
      <c r="L15" s="2425"/>
    </row>
    <row r="16" spans="1:29" ht="12.2" customHeight="1" x14ac:dyDescent="0.2">
      <c r="A16" s="2403">
        <f>COVER!A25</f>
        <v>0</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1246</v>
      </c>
      <c r="H17" s="1194"/>
      <c r="I17" s="1194"/>
      <c r="J17" s="1194"/>
      <c r="K17" s="1198" t="s">
        <v>1245</v>
      </c>
      <c r="L17" s="1191"/>
      <c r="M17" s="1184"/>
    </row>
    <row r="18" spans="1:13" ht="12.2" customHeight="1" x14ac:dyDescent="0.2">
      <c r="A18" s="2397"/>
      <c r="B18" s="2398"/>
      <c r="C18" s="2398"/>
      <c r="D18" s="2398"/>
      <c r="E18" s="2398"/>
      <c r="F18" s="2399"/>
      <c r="G18" s="2400" t="str">
        <f>COVER!T21</f>
        <v>815-626-1277</v>
      </c>
      <c r="H18" s="2401"/>
      <c r="I18" s="2401"/>
      <c r="J18" s="2401"/>
      <c r="K18" s="2400" t="str">
        <f>COVER!X21</f>
        <v>815-626-9118</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29" sqref="B2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Forrestville Valley CUSD 221</v>
      </c>
      <c r="B1" s="2437"/>
      <c r="C1" s="2437"/>
      <c r="D1" s="2437"/>
    </row>
    <row r="2" spans="1:11" s="1215" customFormat="1" ht="12.75" x14ac:dyDescent="0.2">
      <c r="A2" s="2442">
        <f>'Single Audit Cover'!E7</f>
        <v>47071221026</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Forrestville Valley CUSD 221</v>
      </c>
      <c r="B1" s="2445"/>
      <c r="C1" s="2445"/>
      <c r="D1" s="2445"/>
      <c r="E1" s="2445"/>
    </row>
    <row r="2" spans="1:5" x14ac:dyDescent="0.2">
      <c r="A2" s="2446">
        <f>'Single Audit Cover'!E7</f>
        <v>47071221026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354914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24253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-11227</v>
      </c>
    </row>
    <row r="19" spans="1:4" ht="13.5" thickBot="1" x14ac:dyDescent="0.25">
      <c r="A19" s="1265" t="s">
        <v>1297</v>
      </c>
      <c r="D19" s="1266">
        <f>SUM(D10:D17)</f>
        <v>367940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367940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367940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29" sqref="B2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Forrestville Valley CUSD 221</v>
      </c>
      <c r="B1" s="2450"/>
      <c r="C1" s="2450"/>
      <c r="D1" s="2450"/>
      <c r="E1" s="2450"/>
      <c r="F1" s="2450"/>
    </row>
    <row r="2" spans="1:7" ht="13.5" customHeight="1" x14ac:dyDescent="0.2">
      <c r="A2" s="2451">
        <f>'Single Audit Cover'!E7</f>
        <v>47071221026</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0.9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9">
        <f>+C33+C34</f>
        <v>0</v>
      </c>
      <c r="F34" s="2460"/>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70"/>
      <c r="C50" s="1870"/>
      <c r="D50" s="1870"/>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2096</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2104</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t="s">
        <v>2101</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2077</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 xml:space="preserve">&amp;C </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15" sqref="K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Forrestville Valley CUSD 221</v>
      </c>
      <c r="C1" s="2462"/>
      <c r="D1" s="2462"/>
      <c r="E1" s="2462"/>
      <c r="F1" s="2462"/>
      <c r="G1" s="2462"/>
      <c r="H1" s="2462"/>
      <c r="I1" s="2462"/>
      <c r="J1" s="2462"/>
      <c r="K1" s="2462"/>
      <c r="L1" s="2462"/>
      <c r="M1" s="2462"/>
    </row>
    <row r="2" spans="2:14" ht="15" x14ac:dyDescent="0.2">
      <c r="B2" s="2451">
        <f>'Single Audit Cover'!E7</f>
        <v>47071221026</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29" sqref="B2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Forrestville Valley CUSD 221</v>
      </c>
      <c r="C1" s="2470"/>
      <c r="D1" s="2470"/>
      <c r="E1" s="2470"/>
      <c r="F1" s="2470"/>
      <c r="G1" s="2470"/>
      <c r="H1" s="2470"/>
      <c r="I1" s="2470"/>
      <c r="J1" s="1422"/>
    </row>
    <row r="2" spans="2:10" s="317" customFormat="1" ht="12.75" customHeight="1" x14ac:dyDescent="0.2">
      <c r="B2" s="2471">
        <f>'Single Audit Cover'!E7</f>
        <v>47071221026</v>
      </c>
      <c r="C2" s="2472"/>
      <c r="D2" s="2472"/>
      <c r="E2" s="2472"/>
      <c r="F2" s="2472"/>
      <c r="G2" s="2472"/>
      <c r="H2" s="2472"/>
      <c r="I2" s="2472"/>
      <c r="J2" s="1422"/>
    </row>
    <row r="3" spans="2:10" s="317" customFormat="1" ht="12.75" customHeight="1" x14ac:dyDescent="0.2">
      <c r="B3" s="2473" t="s">
        <v>1347</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1346</v>
      </c>
      <c r="C7" s="2474"/>
      <c r="D7" s="2474"/>
      <c r="E7" s="2474"/>
      <c r="F7" s="2474"/>
      <c r="G7" s="2474"/>
      <c r="H7" s="2474"/>
      <c r="I7" s="247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5"/>
      <c r="D11" s="247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6"/>
      <c r="E29" s="2476"/>
      <c r="F29" s="2476"/>
      <c r="G29" s="2476"/>
      <c r="H29" s="2476"/>
      <c r="I29" s="247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7" t="s">
        <v>1854</v>
      </c>
      <c r="D37" s="2478"/>
      <c r="E37" s="2478"/>
      <c r="F37" s="2479"/>
      <c r="G37" s="2477" t="s">
        <v>1674</v>
      </c>
      <c r="H37" s="2478"/>
      <c r="I37" s="2479"/>
    </row>
    <row r="38" spans="2:9" ht="16.5" customHeight="1" x14ac:dyDescent="0.2">
      <c r="B38" s="1444"/>
      <c r="C38" s="2465"/>
      <c r="D38" s="2466"/>
      <c r="E38" s="2466"/>
      <c r="F38" s="2467"/>
      <c r="G38" s="2480"/>
      <c r="H38" s="2481"/>
      <c r="I38" s="2482"/>
    </row>
    <row r="39" spans="2:9" ht="16.5" customHeight="1" x14ac:dyDescent="0.2">
      <c r="B39" s="1444"/>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1952</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Forrestville Valley CUSD 221</v>
      </c>
      <c r="C1" s="2469"/>
      <c r="D1" s="2469"/>
      <c r="E1" s="2469"/>
      <c r="F1" s="2469"/>
      <c r="G1" s="2469"/>
      <c r="H1" s="2469"/>
      <c r="I1" s="2469"/>
      <c r="J1" s="2469"/>
      <c r="K1" s="2469"/>
      <c r="L1" s="1374"/>
      <c r="M1" s="1374"/>
    </row>
    <row r="2" spans="1:13" ht="12" customHeight="1" x14ac:dyDescent="0.2">
      <c r="B2" s="2471">
        <f>'Single Audit Cover'!E7</f>
        <v>47071221026</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Forrestville Valley CUSD 221</v>
      </c>
      <c r="C1" s="2496"/>
      <c r="D1" s="2496"/>
      <c r="E1" s="2496"/>
      <c r="F1" s="2496"/>
      <c r="G1" s="2496"/>
      <c r="H1" s="2496"/>
      <c r="I1" s="2496"/>
      <c r="J1" s="2496"/>
      <c r="K1" s="2496"/>
      <c r="L1" s="1465"/>
    </row>
    <row r="2" spans="1:12" ht="12.75" customHeight="1" x14ac:dyDescent="0.2">
      <c r="B2" s="2497">
        <f>'Single Audit Cover'!E7</f>
        <v>47071221026</v>
      </c>
      <c r="C2" s="2497"/>
      <c r="D2" s="2497"/>
      <c r="E2" s="2497"/>
      <c r="F2" s="2497"/>
      <c r="G2" s="2497"/>
      <c r="H2" s="2497"/>
      <c r="I2" s="2497"/>
      <c r="J2" s="2497"/>
      <c r="K2" s="2497"/>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6"/>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29" sqref="B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Forrestville Valley CUSD 221</v>
      </c>
      <c r="C1" s="2469"/>
      <c r="D1" s="2469"/>
      <c r="E1" s="1491"/>
    </row>
    <row r="2" spans="2:5" s="1282" customFormat="1" ht="12.75" customHeight="1" x14ac:dyDescent="0.2">
      <c r="B2" s="2471">
        <f>'Single Audit Cover'!E7</f>
        <v>47071221026</v>
      </c>
      <c r="C2" s="2471"/>
      <c r="D2" s="2471"/>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Normal="100" workbookViewId="0">
      <selection sqref="A1:F1"/>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104468838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2.4299999999999999E-2</v>
      </c>
      <c r="E10" s="356" t="s">
        <v>1062</v>
      </c>
      <c r="F10" s="355">
        <v>5.0000000000000001E-3</v>
      </c>
      <c r="G10" s="356" t="s">
        <v>1062</v>
      </c>
      <c r="H10" s="355">
        <v>2E-3</v>
      </c>
      <c r="I10" s="356" t="s">
        <v>1063</v>
      </c>
      <c r="J10" s="1754">
        <f>ROUND(D10+F10+H10,5)</f>
        <v>3.1300000000000001E-2</v>
      </c>
      <c r="K10" s="222"/>
      <c r="L10" s="355">
        <v>5.0000000000000001E-3</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7454047</v>
      </c>
      <c r="E16" s="356"/>
      <c r="F16" s="1755">
        <f>SUM('Acct Summary 7-8'!C17,'Acct Summary 7-8'!D17,'Acct Summary 7-8'!F17)</f>
        <v>6825175</v>
      </c>
      <c r="G16" s="356"/>
      <c r="H16" s="1755">
        <f>SUM(D16-F16)</f>
        <v>628872</v>
      </c>
      <c r="I16" s="222"/>
      <c r="J16" s="1755">
        <f>SUM('Acct Summary 7-8'!C81,'Acct Summary 7-8'!D81,'Acct Summary 7-8'!F81,'Acct Summary 7-8'!I81)</f>
        <v>5789200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14416699.644000001</v>
      </c>
      <c r="I31" s="368"/>
      <c r="J31" s="222"/>
      <c r="K31" s="222"/>
      <c r="L31" s="222"/>
      <c r="M31" s="222"/>
    </row>
    <row r="32" spans="1:13" ht="13.35" customHeight="1" x14ac:dyDescent="0.2">
      <c r="B32" s="369" t="s">
        <v>2096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5834552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Forrestville Valley CUSD 221</v>
      </c>
      <c r="E7" s="391"/>
      <c r="G7" s="252"/>
      <c r="H7" s="387"/>
      <c r="I7" s="387"/>
      <c r="J7" s="387"/>
      <c r="K7" s="387"/>
      <c r="L7" s="329"/>
      <c r="M7" s="329"/>
      <c r="N7" s="329"/>
      <c r="O7" s="329"/>
      <c r="P7" s="329"/>
    </row>
    <row r="8" spans="1:18" ht="12.75" x14ac:dyDescent="0.2">
      <c r="A8" s="329"/>
      <c r="B8" s="329"/>
      <c r="C8" s="389" t="s">
        <v>1187</v>
      </c>
      <c r="D8" s="392">
        <f>COVER!A13</f>
        <v>47071221026</v>
      </c>
      <c r="E8" s="393"/>
      <c r="G8" s="329"/>
      <c r="H8" s="329"/>
      <c r="I8" s="329"/>
      <c r="J8" s="329"/>
      <c r="K8" s="329"/>
      <c r="L8" s="329"/>
      <c r="M8" s="329"/>
      <c r="N8" s="329"/>
      <c r="O8" s="329"/>
      <c r="P8" s="329"/>
    </row>
    <row r="9" spans="1:18" ht="12.75" x14ac:dyDescent="0.2">
      <c r="A9" s="329"/>
      <c r="B9" s="329"/>
      <c r="C9" s="389" t="s">
        <v>737</v>
      </c>
      <c r="D9" s="394" t="str">
        <f>COVER!A15</f>
        <v xml:space="preserve">Ogle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5789200</v>
      </c>
      <c r="I12" s="404"/>
      <c r="J12" s="404"/>
      <c r="K12" s="405">
        <f>TRUNC((H12/H13*100000),5)/100000</f>
        <v>0.7766519314</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7454047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6825175</v>
      </c>
      <c r="I17" s="404"/>
      <c r="J17" s="416"/>
      <c r="K17" s="405">
        <f>TRUNC((H17/H18*100000),5)/100000</f>
        <v>0.91563348069999995</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7454047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5789200</v>
      </c>
      <c r="I24" s="422"/>
      <c r="J24" s="422"/>
      <c r="K24" s="423">
        <f>TRUNC(((H24/H25*100000)/100000),2)</f>
        <v>305.35000000000002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18958.819439999999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2779393.43499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5834552</v>
      </c>
      <c r="I32" s="420"/>
      <c r="J32" s="420"/>
      <c r="K32" s="423">
        <f>TRUNC(100-((((H32/H33*100))*100)/100),2)</f>
        <v>59.52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14416699.644000001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selection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3210871</v>
      </c>
      <c r="D4" s="466">
        <v>686156</v>
      </c>
      <c r="E4" s="466">
        <v>362818</v>
      </c>
      <c r="F4" s="466">
        <v>643466</v>
      </c>
      <c r="G4" s="466">
        <v>232546</v>
      </c>
      <c r="H4" s="466">
        <v>306780</v>
      </c>
      <c r="I4" s="466">
        <v>723532</v>
      </c>
      <c r="J4" s="467">
        <v>587436</v>
      </c>
      <c r="K4" s="466">
        <v>1151714</v>
      </c>
      <c r="L4" s="466">
        <v>112327</v>
      </c>
      <c r="M4" s="468"/>
      <c r="N4" s="469"/>
    </row>
    <row r="5" spans="1:14" x14ac:dyDescent="0.2">
      <c r="A5" s="463" t="s">
        <v>1049</v>
      </c>
      <c r="B5" s="470">
        <v>120</v>
      </c>
      <c r="C5" s="465"/>
      <c r="D5" s="466">
        <v>281172</v>
      </c>
      <c r="E5" s="466">
        <v>191684</v>
      </c>
      <c r="F5" s="466">
        <v>169920</v>
      </c>
      <c r="G5" s="466">
        <v>121153</v>
      </c>
      <c r="H5" s="466">
        <v>852588</v>
      </c>
      <c r="I5" s="466">
        <v>74083</v>
      </c>
      <c r="J5" s="467">
        <v>250485</v>
      </c>
      <c r="K5" s="471">
        <v>186552</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3210871</v>
      </c>
      <c r="D13" s="1759">
        <f t="shared" ref="D13:L13" si="0">SUM(D4:D12)</f>
        <v>967328</v>
      </c>
      <c r="E13" s="1759">
        <f t="shared" si="0"/>
        <v>554502</v>
      </c>
      <c r="F13" s="1759">
        <f t="shared" si="0"/>
        <v>813386</v>
      </c>
      <c r="G13" s="1759">
        <f t="shared" si="0"/>
        <v>353699</v>
      </c>
      <c r="H13" s="1759">
        <f t="shared" si="0"/>
        <v>1159368</v>
      </c>
      <c r="I13" s="1759">
        <f t="shared" si="0"/>
        <v>797615</v>
      </c>
      <c r="J13" s="1759">
        <f t="shared" si="0"/>
        <v>837921</v>
      </c>
      <c r="K13" s="1759">
        <f t="shared" si="0"/>
        <v>1338266</v>
      </c>
      <c r="L13" s="1759">
        <f t="shared" si="0"/>
        <v>112327</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77950</v>
      </c>
      <c r="N16" s="484"/>
    </row>
    <row r="17" spans="1:14" s="485" customFormat="1" ht="12.75" customHeight="1" x14ac:dyDescent="0.2">
      <c r="A17" s="482" t="s">
        <v>1470</v>
      </c>
      <c r="B17" s="483">
        <v>230</v>
      </c>
      <c r="C17" s="477"/>
      <c r="D17" s="477"/>
      <c r="E17" s="477"/>
      <c r="F17" s="477"/>
      <c r="G17" s="477"/>
      <c r="H17" s="477"/>
      <c r="I17" s="477"/>
      <c r="J17" s="477"/>
      <c r="K17" s="477"/>
      <c r="L17" s="477"/>
      <c r="M17" s="467">
        <v>22717618</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3689848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554502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5280050</v>
      </c>
    </row>
    <row r="23" spans="1:14" ht="13.5" customHeight="1" thickBot="1" x14ac:dyDescent="0.25">
      <c r="A23" s="1758" t="s">
        <v>664</v>
      </c>
      <c r="B23" s="1763"/>
      <c r="C23" s="468"/>
      <c r="D23" s="468"/>
      <c r="E23" s="468"/>
      <c r="F23" s="468"/>
      <c r="G23" s="468"/>
      <c r="H23" s="468"/>
      <c r="I23" s="468"/>
      <c r="J23" s="468"/>
      <c r="K23" s="468"/>
      <c r="L23" s="468"/>
      <c r="M23" s="1710">
        <f>SUM(M15:M22)</f>
        <v>26485416</v>
      </c>
      <c r="N23" s="1710">
        <f>SUM(N21:N22)</f>
        <v>5834552</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112327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112327</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5834552</v>
      </c>
    </row>
    <row r="37" spans="1:14" ht="13.5" thickBot="1" x14ac:dyDescent="0.25">
      <c r="A37" s="1758" t="s">
        <v>674</v>
      </c>
      <c r="B37" s="1763"/>
      <c r="C37" s="477"/>
      <c r="D37" s="477"/>
      <c r="E37" s="477"/>
      <c r="F37" s="477"/>
      <c r="G37" s="477"/>
      <c r="H37" s="477"/>
      <c r="I37" s="477"/>
      <c r="J37" s="477"/>
      <c r="K37" s="477"/>
      <c r="L37" s="480"/>
      <c r="M37" s="468"/>
      <c r="N37" s="1710">
        <f>SUM(N36:N36)</f>
        <v>5834552</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3210871</v>
      </c>
      <c r="D39" s="466">
        <v>967328</v>
      </c>
      <c r="E39" s="466">
        <v>554502</v>
      </c>
      <c r="F39" s="466">
        <v>813386</v>
      </c>
      <c r="G39" s="466">
        <v>353699</v>
      </c>
      <c r="H39" s="466">
        <v>1159368</v>
      </c>
      <c r="I39" s="466">
        <v>797615</v>
      </c>
      <c r="J39" s="467">
        <v>837921</v>
      </c>
      <c r="K39" s="466">
        <v>1338266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26485416</v>
      </c>
      <c r="N40" s="497"/>
    </row>
    <row r="41" spans="1:14" ht="13.5" customHeight="1" thickBot="1" x14ac:dyDescent="0.25">
      <c r="A41" s="1758" t="s">
        <v>676</v>
      </c>
      <c r="B41" s="1728"/>
      <c r="C41" s="1710">
        <f>(SUM(C34,C37,C38,C39))</f>
        <v>3210871</v>
      </c>
      <c r="D41" s="1710">
        <f t="shared" ref="D41:L41" si="2">SUM(D34,D37,D38:D39)</f>
        <v>967328</v>
      </c>
      <c r="E41" s="1710">
        <f t="shared" si="2"/>
        <v>554502</v>
      </c>
      <c r="F41" s="1710">
        <f t="shared" si="2"/>
        <v>813386</v>
      </c>
      <c r="G41" s="1710">
        <f t="shared" si="2"/>
        <v>353699</v>
      </c>
      <c r="H41" s="1710">
        <f t="shared" si="2"/>
        <v>1159368</v>
      </c>
      <c r="I41" s="1710">
        <f t="shared" si="2"/>
        <v>797615</v>
      </c>
      <c r="J41" s="1710">
        <f t="shared" si="2"/>
        <v>837921</v>
      </c>
      <c r="K41" s="1710">
        <f t="shared" si="2"/>
        <v>1338266</v>
      </c>
      <c r="L41" s="1710">
        <f t="shared" si="2"/>
        <v>112327</v>
      </c>
      <c r="M41" s="1710">
        <f>SUM(M40)</f>
        <v>26485416</v>
      </c>
      <c r="N41" s="1710">
        <f>SUM(N37)</f>
        <v>5834552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&amp;C&amp;"Arial,Bold"&amp;9BASIC FINANCIAL STATEMENTS
STATEMENT OF ASSETS AND LIABILITIES ARISING FROM CASH TRANSACTIONS
AS OF JUNE 30, 2018</oddHeader>
    <oddFooter>&amp;L&amp;8Print Date:  &amp;D
&amp;F&amp;CSee Accompanying Notes to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9" colorId="8" zoomScaleNormal="100" zoomScaleSheetLayoutView="100" workbookViewId="0">
      <pane ySplit="915"/>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3319780</v>
      </c>
      <c r="D4" s="1764">
        <f>'Revenues 9-14'!D109</f>
        <v>514580</v>
      </c>
      <c r="E4" s="1764">
        <f>'Revenues 9-14'!E109</f>
        <v>1202640</v>
      </c>
      <c r="F4" s="1764">
        <f>'Revenues 9-14'!F109</f>
        <v>215390</v>
      </c>
      <c r="G4" s="1764">
        <f>'Revenues 9-14'!G109</f>
        <v>231725</v>
      </c>
      <c r="H4" s="1764">
        <f>'Revenues 9-14'!H109</f>
        <v>6995</v>
      </c>
      <c r="I4" s="1764">
        <f>'Revenues 9-14'!I109</f>
        <v>67190</v>
      </c>
      <c r="J4" s="1764">
        <f>'Revenues 9-14'!J109</f>
        <v>862386</v>
      </c>
      <c r="K4" s="1764">
        <f>'Revenues 9-14'!K109</f>
        <v>65977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2460457</v>
      </c>
      <c r="D6" s="1765">
        <f>'Revenues 9-14'!D173</f>
        <v>0</v>
      </c>
      <c r="E6" s="1765">
        <f>'Revenues 9-14'!E173</f>
        <v>0</v>
      </c>
      <c r="F6" s="1765">
        <f>'Revenues 9-14'!F173</f>
        <v>521736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354914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6135151</v>
      </c>
      <c r="D8" s="1710">
        <f t="shared" ref="D8:K8" si="0">SUM(D4:D7)</f>
        <v>514580</v>
      </c>
      <c r="E8" s="1710">
        <f t="shared" si="0"/>
        <v>1202640</v>
      </c>
      <c r="F8" s="1710">
        <f t="shared" si="0"/>
        <v>737126</v>
      </c>
      <c r="G8" s="1710">
        <f t="shared" si="0"/>
        <v>231725</v>
      </c>
      <c r="H8" s="1710">
        <f t="shared" si="0"/>
        <v>6995</v>
      </c>
      <c r="I8" s="1710">
        <f t="shared" si="0"/>
        <v>67190</v>
      </c>
      <c r="J8" s="1710">
        <f t="shared" si="0"/>
        <v>862386</v>
      </c>
      <c r="K8" s="1710">
        <f t="shared" si="0"/>
        <v>65977</v>
      </c>
      <c r="L8" s="347"/>
    </row>
    <row r="9" spans="1:13" ht="15.75" thickTop="1" x14ac:dyDescent="0.2">
      <c r="A9" s="514" t="s">
        <v>1752</v>
      </c>
      <c r="B9" s="515">
        <v>3998</v>
      </c>
      <c r="C9" s="481">
        <v>2789333</v>
      </c>
      <c r="D9" s="516"/>
      <c r="E9" s="481"/>
      <c r="F9" s="481"/>
      <c r="G9" s="517"/>
      <c r="H9" s="481"/>
      <c r="I9" s="509" t="s">
        <v>1231</v>
      </c>
      <c r="J9" s="478"/>
      <c r="K9" s="481"/>
      <c r="L9" s="347"/>
    </row>
    <row r="10" spans="1:13" s="519" customFormat="1" ht="13.5" thickBot="1" x14ac:dyDescent="0.25">
      <c r="A10" s="1758" t="s">
        <v>1235</v>
      </c>
      <c r="B10" s="1731"/>
      <c r="C10" s="1710">
        <f>SUM(C8:C9)</f>
        <v>8924484</v>
      </c>
      <c r="D10" s="1710">
        <f t="shared" ref="D10:K10" si="1">SUM(D8:D9)</f>
        <v>514580</v>
      </c>
      <c r="E10" s="1710">
        <f t="shared" si="1"/>
        <v>1202640</v>
      </c>
      <c r="F10" s="1710">
        <f t="shared" si="1"/>
        <v>737126</v>
      </c>
      <c r="G10" s="1710">
        <f t="shared" si="1"/>
        <v>231725</v>
      </c>
      <c r="H10" s="1710">
        <f t="shared" si="1"/>
        <v>6995</v>
      </c>
      <c r="I10" s="1710">
        <f t="shared" si="1"/>
        <v>67190</v>
      </c>
      <c r="J10" s="1710">
        <f t="shared" si="1"/>
        <v>862386</v>
      </c>
      <c r="K10" s="1710">
        <f t="shared" si="1"/>
        <v>65977</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4048741</v>
      </c>
      <c r="D12" s="520" t="s">
        <v>1231</v>
      </c>
      <c r="E12" s="468" t="s">
        <v>1231</v>
      </c>
      <c r="F12" s="468" t="s">
        <v>1231</v>
      </c>
      <c r="G12" s="1764">
        <f>'Expenditures 15-22'!K229</f>
        <v>61759</v>
      </c>
      <c r="H12" s="521"/>
      <c r="I12" s="468" t="s">
        <v>1231</v>
      </c>
      <c r="J12" s="468" t="s">
        <v>1231</v>
      </c>
      <c r="K12" s="521" t="s">
        <v>1231</v>
      </c>
      <c r="L12" s="347"/>
    </row>
    <row r="13" spans="1:13" ht="15.75" customHeight="1" x14ac:dyDescent="0.2">
      <c r="A13" s="1598" t="s">
        <v>477</v>
      </c>
      <c r="B13" s="1600">
        <v>2000</v>
      </c>
      <c r="C13" s="1765">
        <f>'Expenditures 15-22'!K74</f>
        <v>1293729</v>
      </c>
      <c r="D13" s="1765">
        <f>'Expenditures 15-22'!K129</f>
        <v>516425</v>
      </c>
      <c r="E13" s="469" t="s">
        <v>1231</v>
      </c>
      <c r="F13" s="1765">
        <f>'Expenditures 15-22'!K184</f>
        <v>582508</v>
      </c>
      <c r="G13" s="1765">
        <f>'Expenditures 15-22'!K279</f>
        <v>103011</v>
      </c>
      <c r="H13" s="1765">
        <f>'Expenditures 15-22'!K303</f>
        <v>83158</v>
      </c>
      <c r="I13" s="468" t="s">
        <v>1231</v>
      </c>
      <c r="J13" s="1765">
        <f>'Expenditures 15-22'!K330</f>
        <v>788642</v>
      </c>
      <c r="K13" s="1769">
        <f>'Expenditures 15-22'!K352</f>
        <v>372538</v>
      </c>
      <c r="L13" s="347"/>
    </row>
    <row r="14" spans="1:13" ht="15.75" customHeight="1" x14ac:dyDescent="0.2">
      <c r="A14" s="1598" t="s">
        <v>469</v>
      </c>
      <c r="B14" s="1600">
        <v>3000</v>
      </c>
      <c r="C14" s="1765">
        <f>'Expenditures 15-22'!K75</f>
        <v>16443</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356359</v>
      </c>
      <c r="D15" s="1765">
        <f>'Expenditures 15-22'!K139</f>
        <v>10970</v>
      </c>
      <c r="E15" s="1765">
        <f>'Expenditures 15-22'!K160</f>
        <v>0</v>
      </c>
      <c r="F15" s="1765">
        <f>'Expenditures 15-22'!K196</f>
        <v>0</v>
      </c>
      <c r="G15" s="1765">
        <f>'Expenditures 15-22'!K285</f>
        <v>14061</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1912403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5715272</v>
      </c>
      <c r="D17" s="1710">
        <f t="shared" si="2"/>
        <v>527395</v>
      </c>
      <c r="E17" s="1710">
        <f t="shared" si="2"/>
        <v>1912403</v>
      </c>
      <c r="F17" s="1710">
        <f t="shared" si="2"/>
        <v>582508</v>
      </c>
      <c r="G17" s="1710">
        <f t="shared" si="2"/>
        <v>178831</v>
      </c>
      <c r="H17" s="1710">
        <f t="shared" si="2"/>
        <v>83158</v>
      </c>
      <c r="I17" s="468"/>
      <c r="J17" s="1710">
        <f>SUM(J12:J16)</f>
        <v>788642</v>
      </c>
      <c r="K17" s="1710">
        <f>SUM(K12:K16)</f>
        <v>372538</v>
      </c>
      <c r="L17" s="347"/>
    </row>
    <row r="18" spans="1:12" ht="15" customHeight="1" thickTop="1" x14ac:dyDescent="0.2">
      <c r="A18" s="1766" t="s">
        <v>1753</v>
      </c>
      <c r="B18" s="1767">
        <v>4180</v>
      </c>
      <c r="C18" s="1764">
        <f t="shared" ref="C18:H18" si="3">C9</f>
        <v>2789333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8504605</v>
      </c>
      <c r="D19" s="1710">
        <f t="shared" si="4"/>
        <v>527395</v>
      </c>
      <c r="E19" s="1710">
        <f t="shared" si="4"/>
        <v>1912403</v>
      </c>
      <c r="F19" s="1710">
        <f t="shared" si="4"/>
        <v>582508</v>
      </c>
      <c r="G19" s="1710">
        <f t="shared" si="4"/>
        <v>178831</v>
      </c>
      <c r="H19" s="1710">
        <f t="shared" si="4"/>
        <v>83158</v>
      </c>
      <c r="I19" s="468"/>
      <c r="J19" s="1710">
        <f>SUM(J17:J18)</f>
        <v>788642</v>
      </c>
      <c r="K19" s="1710">
        <f>SUM(K17:K18)</f>
        <v>372538</v>
      </c>
      <c r="L19" s="347"/>
    </row>
    <row r="20" spans="1:12" ht="16.5" thickTop="1" thickBot="1" x14ac:dyDescent="0.25">
      <c r="A20" s="2142" t="s">
        <v>1754</v>
      </c>
      <c r="B20" s="2143"/>
      <c r="C20" s="1768">
        <f>C8-C17</f>
        <v>419879</v>
      </c>
      <c r="D20" s="1768">
        <f t="shared" ref="D20:K20" si="5">D8-D17</f>
        <v>-12815</v>
      </c>
      <c r="E20" s="1768">
        <f t="shared" si="5"/>
        <v>-709763</v>
      </c>
      <c r="F20" s="1768">
        <f t="shared" si="5"/>
        <v>154618</v>
      </c>
      <c r="G20" s="1768">
        <f t="shared" si="5"/>
        <v>52894</v>
      </c>
      <c r="H20" s="1768">
        <f t="shared" si="5"/>
        <v>-76163</v>
      </c>
      <c r="I20" s="1768">
        <f t="shared" si="5"/>
        <v>67190</v>
      </c>
      <c r="J20" s="1768">
        <f t="shared" si="5"/>
        <v>73744</v>
      </c>
      <c r="K20" s="1768">
        <f t="shared" si="5"/>
        <v>-306561</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v>587568</v>
      </c>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84300</v>
      </c>
      <c r="D42" s="467"/>
      <c r="E42" s="467"/>
      <c r="F42" s="467"/>
      <c r="G42" s="467"/>
      <c r="H42" s="467"/>
      <c r="I42" s="480"/>
      <c r="J42" s="480"/>
      <c r="K42" s="467"/>
      <c r="L42" s="524"/>
    </row>
    <row r="43" spans="1:12" s="485" customFormat="1" ht="13.5" customHeight="1" x14ac:dyDescent="0.2">
      <c r="A43" s="1511" t="s">
        <v>391</v>
      </c>
      <c r="B43" s="483">
        <v>7990</v>
      </c>
      <c r="C43" s="467"/>
      <c r="D43" s="467">
        <v>500000</v>
      </c>
      <c r="E43" s="467"/>
      <c r="F43" s="467"/>
      <c r="G43" s="467"/>
      <c r="H43" s="467"/>
      <c r="I43" s="467"/>
      <c r="J43" s="467"/>
      <c r="K43" s="467"/>
      <c r="L43" s="524"/>
    </row>
    <row r="44" spans="1:12" s="485" customFormat="1" ht="13.5" customHeight="1" thickBot="1" x14ac:dyDescent="0.25">
      <c r="A44" s="2156" t="s">
        <v>392</v>
      </c>
      <c r="B44" s="2157"/>
      <c r="C44" s="1725">
        <f>SUM(C24:C43)</f>
        <v>84300</v>
      </c>
      <c r="D44" s="1725">
        <f t="shared" ref="D44:K44" si="6">SUM(D24:D43)</f>
        <v>500000</v>
      </c>
      <c r="E44" s="1725">
        <f t="shared" si="6"/>
        <v>587568</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587568</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v>500000</v>
      </c>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587568</v>
      </c>
      <c r="J76" s="1725">
        <f t="shared" si="7"/>
        <v>500000</v>
      </c>
      <c r="K76" s="1725">
        <f t="shared" si="7"/>
        <v>0</v>
      </c>
      <c r="L76" s="524"/>
    </row>
    <row r="77" spans="1:12" ht="14.25" thickTop="1" thickBot="1" x14ac:dyDescent="0.25">
      <c r="A77" s="2134" t="s">
        <v>1239</v>
      </c>
      <c r="B77" s="2135"/>
      <c r="C77" s="1725">
        <f t="shared" ref="C77:K77" si="8">C44-C76</f>
        <v>84300</v>
      </c>
      <c r="D77" s="1725">
        <f t="shared" si="8"/>
        <v>500000</v>
      </c>
      <c r="E77" s="1725">
        <f t="shared" si="8"/>
        <v>587568</v>
      </c>
      <c r="F77" s="1725">
        <f t="shared" si="8"/>
        <v>0</v>
      </c>
      <c r="G77" s="1725">
        <f t="shared" si="8"/>
        <v>0</v>
      </c>
      <c r="H77" s="1725">
        <f t="shared" si="8"/>
        <v>0</v>
      </c>
      <c r="I77" s="1725">
        <f t="shared" si="8"/>
        <v>-587568</v>
      </c>
      <c r="J77" s="1725">
        <f t="shared" si="8"/>
        <v>-500000</v>
      </c>
      <c r="K77" s="1725">
        <f t="shared" si="8"/>
        <v>0</v>
      </c>
      <c r="L77" s="347"/>
    </row>
    <row r="78" spans="1:12" ht="21.75" customHeight="1" thickTop="1" thickBot="1" x14ac:dyDescent="0.25">
      <c r="A78" s="2138" t="s">
        <v>618</v>
      </c>
      <c r="B78" s="2139"/>
      <c r="C78" s="1724">
        <f t="shared" ref="C78:K78" si="9">C20+C77</f>
        <v>504179</v>
      </c>
      <c r="D78" s="1724">
        <f t="shared" si="9"/>
        <v>487185</v>
      </c>
      <c r="E78" s="1724">
        <f t="shared" si="9"/>
        <v>-122195</v>
      </c>
      <c r="F78" s="1724">
        <f t="shared" si="9"/>
        <v>154618</v>
      </c>
      <c r="G78" s="1724">
        <f t="shared" si="9"/>
        <v>52894</v>
      </c>
      <c r="H78" s="1724">
        <f t="shared" si="9"/>
        <v>-76163</v>
      </c>
      <c r="I78" s="1724">
        <f t="shared" si="9"/>
        <v>-520378</v>
      </c>
      <c r="J78" s="1724">
        <f t="shared" si="9"/>
        <v>-426256</v>
      </c>
      <c r="K78" s="1724">
        <f t="shared" si="9"/>
        <v>-306561</v>
      </c>
      <c r="L78" s="533"/>
    </row>
    <row r="79" spans="1:12" ht="13.5" thickTop="1" x14ac:dyDescent="0.2">
      <c r="A79" s="1516" t="s">
        <v>2073</v>
      </c>
      <c r="B79" s="534"/>
      <c r="C79" s="478">
        <v>2706692</v>
      </c>
      <c r="D79" s="535">
        <v>480143</v>
      </c>
      <c r="E79" s="535">
        <v>676697</v>
      </c>
      <c r="F79" s="535">
        <v>658768</v>
      </c>
      <c r="G79" s="535">
        <v>300805</v>
      </c>
      <c r="H79" s="535">
        <v>1235531</v>
      </c>
      <c r="I79" s="535">
        <v>1317993</v>
      </c>
      <c r="J79" s="535">
        <v>1264177</v>
      </c>
      <c r="K79" s="535">
        <v>1644827</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3210871</v>
      </c>
      <c r="D81" s="1710">
        <f>SUM(D78:D80)</f>
        <v>967328</v>
      </c>
      <c r="E81" s="1710">
        <f t="shared" ref="E81:K81" si="10">SUM(E78:E80)</f>
        <v>554502</v>
      </c>
      <c r="F81" s="1710">
        <f t="shared" si="10"/>
        <v>813386</v>
      </c>
      <c r="G81" s="1710">
        <f t="shared" si="10"/>
        <v>353699</v>
      </c>
      <c r="H81" s="1710">
        <f t="shared" si="10"/>
        <v>1159368</v>
      </c>
      <c r="I81" s="1710">
        <f t="shared" si="10"/>
        <v>797615</v>
      </c>
      <c r="J81" s="1710">
        <f t="shared" si="10"/>
        <v>837921</v>
      </c>
      <c r="K81" s="1710">
        <f t="shared" si="10"/>
        <v>1338266</v>
      </c>
      <c r="L81" s="347"/>
    </row>
    <row r="82" spans="1:12" ht="0.75" customHeight="1" thickTop="1" thickBot="1" x14ac:dyDescent="0.25">
      <c r="A82" s="536" t="s">
        <v>361</v>
      </c>
      <c r="B82" s="537"/>
      <c r="C82" s="538">
        <f>(C81-C79)</f>
        <v>504179</v>
      </c>
      <c r="D82" s="538">
        <f t="shared" ref="D82:K82" si="11">(D81-D79)</f>
        <v>487185</v>
      </c>
      <c r="E82" s="538">
        <f t="shared" si="11"/>
        <v>-122195</v>
      </c>
      <c r="F82" s="538">
        <f t="shared" si="11"/>
        <v>154618</v>
      </c>
      <c r="G82" s="538">
        <f t="shared" si="11"/>
        <v>52894</v>
      </c>
      <c r="H82" s="538">
        <f t="shared" si="11"/>
        <v>-76163</v>
      </c>
      <c r="I82" s="538">
        <f t="shared" si="11"/>
        <v>-520378</v>
      </c>
      <c r="J82" s="538">
        <f t="shared" si="11"/>
        <v>-426256</v>
      </c>
      <c r="K82" s="538">
        <f t="shared" si="11"/>
        <v>-306561</v>
      </c>
    </row>
    <row r="83" spans="1:12" ht="14.25" hidden="1" thickTop="1" thickBot="1" x14ac:dyDescent="0.25">
      <c r="A83" s="539" t="s">
        <v>362</v>
      </c>
      <c r="B83" s="464"/>
      <c r="C83" s="540">
        <f>C82/C81</f>
        <v>0.15702250261689119</v>
      </c>
      <c r="D83" s="540">
        <f t="shared" ref="D83:K83" si="12">D82/D81</f>
        <v>0.503639923583314</v>
      </c>
      <c r="E83" s="540">
        <f t="shared" si="12"/>
        <v>-0.22036890759636574</v>
      </c>
      <c r="F83" s="540">
        <f t="shared" si="12"/>
        <v>0.19009178913824432</v>
      </c>
      <c r="G83" s="540">
        <f t="shared" si="12"/>
        <v>0.14954523479003334</v>
      </c>
      <c r="H83" s="540">
        <f t="shared" si="12"/>
        <v>-6.5693550279117593E-2</v>
      </c>
      <c r="I83" s="540">
        <f t="shared" si="12"/>
        <v>-0.65241751973069717</v>
      </c>
      <c r="J83" s="540">
        <f t="shared" si="12"/>
        <v>-0.50870666805104536</v>
      </c>
      <c r="K83" s="540">
        <f t="shared" si="12"/>
        <v>-0.22907329335124707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2018
 </oddHeader>
    <oddFooter>&amp;L&amp;8Print Date: &amp;D
&amp;F&amp;CSee Accompanying Notes to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sqref="A1:A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2452342</v>
      </c>
      <c r="D5" s="481">
        <v>506334</v>
      </c>
      <c r="E5" s="466">
        <v>1197673</v>
      </c>
      <c r="F5" s="548">
        <v>201841</v>
      </c>
      <c r="G5" s="466">
        <v>68715</v>
      </c>
      <c r="H5" s="466"/>
      <c r="I5" s="466">
        <v>50461</v>
      </c>
      <c r="J5" s="467">
        <v>852250</v>
      </c>
      <c r="K5" s="466">
        <v>50461</v>
      </c>
    </row>
    <row r="6" spans="1:12" ht="15" x14ac:dyDescent="0.2">
      <c r="A6" s="463" t="s">
        <v>1761</v>
      </c>
      <c r="B6" s="470">
        <v>1130</v>
      </c>
      <c r="C6" s="466">
        <v>50461</v>
      </c>
      <c r="D6" s="466"/>
      <c r="E6" s="475"/>
      <c r="F6" s="475"/>
      <c r="G6" s="468"/>
      <c r="H6" s="468"/>
      <c r="I6" s="468"/>
      <c r="J6" s="468"/>
      <c r="K6" s="468"/>
    </row>
    <row r="7" spans="1:12" x14ac:dyDescent="0.2">
      <c r="A7" s="463" t="s">
        <v>112</v>
      </c>
      <c r="B7" s="549">
        <v>1140</v>
      </c>
      <c r="C7" s="466">
        <v>40367</v>
      </c>
      <c r="D7" s="466"/>
      <c r="E7" s="468"/>
      <c r="F7" s="467"/>
      <c r="G7" s="467"/>
      <c r="H7" s="467"/>
      <c r="I7" s="468"/>
      <c r="J7" s="468"/>
      <c r="K7" s="468"/>
    </row>
    <row r="8" spans="1:12" x14ac:dyDescent="0.2">
      <c r="A8" s="463" t="s">
        <v>433</v>
      </c>
      <c r="B8" s="470">
        <v>1150</v>
      </c>
      <c r="C8" s="475"/>
      <c r="D8" s="475"/>
      <c r="E8" s="477"/>
      <c r="F8" s="477"/>
      <c r="G8" s="481">
        <v>157292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2543170</v>
      </c>
      <c r="D12" s="1729">
        <f t="shared" si="0"/>
        <v>506334</v>
      </c>
      <c r="E12" s="1729">
        <f t="shared" si="0"/>
        <v>1197673</v>
      </c>
      <c r="F12" s="1729">
        <f t="shared" si="0"/>
        <v>201841</v>
      </c>
      <c r="G12" s="1729">
        <f t="shared" si="0"/>
        <v>226007</v>
      </c>
      <c r="H12" s="1729">
        <f t="shared" si="0"/>
        <v>0</v>
      </c>
      <c r="I12" s="1729">
        <f t="shared" si="0"/>
        <v>50461</v>
      </c>
      <c r="J12" s="1729">
        <f t="shared" si="0"/>
        <v>852250</v>
      </c>
      <c r="K12" s="1710">
        <f t="shared" si="0"/>
        <v>50461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172590</v>
      </c>
      <c r="D16" s="466"/>
      <c r="E16" s="466"/>
      <c r="F16" s="466"/>
      <c r="G16" s="466">
        <v>2362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172590</v>
      </c>
      <c r="D18" s="1732">
        <f t="shared" ref="D18:K18" si="1">SUM(D14:D17)</f>
        <v>0</v>
      </c>
      <c r="E18" s="1732">
        <f t="shared" si="1"/>
        <v>0</v>
      </c>
      <c r="F18" s="1732">
        <f t="shared" si="1"/>
        <v>0</v>
      </c>
      <c r="G18" s="1732">
        <f t="shared" si="1"/>
        <v>2362</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3144</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v>67303</v>
      </c>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70447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4833</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4833</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27042</v>
      </c>
      <c r="D65" s="466">
        <v>8246</v>
      </c>
      <c r="E65" s="466">
        <v>4967</v>
      </c>
      <c r="F65" s="467">
        <v>6716</v>
      </c>
      <c r="G65" s="466">
        <v>3356</v>
      </c>
      <c r="H65" s="466">
        <v>6995</v>
      </c>
      <c r="I65" s="466">
        <v>16729</v>
      </c>
      <c r="J65" s="467">
        <v>10136</v>
      </c>
      <c r="K65" s="466">
        <v>15516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27042</v>
      </c>
      <c r="D67" s="1710">
        <f t="shared" ref="D67:K67" si="2">SUM(D65:D66)</f>
        <v>8246</v>
      </c>
      <c r="E67" s="1710">
        <f t="shared" si="2"/>
        <v>4967</v>
      </c>
      <c r="F67" s="1710">
        <f t="shared" si="2"/>
        <v>6716</v>
      </c>
      <c r="G67" s="1710">
        <f t="shared" si="2"/>
        <v>3356</v>
      </c>
      <c r="H67" s="1710">
        <f t="shared" si="2"/>
        <v>6995</v>
      </c>
      <c r="I67" s="1710">
        <f t="shared" si="2"/>
        <v>16729</v>
      </c>
      <c r="J67" s="1710">
        <f t="shared" si="2"/>
        <v>10136</v>
      </c>
      <c r="K67" s="1710">
        <f t="shared" si="2"/>
        <v>15516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96230</v>
      </c>
      <c r="D69" s="468"/>
      <c r="E69" s="468"/>
      <c r="F69" s="468"/>
      <c r="G69" s="468"/>
      <c r="H69" s="468"/>
      <c r="I69" s="468"/>
      <c r="J69" s="468"/>
      <c r="K69" s="468"/>
    </row>
    <row r="70" spans="1:11" ht="12.75" customHeight="1" x14ac:dyDescent="0.2">
      <c r="A70" s="463" t="s">
        <v>1054</v>
      </c>
      <c r="B70" s="470">
        <v>1612</v>
      </c>
      <c r="C70" s="551">
        <v>4901</v>
      </c>
      <c r="D70" s="468"/>
      <c r="E70" s="468"/>
      <c r="F70" s="468"/>
      <c r="G70" s="468"/>
      <c r="H70" s="468"/>
      <c r="I70" s="468"/>
      <c r="J70" s="468"/>
      <c r="K70" s="468"/>
    </row>
    <row r="71" spans="1:11" ht="12.75" customHeight="1" x14ac:dyDescent="0.2">
      <c r="A71" s="463" t="s">
        <v>291</v>
      </c>
      <c r="B71" s="470">
        <v>1613</v>
      </c>
      <c r="C71" s="551">
        <v>52153</v>
      </c>
      <c r="D71" s="468"/>
      <c r="E71" s="468"/>
      <c r="F71" s="468"/>
      <c r="G71" s="468"/>
      <c r="H71" s="468"/>
      <c r="I71" s="468"/>
      <c r="J71" s="468"/>
      <c r="K71" s="468"/>
    </row>
    <row r="72" spans="1:11" ht="12.75" customHeight="1" x14ac:dyDescent="0.2">
      <c r="A72" s="463" t="s">
        <v>24</v>
      </c>
      <c r="B72" s="470">
        <v>1614</v>
      </c>
      <c r="C72" s="551">
        <v>5226</v>
      </c>
      <c r="D72" s="468"/>
      <c r="E72" s="468"/>
      <c r="F72" s="468"/>
      <c r="G72" s="468"/>
      <c r="H72" s="468"/>
      <c r="I72" s="468"/>
      <c r="J72" s="468"/>
      <c r="K72" s="468"/>
    </row>
    <row r="73" spans="1:11" ht="12.75" customHeight="1" x14ac:dyDescent="0.2">
      <c r="A73" s="463" t="s">
        <v>1055</v>
      </c>
      <c r="B73" s="470">
        <v>1620</v>
      </c>
      <c r="C73" s="551">
        <v>3221</v>
      </c>
      <c r="D73" s="468"/>
      <c r="E73" s="468"/>
      <c r="F73" s="468"/>
      <c r="G73" s="468"/>
      <c r="H73" s="468"/>
      <c r="I73" s="468"/>
      <c r="J73" s="468"/>
      <c r="K73" s="468"/>
    </row>
    <row r="74" spans="1:11" ht="12.75" customHeight="1" x14ac:dyDescent="0.2">
      <c r="A74" s="463" t="s">
        <v>25</v>
      </c>
      <c r="B74" s="470">
        <v>1690</v>
      </c>
      <c r="C74" s="551">
        <v>9909</v>
      </c>
      <c r="D74" s="468"/>
      <c r="E74" s="468"/>
      <c r="F74" s="468"/>
      <c r="G74" s="468"/>
      <c r="H74" s="468"/>
      <c r="I74" s="468"/>
      <c r="J74" s="468"/>
      <c r="K74" s="468"/>
    </row>
    <row r="75" spans="1:11" ht="12.75" customHeight="1" thickBot="1" x14ac:dyDescent="0.25">
      <c r="A75" s="1730" t="s">
        <v>569</v>
      </c>
      <c r="B75" s="1731"/>
      <c r="C75" s="1710">
        <f>SUM(C69:C74)</f>
        <v>171640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15245</v>
      </c>
      <c r="D77" s="466"/>
      <c r="E77" s="468"/>
      <c r="F77" s="468"/>
      <c r="G77" s="468"/>
      <c r="H77" s="468"/>
      <c r="I77" s="468"/>
      <c r="J77" s="468"/>
      <c r="K77" s="468"/>
    </row>
    <row r="78" spans="1:11" ht="12.75" customHeight="1" x14ac:dyDescent="0.2">
      <c r="A78" s="463" t="s">
        <v>78</v>
      </c>
      <c r="B78" s="470">
        <v>1719</v>
      </c>
      <c r="C78" s="551">
        <v>18982</v>
      </c>
      <c r="D78" s="466"/>
      <c r="E78" s="468"/>
      <c r="F78" s="468"/>
      <c r="G78" s="468"/>
      <c r="H78" s="468"/>
      <c r="I78" s="468"/>
      <c r="J78" s="468"/>
      <c r="K78" s="468"/>
    </row>
    <row r="79" spans="1:11" ht="12.75" customHeight="1" x14ac:dyDescent="0.2">
      <c r="A79" s="463" t="s">
        <v>571</v>
      </c>
      <c r="B79" s="470">
        <v>1720</v>
      </c>
      <c r="C79" s="551">
        <v>25765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31058</v>
      </c>
      <c r="D81" s="466"/>
      <c r="E81" s="468"/>
      <c r="F81" s="468"/>
      <c r="G81" s="468"/>
      <c r="H81" s="468"/>
      <c r="I81" s="468"/>
      <c r="J81" s="468"/>
      <c r="K81" s="468"/>
    </row>
    <row r="82" spans="1:11" ht="12.75" customHeight="1" thickBot="1" x14ac:dyDescent="0.25">
      <c r="A82" s="1730" t="s">
        <v>259</v>
      </c>
      <c r="B82" s="1731"/>
      <c r="C82" s="1729">
        <f>SUM(C77:C81)</f>
        <v>91050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83189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83189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98734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12250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8291</v>
      </c>
      <c r="D106" s="489"/>
      <c r="E106" s="467"/>
      <c r="F106" s="467"/>
      <c r="G106" s="467"/>
      <c r="H106" s="467"/>
      <c r="I106" s="521"/>
      <c r="J106" s="467"/>
      <c r="K106" s="467"/>
    </row>
    <row r="107" spans="1:12" ht="12.75" customHeight="1" x14ac:dyDescent="0.2">
      <c r="A107" s="463" t="s">
        <v>80</v>
      </c>
      <c r="B107" s="470">
        <v>1999</v>
      </c>
      <c r="C107" s="551">
        <v>41377</v>
      </c>
      <c r="D107" s="466">
        <v>0</v>
      </c>
      <c r="E107" s="466"/>
      <c r="F107" s="466">
        <v>2000</v>
      </c>
      <c r="G107" s="466"/>
      <c r="H107" s="466">
        <v>0</v>
      </c>
      <c r="I107" s="466"/>
      <c r="J107" s="467"/>
      <c r="K107" s="466">
        <v>0</v>
      </c>
    </row>
    <row r="108" spans="1:12" ht="12.75" customHeight="1" thickBot="1" x14ac:dyDescent="0.25">
      <c r="A108" s="1730" t="s">
        <v>508</v>
      </c>
      <c r="B108" s="1734"/>
      <c r="C108" s="1729">
        <f>SUM(C95:C107)</f>
        <v>160652</v>
      </c>
      <c r="D108" s="1729">
        <f t="shared" ref="D108:K108" si="3">SUM(D95:D107)</f>
        <v>0</v>
      </c>
      <c r="E108" s="1729">
        <f t="shared" si="3"/>
        <v>0</v>
      </c>
      <c r="F108" s="1729">
        <f t="shared" si="3"/>
        <v>2000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3319780</v>
      </c>
      <c r="D109" s="1737">
        <f t="shared" si="4"/>
        <v>514580</v>
      </c>
      <c r="E109" s="1737">
        <f t="shared" si="4"/>
        <v>1202640</v>
      </c>
      <c r="F109" s="1737">
        <f t="shared" si="4"/>
        <v>215390</v>
      </c>
      <c r="G109" s="1737">
        <f t="shared" si="4"/>
        <v>231725</v>
      </c>
      <c r="H109" s="1737">
        <f t="shared" si="4"/>
        <v>6995</v>
      </c>
      <c r="I109" s="1737">
        <f t="shared" si="4"/>
        <v>67190</v>
      </c>
      <c r="J109" s="1737">
        <f t="shared" si="4"/>
        <v>862386</v>
      </c>
      <c r="K109" s="1724">
        <f t="shared" si="4"/>
        <v>65977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2152438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2152438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93300</v>
      </c>
      <c r="D124" s="561"/>
      <c r="E124" s="468"/>
      <c r="F124" s="548"/>
      <c r="G124" s="468"/>
      <c r="H124" s="468"/>
      <c r="I124" s="468"/>
      <c r="J124" s="468"/>
      <c r="K124" s="468"/>
    </row>
    <row r="125" spans="1:11" ht="12.75" customHeight="1" x14ac:dyDescent="0.2">
      <c r="A125" s="463" t="s">
        <v>1521</v>
      </c>
      <c r="B125" s="562">
        <v>3105</v>
      </c>
      <c r="C125" s="466">
        <v>53386</v>
      </c>
      <c r="D125" s="561"/>
      <c r="E125" s="468"/>
      <c r="F125" s="466"/>
      <c r="G125" s="468"/>
      <c r="H125" s="468"/>
      <c r="I125" s="468"/>
      <c r="J125" s="468"/>
      <c r="K125" s="468"/>
    </row>
    <row r="126" spans="1:11" ht="12.75" customHeight="1" x14ac:dyDescent="0.2">
      <c r="A126" s="463" t="s">
        <v>922</v>
      </c>
      <c r="B126" s="562">
        <v>3110</v>
      </c>
      <c r="C126" s="551">
        <v>39925</v>
      </c>
      <c r="D126" s="466"/>
      <c r="E126" s="468"/>
      <c r="F126" s="466"/>
      <c r="G126" s="468"/>
      <c r="H126" s="468"/>
      <c r="I126" s="468"/>
      <c r="J126" s="468"/>
      <c r="K126" s="468"/>
    </row>
    <row r="127" spans="1:11" ht="12.75" customHeight="1" x14ac:dyDescent="0.2">
      <c r="A127" s="463" t="s">
        <v>107</v>
      </c>
      <c r="B127" s="562">
        <v>3120</v>
      </c>
      <c r="C127" s="466">
        <v>14725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1628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202964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8508</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v>3798</v>
      </c>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12306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1703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9028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394991</v>
      </c>
      <c r="G151" s="467"/>
      <c r="H151" s="468"/>
      <c r="I151" s="468"/>
      <c r="J151" s="468"/>
      <c r="K151" s="468"/>
    </row>
    <row r="152" spans="1:11" ht="12.75" customHeight="1" x14ac:dyDescent="0.2">
      <c r="A152" s="463" t="s">
        <v>1117</v>
      </c>
      <c r="B152" s="562">
        <v>3510</v>
      </c>
      <c r="C152" s="551"/>
      <c r="D152" s="466"/>
      <c r="E152" s="561"/>
      <c r="F152" s="466">
        <v>126745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521736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82018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308019</v>
      </c>
      <c r="D172" s="1744">
        <f t="shared" si="6"/>
        <v>0</v>
      </c>
      <c r="E172" s="1744">
        <f t="shared" si="6"/>
        <v>0</v>
      </c>
      <c r="F172" s="1744">
        <f t="shared" si="6"/>
        <v>521736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2460457</v>
      </c>
      <c r="D173" s="1737">
        <f>SUM(D121,D172)</f>
        <v>0</v>
      </c>
      <c r="E173" s="1737">
        <f>SUM(E121,E172)</f>
        <v>0</v>
      </c>
      <c r="F173" s="1737">
        <f t="shared" ref="F173:K173" si="7">SUM(F121,F172)</f>
        <v>521736</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119935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24887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144822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88409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88409</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59370</v>
      </c>
      <c r="D218" s="466"/>
      <c r="E218" s="468"/>
      <c r="F218" s="466"/>
      <c r="G218" s="466"/>
      <c r="H218" s="468"/>
      <c r="I218" s="468"/>
      <c r="J218" s="468"/>
      <c r="K218" s="468"/>
    </row>
    <row r="219" spans="1:11" ht="12.75" customHeight="1" x14ac:dyDescent="0.2">
      <c r="A219" s="463" t="s">
        <v>1113</v>
      </c>
      <c r="B219" s="470">
        <v>4605</v>
      </c>
      <c r="C219" s="551">
        <v>6250</v>
      </c>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65620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37216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11227</v>
      </c>
      <c r="D271" s="576"/>
      <c r="E271" s="468"/>
      <c r="F271" s="576"/>
      <c r="G271" s="576"/>
      <c r="H271" s="468"/>
      <c r="I271" s="468"/>
      <c r="J271" s="468"/>
      <c r="K271" s="468"/>
    </row>
    <row r="272" spans="1:11" s="594" customFormat="1" ht="12.75" customHeight="1" thickTop="1" thickBot="1" x14ac:dyDescent="0.25">
      <c r="A272" s="563" t="s">
        <v>77</v>
      </c>
      <c r="B272" s="557">
        <v>4999</v>
      </c>
      <c r="C272" s="575">
        <v>7620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354914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354914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6135151</v>
      </c>
      <c r="D275" s="1737">
        <f t="shared" si="12"/>
        <v>514580</v>
      </c>
      <c r="E275" s="1737">
        <f t="shared" si="12"/>
        <v>1202640</v>
      </c>
      <c r="F275" s="1737">
        <f t="shared" si="12"/>
        <v>737126</v>
      </c>
      <c r="G275" s="1737">
        <f t="shared" si="12"/>
        <v>231725</v>
      </c>
      <c r="H275" s="1737">
        <f t="shared" si="12"/>
        <v>6995</v>
      </c>
      <c r="I275" s="1737">
        <f t="shared" si="12"/>
        <v>67190</v>
      </c>
      <c r="J275" s="1737">
        <f t="shared" si="12"/>
        <v>862386</v>
      </c>
      <c r="K275" s="1724">
        <f t="shared" si="12"/>
        <v>65977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2018</oddHeader>
    <oddFooter>&amp;L&amp;8Printed Date: &amp;D
&amp;F&amp;CSee Accompanying Notes to Financial Statements.</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elements/1.1/"/>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4d435f69-8686-490b-bd6d-b153bf22ab50"/>
    <ds:schemaRef ds:uri="http://www.w3.org/XML/1998/namespace"/>
    <ds:schemaRef ds:uri="d21dc803-237d-4c68-8692-8d731fd29118"/>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Audit Quest signature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2018-07-05T20:21:48Z</cp:lastPrinted>
  <dcterms:created xsi:type="dcterms:W3CDTF">2003-10-29T19:06:34Z</dcterms:created>
  <dcterms:modified xsi:type="dcterms:W3CDTF">2018-12-17T21:04:33Z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