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6" i="7" l="1"/>
  <c r="C10" i="7"/>
  <c r="C4" i="7"/>
  <c r="C16" i="7"/>
  <c r="C14" i="7"/>
  <c r="C13" i="7"/>
  <c r="C11" i="7"/>
  <c r="C8" i="7"/>
  <c r="C7" i="7"/>
  <c r="C5" i="7"/>
  <c r="E4" i="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K185" i="29"/>
  <c r="K122" i="29"/>
  <c r="F15" i="145" s="1"/>
  <c r="F19" i="145" s="1"/>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c r="B5100" i="106"/>
  <c r="D5100" i="106" s="1"/>
  <c r="B5101" i="106"/>
  <c r="D5101" i="106"/>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c r="B5118" i="106"/>
  <c r="D5118" i="106" s="1"/>
  <c r="B5119" i="106"/>
  <c r="D5119" i="106" s="1"/>
  <c r="B5122" i="106"/>
  <c r="D5122" i="106" s="1"/>
  <c r="B5123" i="106"/>
  <c r="D5123" i="106"/>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s="1"/>
  <c r="B6303" i="106"/>
  <c r="D6303" i="106" s="1"/>
  <c r="B6304" i="106"/>
  <c r="D6304" i="106" s="1"/>
  <c r="B6305" i="106"/>
  <c r="D6305" i="106" s="1"/>
  <c r="B6307" i="106"/>
  <c r="D6307" i="106"/>
  <c r="B6308" i="106"/>
  <c r="D6308" i="106" s="1"/>
  <c r="B6309" i="106"/>
  <c r="D6309" i="106"/>
  <c r="B6310" i="106"/>
  <c r="D6310" i="106" s="1"/>
  <c r="B6311" i="106"/>
  <c r="D6311" i="106" s="1"/>
  <c r="B6312" i="106"/>
  <c r="D6312" i="106" s="1"/>
  <c r="B6313" i="106"/>
  <c r="D6313" i="106" s="1"/>
  <c r="B6314" i="106"/>
  <c r="D6314" i="106" s="1"/>
  <c r="B6315" i="106"/>
  <c r="D6315" i="106"/>
  <c r="B6316" i="106"/>
  <c r="D6316" i="106" s="1"/>
  <c r="B6317" i="106"/>
  <c r="D6317" i="106"/>
  <c r="B6319" i="106"/>
  <c r="D6319" i="106" s="1"/>
  <c r="B6320" i="106"/>
  <c r="D6320" i="106" s="1"/>
  <c r="B6321" i="106"/>
  <c r="D6321" i="106" s="1"/>
  <c r="B6322" i="106"/>
  <c r="D6322" i="106" s="1"/>
  <c r="B6323" i="106"/>
  <c r="D6323" i="106" s="1"/>
  <c r="B6324" i="106"/>
  <c r="D6324" i="106"/>
  <c r="B6325" i="106"/>
  <c r="D6325" i="106" s="1"/>
  <c r="B6326" i="106"/>
  <c r="D6326" i="106"/>
  <c r="B6327" i="106"/>
  <c r="D6327" i="106" s="1"/>
  <c r="B6328" i="106"/>
  <c r="D6328" i="106" s="1"/>
  <c r="B6329" i="106"/>
  <c r="D6329" i="106" s="1"/>
  <c r="B6330" i="106"/>
  <c r="D6330" i="106" s="1"/>
  <c r="B6331" i="106"/>
  <c r="D6331" i="106" s="1"/>
  <c r="B6332" i="106"/>
  <c r="D6332" i="106"/>
  <c r="B6333" i="106"/>
  <c r="D6333" i="106" s="1"/>
  <c r="B6334" i="106"/>
  <c r="D6334" i="106"/>
  <c r="B6335" i="106"/>
  <c r="D6335" i="106" s="1"/>
  <c r="B6336" i="106"/>
  <c r="D6336" i="106" s="1"/>
  <c r="B6337" i="106"/>
  <c r="D6337" i="106" s="1"/>
  <c r="B6338" i="106"/>
  <c r="D6338" i="106" s="1"/>
  <c r="B6339" i="106"/>
  <c r="D6339" i="106" s="1"/>
  <c r="B6340" i="106"/>
  <c r="D6340" i="106"/>
  <c r="B6341" i="106"/>
  <c r="D6341" i="106" s="1"/>
  <c r="B6342" i="106"/>
  <c r="D6342" i="106"/>
  <c r="B6343" i="106"/>
  <c r="D6343" i="106" s="1"/>
  <c r="B6344" i="106"/>
  <c r="D6344" i="106" s="1"/>
  <c r="B6345" i="106"/>
  <c r="D6345" i="106" s="1"/>
  <c r="B6346" i="106"/>
  <c r="D6346" i="106" s="1"/>
  <c r="B6347" i="106"/>
  <c r="D6347" i="106" s="1"/>
  <c r="B6348" i="106"/>
  <c r="D6348" i="106"/>
  <c r="B6349" i="106"/>
  <c r="D6349" i="106" s="1"/>
  <c r="B6350" i="106"/>
  <c r="D6350" i="106"/>
  <c r="B6353" i="106"/>
  <c r="D6353" i="106" s="1"/>
  <c r="B6354" i="106"/>
  <c r="D6354" i="106" s="1"/>
  <c r="B6355" i="106"/>
  <c r="D6355" i="106" s="1"/>
  <c r="B6356" i="106"/>
  <c r="D6356" i="106" s="1"/>
  <c r="B6358" i="106"/>
  <c r="D6358" i="106" s="1"/>
  <c r="B6359" i="106"/>
  <c r="D6359" i="106" s="1"/>
  <c r="B6360" i="106"/>
  <c r="D6360" i="106" s="1"/>
  <c r="B6361" i="106"/>
  <c r="D6361" i="106"/>
  <c r="B6362" i="106"/>
  <c r="D6362" i="106" s="1"/>
  <c r="B6363" i="106"/>
  <c r="D6363" i="106" s="1"/>
  <c r="B6364" i="106"/>
  <c r="D6364" i="106" s="1"/>
  <c r="B6365" i="106"/>
  <c r="D6365" i="106" s="1"/>
  <c r="B6366" i="106"/>
  <c r="D6366" i="106" s="1"/>
  <c r="B6367" i="106"/>
  <c r="D6367" i="106"/>
  <c r="B6368" i="106"/>
  <c r="D6368" i="106" s="1"/>
  <c r="B6369" i="106"/>
  <c r="D6369" i="106"/>
  <c r="B6370" i="106"/>
  <c r="D6370" i="106" s="1"/>
  <c r="B6371" i="106"/>
  <c r="D6371" i="106" s="1"/>
  <c r="B6372" i="106"/>
  <c r="D6372" i="106" s="1"/>
  <c r="B6373" i="106"/>
  <c r="D6373" i="106" s="1"/>
  <c r="B6374" i="106"/>
  <c r="D6374" i="106"/>
  <c r="B6375" i="106"/>
  <c r="D6375" i="106" s="1"/>
  <c r="B6376" i="106"/>
  <c r="D6376" i="106"/>
  <c r="B6377" i="106"/>
  <c r="D6377" i="106" s="1"/>
  <c r="B6378" i="106"/>
  <c r="D6378" i="106"/>
  <c r="B6379" i="106"/>
  <c r="D6379" i="106" s="1"/>
  <c r="B6380" i="106"/>
  <c r="D6380" i="106"/>
  <c r="B6381" i="106"/>
  <c r="D6381" i="106" s="1"/>
  <c r="B6382" i="106"/>
  <c r="D6382" i="106"/>
  <c r="B6383" i="106"/>
  <c r="D6383" i="106" s="1"/>
  <c r="B6384" i="106"/>
  <c r="D6384" i="106"/>
  <c r="B6385" i="106"/>
  <c r="D6385" i="106" s="1"/>
  <c r="B6386" i="106"/>
  <c r="D6386" i="106"/>
  <c r="B6387" i="106"/>
  <c r="D6387" i="106" s="1"/>
  <c r="B6388" i="106"/>
  <c r="D6388" i="106"/>
  <c r="B6389" i="106"/>
  <c r="D6389" i="106" s="1"/>
  <c r="B6390" i="106"/>
  <c r="D6390" i="106"/>
  <c r="B6391" i="106"/>
  <c r="D6391" i="106" s="1"/>
  <c r="B6392" i="106"/>
  <c r="D6392" i="106"/>
  <c r="B6393" i="106"/>
  <c r="D6393" i="106" s="1"/>
  <c r="B6394" i="106"/>
  <c r="D6394" i="106"/>
  <c r="B6395" i="106"/>
  <c r="D6395" i="106" s="1"/>
  <c r="B6398" i="106"/>
  <c r="D6398" i="106"/>
  <c r="B6399" i="106"/>
  <c r="D6399" i="106" s="1"/>
  <c r="B6401" i="106"/>
  <c r="D6401" i="106"/>
  <c r="B6402" i="106"/>
  <c r="D6402" i="106" s="1"/>
  <c r="B6403" i="106"/>
  <c r="D6403" i="106"/>
  <c r="B6404" i="106"/>
  <c r="D6404" i="106" s="1"/>
  <c r="B6405" i="106"/>
  <c r="D6405" i="106"/>
  <c r="B6406" i="106"/>
  <c r="D6406" i="106" s="1"/>
  <c r="B6407" i="106"/>
  <c r="D6407" i="106"/>
  <c r="B6408" i="106"/>
  <c r="D6408" i="106" s="1"/>
  <c r="B6410" i="106"/>
  <c r="D6410" i="106"/>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B7" i="7"/>
  <c r="B1747" i="106" s="1"/>
  <c r="D1747" i="106" s="1"/>
  <c r="B8" i="7"/>
  <c r="B1748" i="106" s="1"/>
  <c r="D1748" i="106" s="1"/>
  <c r="B9" i="7"/>
  <c r="B10" i="7"/>
  <c r="B1749" i="106" s="1"/>
  <c r="D1749" i="106" s="1"/>
  <c r="B11" i="7"/>
  <c r="B1752" i="106" s="1"/>
  <c r="D1752" i="106" s="1"/>
  <c r="B12" i="7"/>
  <c r="B1753" i="106" s="1"/>
  <c r="D1753" i="106" s="1"/>
  <c r="B13" i="7"/>
  <c r="B14" i="7"/>
  <c r="B1754" i="106" s="1"/>
  <c r="D1754" i="106" s="1"/>
  <c r="B15" i="7"/>
  <c r="B1756" i="106" s="1"/>
  <c r="D1756" i="106" s="1"/>
  <c r="B16" i="7"/>
  <c r="B3446" i="106" s="1"/>
  <c r="D3446" i="106" s="1"/>
  <c r="B17" i="7"/>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I18" i="5"/>
  <c r="B5923" i="106"/>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c r="D5112" i="106" s="1"/>
  <c r="C108" i="5"/>
  <c r="B5120" i="106" s="1"/>
  <c r="D5120" i="106" s="1"/>
  <c r="D108" i="5"/>
  <c r="B5355" i="106" s="1"/>
  <c r="D5355" i="106" s="1"/>
  <c r="E108" i="5"/>
  <c r="B5526" i="106" s="1"/>
  <c r="D5526" i="106" s="1"/>
  <c r="F108" i="5"/>
  <c r="B5587" i="106" s="1"/>
  <c r="D5587" i="106" s="1"/>
  <c r="G108" i="5"/>
  <c r="B5737" i="106" s="1"/>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G172" i="5" s="1"/>
  <c r="G173" i="5" s="1"/>
  <c r="B5778" i="106" s="1"/>
  <c r="D5778"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s="1"/>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B2633" i="106"/>
  <c r="D2633" i="106" s="1"/>
  <c r="D7" i="118"/>
  <c r="D8" i="118"/>
  <c r="D9" i="118"/>
  <c r="H14" i="118"/>
  <c r="H19" i="118"/>
  <c r="H24" i="118"/>
  <c r="H28" i="118"/>
  <c r="H29" i="118"/>
  <c r="D11" i="37"/>
  <c r="D22" i="37"/>
  <c r="J22" i="37"/>
  <c r="L22" i="37"/>
  <c r="D24" i="37"/>
  <c r="B4270" i="106" s="1"/>
  <c r="D4270" i="106" s="1"/>
  <c r="D5" i="7"/>
  <c r="B1761" i="106" s="1"/>
  <c r="D1761" i="106" s="1"/>
  <c r="F136" i="34"/>
  <c r="F127" i="34"/>
  <c r="B5752" i="106"/>
  <c r="D5752" i="106" s="1"/>
  <c r="H173" i="5"/>
  <c r="B5906" i="106" s="1"/>
  <c r="D5906" i="106" s="1"/>
  <c r="D7" i="7"/>
  <c r="B1763" i="106" s="1"/>
  <c r="D1763" i="106" s="1"/>
  <c r="H6" i="4"/>
  <c r="B2656" i="106" s="1"/>
  <c r="D2656" i="106" s="1"/>
  <c r="D12" i="7"/>
  <c r="B1769" i="106" s="1"/>
  <c r="D1769" i="106" s="1"/>
  <c r="D11" i="7"/>
  <c r="B1768" i="106" s="1"/>
  <c r="D1768" i="106" s="1"/>
  <c r="D15" i="7"/>
  <c r="B1772" i="106" s="1"/>
  <c r="D1772" i="106" s="1"/>
  <c r="L13" i="11" l="1"/>
  <c r="B2060" i="106" s="1"/>
  <c r="D2060" i="106" s="1"/>
  <c r="K24" i="12"/>
  <c r="B7733" i="106" s="1"/>
  <c r="D7733" i="106" s="1"/>
  <c r="N22" i="3"/>
  <c r="B283" i="106" s="1"/>
  <c r="D283" i="106" s="1"/>
  <c r="B3647" i="106"/>
  <c r="D3647" i="106" s="1"/>
  <c r="H342" i="29"/>
  <c r="G210" i="29"/>
  <c r="K184" i="29"/>
  <c r="F13" i="4" s="1"/>
  <c r="B2596" i="106" s="1"/>
  <c r="D2596" i="106" s="1"/>
  <c r="B5096" i="106"/>
  <c r="D5096" i="106" s="1"/>
  <c r="C109" i="5"/>
  <c r="B5121" i="106" s="1"/>
  <c r="D5121" i="106" s="1"/>
  <c r="H33" i="118"/>
  <c r="B4102" i="106"/>
  <c r="D4102" i="106" s="1"/>
  <c r="D17" i="7"/>
  <c r="B4104" i="106" s="1"/>
  <c r="D4104" i="106" s="1"/>
  <c r="B3725" i="106"/>
  <c r="D3725" i="106" s="1"/>
  <c r="D13" i="7"/>
  <c r="B3726" i="106" s="1"/>
  <c r="D3726" i="106" s="1"/>
  <c r="B1751" i="106"/>
  <c r="D1751" i="106" s="1"/>
  <c r="D9" i="7"/>
  <c r="B1767" i="106" s="1"/>
  <c r="D1767" i="106" s="1"/>
  <c r="B6853" i="106"/>
  <c r="D6853" i="106" s="1"/>
  <c r="F35" i="34"/>
  <c r="B1799" i="106"/>
  <c r="D1799" i="106" s="1"/>
  <c r="F19" i="7"/>
  <c r="B1807" i="106" s="1"/>
  <c r="D1807" i="106" s="1"/>
  <c r="E15" i="145"/>
  <c r="G15" i="145" s="1"/>
  <c r="B1126" i="106"/>
  <c r="D1126" i="106" s="1"/>
  <c r="D26" i="108"/>
  <c r="B2836" i="106"/>
  <c r="D2836" i="106" s="1"/>
  <c r="F62" i="34"/>
  <c r="F14" i="4"/>
  <c r="B2597" i="106" s="1"/>
  <c r="D2597" i="106" s="1"/>
  <c r="B5878" i="106"/>
  <c r="D5878" i="106" s="1"/>
  <c r="H109" i="5"/>
  <c r="F41" i="34"/>
  <c r="F26" i="108"/>
  <c r="B5334" i="106"/>
  <c r="D5334" i="106" s="1"/>
  <c r="D109" i="5"/>
  <c r="F106" i="34"/>
  <c r="F45" i="34"/>
  <c r="B7231" i="106"/>
  <c r="D7231" i="106" s="1"/>
  <c r="J352" i="29"/>
  <c r="J367" i="29" s="1"/>
  <c r="B7245" i="106" s="1"/>
  <c r="D7245" i="106" s="1"/>
  <c r="B6897" i="106"/>
  <c r="D6897" i="106" s="1"/>
  <c r="F49" i="34"/>
  <c r="C172" i="5"/>
  <c r="B5214" i="106" s="1"/>
  <c r="D5214" i="106" s="1"/>
  <c r="B4357" i="106"/>
  <c r="D4357" i="106" s="1"/>
  <c r="D6" i="7"/>
  <c r="B1762" i="106" s="1"/>
  <c r="D1762" i="106" s="1"/>
  <c r="B1746" i="106"/>
  <c r="D1746" i="106" s="1"/>
  <c r="C342" i="29"/>
  <c r="B7216" i="106" s="1"/>
  <c r="D7216" i="106" s="1"/>
  <c r="F128" i="34"/>
  <c r="J41" i="3"/>
  <c r="B6216" i="106" s="1"/>
  <c r="D6216" i="106" s="1"/>
  <c r="K350" i="29"/>
  <c r="B3670" i="106" s="1"/>
  <c r="D3670" i="106" s="1"/>
  <c r="F77" i="4"/>
  <c r="B3255" i="106" s="1"/>
  <c r="D3255" i="106" s="1"/>
  <c r="F21" i="8"/>
  <c r="D6103" i="106"/>
  <c r="B1223" i="106"/>
  <c r="D1223" i="106" s="1"/>
  <c r="K76" i="4"/>
  <c r="B3586" i="106" s="1"/>
  <c r="D3586" i="106" s="1"/>
  <c r="B6858" i="106"/>
  <c r="D6858" i="106" s="1"/>
  <c r="F36" i="34"/>
  <c r="J274" i="5"/>
  <c r="B7054" i="106" s="1"/>
  <c r="D7054" i="106" s="1"/>
  <c r="I173" i="5"/>
  <c r="B4216" i="106" s="1"/>
  <c r="D4216" i="106" s="1"/>
  <c r="L367" i="29"/>
  <c r="B3649" i="106"/>
  <c r="D3649" i="106" s="1"/>
  <c r="G367" i="29"/>
  <c r="B3650" i="106" s="1"/>
  <c r="D3650" i="106" s="1"/>
  <c r="B5770" i="106"/>
  <c r="D5770" i="106" s="1"/>
  <c r="D4" i="7"/>
  <c r="B1760" i="106" s="1"/>
  <c r="D1760" i="106" s="1"/>
  <c r="K274" i="5"/>
  <c r="F130" i="34"/>
  <c r="L5" i="11"/>
  <c r="B2056" i="106" s="1"/>
  <c r="D2056" i="106" s="1"/>
  <c r="K28" i="118"/>
  <c r="O27" i="118" s="1"/>
  <c r="O29" i="118" s="1"/>
  <c r="G109" i="5"/>
  <c r="L342" i="29"/>
  <c r="F111" i="34"/>
  <c r="F131" i="34"/>
  <c r="B7235" i="106"/>
  <c r="D7235" i="106" s="1"/>
  <c r="C352" i="29"/>
  <c r="K41" i="3"/>
  <c r="H76" i="4"/>
  <c r="B3298" i="106" s="1"/>
  <c r="D3298" i="106" s="1"/>
  <c r="K352" i="29"/>
  <c r="K13" i="4" s="1"/>
  <c r="B3572" i="106" s="1"/>
  <c r="D3572" i="106" s="1"/>
  <c r="H365" i="29"/>
  <c r="I24" i="12"/>
  <c r="E174" i="29"/>
  <c r="B1309" i="106" s="1"/>
  <c r="D1309" i="106" s="1"/>
  <c r="B3689" i="106"/>
  <c r="D3689"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B3447" i="106"/>
  <c r="D3447" i="106" s="1"/>
  <c r="B7270" i="106"/>
  <c r="L16" i="11" l="1"/>
  <c r="B2061" i="106" s="1"/>
  <c r="D2061" i="106" s="1"/>
  <c r="K26" i="12"/>
  <c r="B7743" i="106" s="1"/>
  <c r="D7743" i="106" s="1"/>
  <c r="B3672" i="106"/>
  <c r="D3672" i="106" s="1"/>
  <c r="B1365" i="106"/>
  <c r="D1365" i="106" s="1"/>
  <c r="F65" i="34"/>
  <c r="C173" i="5"/>
  <c r="B5223" i="106" s="1"/>
  <c r="D5223" i="106" s="1"/>
  <c r="C4" i="4"/>
  <c r="B2551" i="106" s="1"/>
  <c r="D2551" i="106" s="1"/>
  <c r="D44" i="36"/>
  <c r="D274" i="5"/>
  <c r="H77" i="4"/>
  <c r="B3299" i="106" s="1"/>
  <c r="D3299" i="106" s="1"/>
  <c r="D7254" i="106"/>
  <c r="D7250" i="106"/>
  <c r="D51" i="36"/>
  <c r="I6" i="4"/>
  <c r="B5011" i="106" s="1"/>
  <c r="D5011" i="106" s="1"/>
  <c r="B1879" i="106"/>
  <c r="D1879" i="106" s="1"/>
  <c r="H22" i="37"/>
  <c r="B5356" i="106"/>
  <c r="D5356" i="106" s="1"/>
  <c r="D4" i="4"/>
  <c r="B2564" i="106" s="1"/>
  <c r="D2564" i="106" s="1"/>
  <c r="B6025" i="106"/>
  <c r="D6025" i="106" s="1"/>
  <c r="H4" i="4"/>
  <c r="D7255" i="106"/>
  <c r="D7252" i="106"/>
  <c r="D19" i="7"/>
  <c r="B1775" i="106" s="1"/>
  <c r="D1775" i="106" s="1"/>
  <c r="D7256" i="106"/>
  <c r="D7251" i="106"/>
  <c r="C114" i="29"/>
  <c r="B757" i="106" s="1"/>
  <c r="D757" i="106" s="1"/>
  <c r="L114" i="29"/>
  <c r="K342" i="29"/>
  <c r="F13" i="34" s="1"/>
  <c r="H367" i="29"/>
  <c r="B3660" i="106" s="1"/>
  <c r="D3660" i="106" s="1"/>
  <c r="B7242" i="106"/>
  <c r="D7242" i="106" s="1"/>
  <c r="B3621" i="106"/>
  <c r="D3621" i="106" s="1"/>
  <c r="C367" i="29"/>
  <c r="B3622" i="106" s="1"/>
  <c r="D3622" i="106" s="1"/>
  <c r="B6024" i="106"/>
  <c r="D6024" i="106" s="1"/>
  <c r="G4" i="4"/>
  <c r="B2603" i="106" s="1"/>
  <c r="D2603" i="106" s="1"/>
  <c r="F274" i="5"/>
  <c r="F275" i="5" s="1"/>
  <c r="B5720" i="106" s="1"/>
  <c r="D5720" i="106" s="1"/>
  <c r="B1996" i="106"/>
  <c r="D1996" i="106" s="1"/>
  <c r="I26" i="12"/>
  <c r="B7741" i="106" s="1"/>
  <c r="D7741" i="106" s="1"/>
  <c r="B3568" i="106"/>
  <c r="D3568" i="106" s="1"/>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D7" i="4"/>
  <c r="D275" i="5"/>
  <c r="B5507" i="106"/>
  <c r="D5507" i="106" s="1"/>
  <c r="B7298" i="106"/>
  <c r="B7299" i="106"/>
  <c r="G41" i="108" l="1"/>
  <c r="G44" i="108" s="1"/>
  <c r="G45" i="108" s="1"/>
  <c r="C6" i="4"/>
  <c r="B2553" i="106" s="1"/>
  <c r="D2553" i="106" s="1"/>
  <c r="B2655" i="106"/>
  <c r="D2655" i="106" s="1"/>
  <c r="H8" i="4"/>
  <c r="F8" i="4"/>
  <c r="B2595" i="106" s="1"/>
  <c r="D259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F10" i="4"/>
  <c r="B4125" i="106" s="1"/>
  <c r="D4125" i="106" s="1"/>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<sst xmlns="http://schemas.openxmlformats.org/spreadsheetml/2006/main" count="5037" uniqueCount="2109">
  <si>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</si>
  <si>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</si>
  <si>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</si>
  <si>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</si>
  <si>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</si>
  <si>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</si>
  <si>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</si>
  <si>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</si>
  <si>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</si>
  <si>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</si>
  <si>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</si>
  <si>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</si>
  <si>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</si>
  <si>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</si>
  <si>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</si>
  <si>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</si>
  <si>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</si>
  <si>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</si>
  <si>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</si>
  <si>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</si>
  <si>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</si>
  <si>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</si>
  <si>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</si>
  <si>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</si>
  <si>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</si>
  <si>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</si>
  <si>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</si>
  <si>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</si>
  <si>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</si>
  <si>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</si>
  <si>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</si>
  <si>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</si>
  <si>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</si>
  <si>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</si>
  <si>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</si>
  <si>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</si>
  <si>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</si>
  <si>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</si>
  <si>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</si>
  <si>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</si>
  <si>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</si>
  <si>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</si>
  <si>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</si>
  <si>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</si>
  <si>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</si>
  <si>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</si>
  <si>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</si>
  <si>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</si>
  <si>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</si>
  <si>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</si>
  <si>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</si>
  <si>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</si>
  <si>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</si>
  <si>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</si>
  <si>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</si>
  <si>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</si>
  <si>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</si>
  <si>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</si>
  <si>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</si>
  <si>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</si>
  <si>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</si>
  <si>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</si>
  <si>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</si>
  <si>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</si>
  <si>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</si>
  <si>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</si>
  <si>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</si>
  <si>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</si>
  <si>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</si>
  <si>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</si>
  <si>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</si>
  <si>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</si>
  <si>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</si>
  <si>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</si>
  <si>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</si>
  <si>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</si>
  <si>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</si>
  <si>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</si>
  <si>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</si>
  <si>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</si>
  <si>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</si>
  <si>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</si>
  <si>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</si>
  <si>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</si>
  <si>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</si>
  <si>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</si>
  <si>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</si>
  <si>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</si>
  <si>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</si>
  <si>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</si>
  <si>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</si>
  <si>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</si>
  <si>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</si>
  <si>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</si>
  <si>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</si>
  <si>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</si>
  <si>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</si>
  <si>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</si>
  <si>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</si>
  <si>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</si>
  <si>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</si>
  <si>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</si>
  <si>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</si>
  <si>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</si>
  <si>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</si>
  <si>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</si>
  <si>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</si>
  <si>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</si>
  <si>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</si>
  <si>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</si>
  <si>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</si>
  <si>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</si>
  <si>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</si>
  <si>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</si>
  <si>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</si>
  <si>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</si>
  <si>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</si>
  <si>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</si>
  <si>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</si>
  <si>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</si>
  <si>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</si>
  <si>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</si>
  <si>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</si>
  <si>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</si>
  <si>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</si>
  <si>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</si>
  <si>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</si>
  <si>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</si>
  <si>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</si>
  <si>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</si>
  <si>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</si>
  <si>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</si>
  <si>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</si>
  <si>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</si>
  <si>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</si>
  <si>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</si>
  <si>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</si>
  <si>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</si>
  <si>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</si>
  <si>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</si>
  <si>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</si>
  <si>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</si>
  <si>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</si>
  <si>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</si>
  <si>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</si>
  <si>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</si>
  <si>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</si>
  <si>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</si>
  <si>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</si>
  <si>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</si>
  <si>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</si>
  <si>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</si>
  <si>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</si>
  <si>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</si>
  <si>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</si>
  <si>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</si>
  <si>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</si>
  <si>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</si>
  <si>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</si>
  <si>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</si>
  <si>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</si>
  <si>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</si>
  <si>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</si>
  <si>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</si>
  <si>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</si>
  <si>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</si>
  <si>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</si>
  <si>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</si>
  <si>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</si>
  <si>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</si>
  <si>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</si>
  <si>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</si>
  <si>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</si>
  <si>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</si>
  <si>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</si>
  <si>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</si>
  <si>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</si>
  <si>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</si>
  <si>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</si>
  <si>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</si>
  <si>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</si>
  <si>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</si>
  <si>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</si>
  <si>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</si>
  <si>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</si>
  <si>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</si>
  <si>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</si>
  <si>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</si>
  <si>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</si>
  <si>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</si>
  <si>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</si>
  <si>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</si>
  <si>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</si>
  <si>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</si>
  <si>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</si>
  <si>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</si>
  <si>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</si>
  <si>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</si>
  <si>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</si>
  <si>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</si>
  <si>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</si>
  <si>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</si>
  <si>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</si>
  <si>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</si>
  <si>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</si>
  <si>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</si>
  <si>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</si>
  <si>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</si>
  <si>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</si>
  <si>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</si>
  <si>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</si>
  <si>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</si>
  <si>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</si>
  <si>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</si>
  <si>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</si>
  <si>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</si>
  <si>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</si>
  <si>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</si>
  <si>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</si>
  <si>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</si>
  <si>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</si>
  <si>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</si>
  <si>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</si>
  <si>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</si>
  <si>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</si>
  <si>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</si>
  <si>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</si>
  <si>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</si>
  <si>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</si>
  <si>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</si>
  <si>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</si>
  <si>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</si>
  <si>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</si>
  <si>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</si>
  <si>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</si>
  <si>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</si>
  <si>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</si>
  <si>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</si>
  <si>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</si>
  <si>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</si>
  <si>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</si>
  <si>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</si>
  <si>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</si>
  <si>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</si>
  <si>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</si>
  <si>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</si>
  <si>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</si>
  <si>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</si>
  <si>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</si>
  <si>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</si>
  <si>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</si>
  <si>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</si>
  <si>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</si>
  <si>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</si>
  <si>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</si>
  <si>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</si>
  <si>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</si>
  <si>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</si>
  <si>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</si>
  <si>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</si>
  <si>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</si>
  <si>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</si>
  <si>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</si>
  <si>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</si>
  <si>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</si>
  <si>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</si>
  <si>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</si>
  <si>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</si>
  <si>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</si>
  <si>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</si>
  <si>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</si>
  <si>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</si>
  <si>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</si>
  <si>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</si>
  <si>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</si>
  <si>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</si>
  <si>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</si>
  <si>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</si>
  <si>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</si>
  <si>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</si>
  <si>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</si>
  <si>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</si>
  <si>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</si>
  <si>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</si>
  <si>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</si>
  <si>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</si>
  <si>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</si>
  <si>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</si>
  <si>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</si>
  <si>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</si>
  <si>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</si>
  <si>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</si>
  <si>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</si>
  <si>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</si>
  <si>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</si>
  <si>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</si>
  <si>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</si>
  <si>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</si>
  <si>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</si>
  <si>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</si>
  <si>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</si>
  <si>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</si>
  <si>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</si>
  <si>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</si>
  <si>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</si>
  <si>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</si>
  <si>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</si>
  <si>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</si>
  <si>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</si>
  <si>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</si>
  <si>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</si>
  <si>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</si>
  <si>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</si>
  <si>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</si>
  <si>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</si>
  <si>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</si>
  <si>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</si>
  <si>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</si>
  <si>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</si>
  <si>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</si>
  <si>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</si>
  <si>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</si>
  <si>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</si>
  <si>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</si>
  <si>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</si>
  <si>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</si>
  <si>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</si>
  <si>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</si>
  <si>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</si>
  <si>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</si>
  <si>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</si>
  <si>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</si>
  <si>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</si>
  <si>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</si>
  <si>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</si>
  <si>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</si>
  <si>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</si>
  <si>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</si>
  <si>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</si>
  <si>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</si>
  <si>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</si>
  <si>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</si>
  <si>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</si>
  <si>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</si>
  <si>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</si>
  <si>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</si>
  <si>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</si>
  <si>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</si>
  <si>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</si>
  <si>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</si>
  <si>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</si>
  <si>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</si>
  <si>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</si>
  <si>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</si>
  <si>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</si>
  <si>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</si>
  <si>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</si>
  <si>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</si>
  <si>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</si>
  <si>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</si>
  <si>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</si>
  <si>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</si>
  <si>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</si>
  <si>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</si>
  <si>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</si>
  <si>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</si>
  <si>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</si>
  <si>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</si>
  <si>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</si>
  <si>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</si>
  <si>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</si>
  <si>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</si>
  <si>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</si>
  <si>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</si>
  <si>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</si>
  <si>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</si>
  <si>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</si>
  <si>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</si>
  <si>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</si>
  <si>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</si>
  <si>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</si>
  <si>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</si>
  <si>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</si>
  <si>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</si>
  <si>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</si>
  <si>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</si>
  <si>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</si>
  <si>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</si>
  <si>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</si>
  <si>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</si>
  <si>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</si>
  <si>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</si>
  <si>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</si>
  <si>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</si>
  <si>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</si>
  <si>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</si>
  <si>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</si>
  <si>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</si>
  <si>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</si>
  <si>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</si>
  <si>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</si>
  <si>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</si>
  <si>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</si>
  <si>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</si>
  <si>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</si>
  <si>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</si>
  <si>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</si>
  <si>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</si>
  <si>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</si>
  <si>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</si>
  <si>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</si>
  <si>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</si>
  <si>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</si>
  <si>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</si>
  <si>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</si>
  <si>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</si>
  <si>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</si>
  <si>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</si>
  <si>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</si>
  <si>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</si>
  <si>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</si>
  <si>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</si>
  <si>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</si>
  <si>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</si>
  <si>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</si>
  <si>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</si>
  <si>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</si>
  <si>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</si>
  <si>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</si>
  <si>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</si>
  <si>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</si>
  <si>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</si>
  <si>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</si>
  <si>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</si>
  <si>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</si>
  <si>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</si>
  <si>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</si>
  <si>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</si>
  <si>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</si>
  <si>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</si>
  <si>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</si>
  <si>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</si>
  <si>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</si>
  <si>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</si>
  <si>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</si>
  <si>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</si>
  <si>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</si>
  <si>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</si>
  <si>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</si>
  <si>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</si>
  <si>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</si>
  <si>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</si>
  <si>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</si>
  <si>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</si>
  <si>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</si>
  <si>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</si>
  <si>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</si>
  <si>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</si>
  <si>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</si>
  <si>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</si>
  <si>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</si>
  <si>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</si>
  <si>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</si>
  <si>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</si>
  <si>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</si>
  <si>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</si>
  <si>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</si>
  <si>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</si>
  <si>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</si>
  <si>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</si>
  <si>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</si>
  <si>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</si>
  <si>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</si>
  <si>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</si>
  <si>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</si>
  <si>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</si>
  <si>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</si>
  <si>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</si>
  <si>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</si>
  <si>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</si>
  <si>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</si>
  <si>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</si>
  <si>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</si>
  <si>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</si>
  <si>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</si>
  <si>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</si>
  <si>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</si>
  <si>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</si>
  <si>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</si>
  <si>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</si>
  <si>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</si>
  <si>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</si>
  <si>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</si>
  <si>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</si>
  <si>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</si>
  <si>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</si>
  <si>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</si>
  <si>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</si>
  <si>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</si>
  <si>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</si>
  <si>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</si>
  <si>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</si>
  <si>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</si>
  <si>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</si>
  <si>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</si>
  <si>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</si>
  <si>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</si>
  <si>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</si>
  <si>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</si>
  <si>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</si>
  <si>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</si>
  <si>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</si>
  <si>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</si>
  <si>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</si>
  <si>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</si>
  <si>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</si>
  <si>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</si>
  <si>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</si>
  <si>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</si>
  <si>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</si>
  <si>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</si>
  <si>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</si>
  <si>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</si>
  <si>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</si>
  <si>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</si>
  <si>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</si>
  <si>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</si>
  <si>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</si>
  <si>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</si>
  <si>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</si>
  <si>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</si>
  <si>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</si>
  <si>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</si>
  <si>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</si>
  <si>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</si>
  <si>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</si>
  <si>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</si>
  <si>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</si>
  <si>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</si>
  <si>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</si>
  <si>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</si>
  <si>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</si>
  <si>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</si>
  <si>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</si>
  <si>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</si>
  <si>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</si>
  <si>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</si>
  <si>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</si>
  <si>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</si>
  <si>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</si>
  <si>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</si>
  <si>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</si>
  <si>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</si>
  <si>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</si>
  <si>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</si>
  <si>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</si>
  <si>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</si>
  <si>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</si>
  <si>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</si>
  <si>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</si>
  <si>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</si>
  <si>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</si>
  <si>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</si>
  <si>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</si>
  <si>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</si>
  <si>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</si>
  <si>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</si>
  <si>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</si>
  <si>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</si>
  <si>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</si>
  <si>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</si>
  <si>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</si>
  <si>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</si>
  <si>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</si>
  <si>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</si>
  <si>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</si>
  <si>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</si>
  <si>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</si>
  <si>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</si>
  <si>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</si>
  <si>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</si>
  <si>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</si>
  <si>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</si>
  <si>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</si>
  <si>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</si>
  <si>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</si>
  <si>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</si>
  <si>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</si>
  <si>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</si>
  <si>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</si>
  <si>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</si>
  <si>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</si>
  <si>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</si>
  <si>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</si>
  <si>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</si>
  <si>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</si>
  <si>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</si>
  <si>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</si>
  <si>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</si>
  <si>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</si>
  <si>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</si>
  <si>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</si>
  <si>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</si>
  <si>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</si>
  <si>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</si>
  <si>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</si>
  <si>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</si>
  <si>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</si>
  <si>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</si>
  <si>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</si>
  <si>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</si>
  <si>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</si>
  <si>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</si>
  <si>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</si>
  <si>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</si>
  <si>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</si>
  <si>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</si>
  <si>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</si>
  <si>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</si>
  <si>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</si>
  <si>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</si>
  <si>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</si>
  <si>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</si>
  <si>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</si>
  <si>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</si>
  <si>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</si>
  <si>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</si>
  <si>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</si>
  <si>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</si>
  <si>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</si>
  <si>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</si>
  <si>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</si>
  <si>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</si>
  <si>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</si>
  <si>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</si>
  <si>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</si>
  <si>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</si>
  <si>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</si>
  <si>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</si>
  <si>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</si>
  <si>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</si>
  <si>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</si>
  <si>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</si>
  <si>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</si>
  <si>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</si>
  <si>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</si>
  <si>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</si>
  <si>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</si>
  <si>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</si>
  <si>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</si>
  <si>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</si>
  <si>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</si>
  <si>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</si>
  <si>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</si>
  <si>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</si>
  <si>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</si>
  <si>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</si>
  <si>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</si>
  <si>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</si>
  <si>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</si>
  <si>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</si>
  <si>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</si>
  <si>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</si>
  <si>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</si>
  <si>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</si>
  <si>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</si>
  <si>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</si>
  <si>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</si>
  <si>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</si>
  <si>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</si>
  <si>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</si>
  <si>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</si>
  <si>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</si>
  <si>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</si>
  <si>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</si>
  <si>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</si>
  <si>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</si>
  <si>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</si>
  <si>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</si>
  <si>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</si>
  <si>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</si>
  <si>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</si>
  <si>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</si>
  <si>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</si>
  <si>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</si>
  <si>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</si>
  <si>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</si>
  <si>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</si>
  <si>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</si>
  <si>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</si>
  <si>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</si>
  <si>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</si>
  <si>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</si>
  <si>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</si>
  <si>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</si>
  <si>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</si>
  <si>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</si>
  <si>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</si>
  <si>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</si>
  <si>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</si>
  <si>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</si>
  <si>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</si>
  <si>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</si>
  <si>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</si>
  <si>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</si>
  <si>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</si>
  <si>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</si>
  <si>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</si>
  <si>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</si>
  <si>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</si>
  <si>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</si>
  <si>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</si>
  <si>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</si>
  <si>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</si>
  <si>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</si>
  <si>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</si>
  <si>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</si>
  <si>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</si>
  <si>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</si>
  <si>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</si>
  <si>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</si>
  <si>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</si>
  <si>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</si>
  <si>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</si>
  <si>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</si>
  <si>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</si>
  <si>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</si>
  <si>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</si>
  <si>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</si>
  <si>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</si>
  <si>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</si>
  <si>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</si>
  <si>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</si>
  <si>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</si>
  <si>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</si>
  <si>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</si>
  <si>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</si>
  <si>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</si>
  <si>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</si>
  <si>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</si>
  <si>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</si>
  <si>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</si>
  <si>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</si>
  <si>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</si>
  <si>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</si>
  <si>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</si>
  <si>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</si>
  <si>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</si>
  <si>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</si>
  <si>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</si>
  <si>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</si>
  <si>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</si>
  <si>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</si>
  <si>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</si>
  <si>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</si>
  <si>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</si>
  <si>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</si>
  <si>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</si>
  <si>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</si>
  <si>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</si>
  <si>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</si>
  <si>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</si>
  <si>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</si>
  <si>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</si>
  <si>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</si>
  <si>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</si>
  <si>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</si>
  <si>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</si>
  <si>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</si>
  <si>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</si>
  <si>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</si>
  <si>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</si>
  <si>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</si>
  <si>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</si>
  <si>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</si>
  <si>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</si>
  <si>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</si>
  <si>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</si>
  <si>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</si>
  <si>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</si>
  <si>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</si>
  <si>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</si>
  <si>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</si>
  <si>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</si>
  <si>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</si>
  <si>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</si>
  <si>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</si>
  <si>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</si>
  <si>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</si>
  <si>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</si>
  <si>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</si>
  <si>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</si>
  <si>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</si>
  <si>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</si>
  <si>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</si>
  <si>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</si>
  <si>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</si>
  <si>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</si>
  <si>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</si>
  <si>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</si>
  <si>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</si>
  <si>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</si>
  <si>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</si>
  <si>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</si>
  <si>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</si>
  <si>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</si>
  <si>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</si>
  <si>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</si>
  <si>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</si>
  <si>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</si>
  <si>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</si>
  <si>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</si>
  <si>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</si>
  <si>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</si>
  <si>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</si>
  <si>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</si>
  <si>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</si>
  <si>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</si>
  <si>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</si>
  <si>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</si>
  <si>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</si>
  <si>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</si>
  <si>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</si>
  <si>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</si>
  <si>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</si>
  <si>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</si>
  <si>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</si>
  <si>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</si>
  <si>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</si>
  <si>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</si>
  <si>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</si>
  <si>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</si>
  <si>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</si>
  <si>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</si>
  <si>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</si>
  <si>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</si>
  <si>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</si>
  <si>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</si>
  <si>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</si>
  <si>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</si>
  <si>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</si>
  <si>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</si>
  <si>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</si>
  <si>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</si>
  <si>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</si>
  <si>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</si>
  <si>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</si>
  <si>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</si>
  <si>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</si>
  <si>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</si>
  <si>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</si>
  <si>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</si>
  <si>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</si>
  <si>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</si>
  <si>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</si>
  <si>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</si>
  <si>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</si>
  <si>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</si>
  <si>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</si>
  <si>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</si>
  <si>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</si>
  <si>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</si>
  <si>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</si>
  <si>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</si>
  <si>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</si>
  <si>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</si>
  <si>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</si>
  <si>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</si>
  <si>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</si>
  <si>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</si>
  <si>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</si>
  <si>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</si>
  <si>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</si>
  <si>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</si>
  <si>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</si>
  <si>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</si>
  <si>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</si>
  <si>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</si>
  <si>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</si>
  <si>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</si>
  <si>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</si>
  <si>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</si>
  <si>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</si>
  <si>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</si>
  <si>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</si>
  <si>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</si>
  <si>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</si>
  <si>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</si>
  <si>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</si>
  <si>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</si>
  <si>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</si>
  <si>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</si>
  <si>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</si>
  <si>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</si>
  <si>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</si>
  <si>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</si>
  <si>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</si>
  <si>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</si>
  <si>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</si>
  <si>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</si>
  <si>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</si>
  <si>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</si>
  <si>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</si>
  <si>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</si>
  <si>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</si>
  <si>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</si>
  <si>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</si>
  <si>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</si>
  <si>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</si>
  <si>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</si>
  <si>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</si>
  <si>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</si>
  <si>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</si>
  <si>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</si>
  <si>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</si>
  <si>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</si>
  <si>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</si>
  <si>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</si>
  <si>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</si>
  <si>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</si>
  <si>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</si>
  <si>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</si>
  <si>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</si>
  <si>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</si>
  <si>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</si>
  <si>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</si>
  <si>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</si>
  <si>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</si>
  <si>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</si>
  <si>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</si>
  <si>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</si>
  <si>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</si>
  <si>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</si>
  <si>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</si>
  <si>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</si>
  <si>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</si>
  <si>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</si>
  <si>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</si>
  <si>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</si>
  <si>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</si>
  <si>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</si>
  <si>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</si>
  <si>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</si>
  <si>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</si>
  <si>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</si>
  <si>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</si>
  <si>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</si>
  <si>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</si>
  <si>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</si>
  <si>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</si>
  <si>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</si>
  <si>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</si>
  <si>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</si>
  <si>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</si>
  <si>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</si>
  <si>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</si>
  <si>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</si>
  <si>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</si>
  <si>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</si>
  <si>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</si>
  <si>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</si>
  <si>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</si>
  <si>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</si>
  <si>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</si>
  <si>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</si>
  <si>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</si>
  <si>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</si>
  <si>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</si>
  <si>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</si>
  <si>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</si>
  <si>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</si>
  <si>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</si>
  <si>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</si>
  <si>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</si>
  <si>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</si>
  <si>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</si>
  <si>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</si>
  <si>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</si>
  <si>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</si>
  <si>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</si>
  <si>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</si>
  <si>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</si>
  <si>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</si>
  <si>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</si>
  <si>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</si>
  <si>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</si>
  <si>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</si>
  <si>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</si>
  <si>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</si>
  <si>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</si>
  <si>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</si>
  <si>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</si>
  <si>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</si>
  <si>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</si>
  <si>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</si>
  <si>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</si>
  <si>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</si>
  <si>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</si>
  <si>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</si>
  <si>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</si>
  <si>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</si>
  <si>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</si>
  <si>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</si>
  <si>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</si>
  <si>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</si>
  <si>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</si>
  <si>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</si>
  <si>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</si>
  <si>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</si>
  <si>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</si>
  <si>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</si>
  <si>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</si>
  <si>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</si>
  <si>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</si>
  <si>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</si>
  <si>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</si>
  <si>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</si>
  <si>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</si>
  <si>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</si>
  <si>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</si>
  <si>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</si>
  <si>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</si>
  <si>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</si>
  <si>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</si>
  <si>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</si>
  <si>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</si>
  <si>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</si>
  <si>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</si>
  <si>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</si>
  <si>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</si>
  <si>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</si>
  <si>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</si>
  <si>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</si>
  <si>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</si>
  <si>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</si>
  <si>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</si>
  <si>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</si>
  <si>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</si>
  <si>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</si>
  <si>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</si>
  <si>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</si>
  <si>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</si>
  <si>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</si>
  <si>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</si>
  <si>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</si>
  <si>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</si>
  <si>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</si>
  <si>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</si>
  <si>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</si>
  <si>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</si>
  <si>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</si>
  <si>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</si>
  <si>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</si>
  <si>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</si>
  <si>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</si>
  <si>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</si>
  <si>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</si>
  <si>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</si>
  <si>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</si>
  <si>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</si>
  <si>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</si>
  <si>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</si>
  <si>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</si>
  <si>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</si>
  <si>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</si>
  <si>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</si>
  <si>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</si>
  <si>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</si>
  <si>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</si>
  <si>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</si>
  <si>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</si>
  <si>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</si>
  <si>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</si>
  <si>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</si>
  <si>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</si>
  <si>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</si>
  <si>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</si>
  <si>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</si>
  <si>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</si>
  <si>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</si>
  <si>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</si>
  <si>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</si>
  <si>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</si>
  <si>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</si>
  <si>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</si>
  <si>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</si>
  <si>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</si>
  <si>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</si>
  <si>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</si>
  <si>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</si>
  <si>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</si>
  <si>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</si>
  <si>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</si>
  <si>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</si>
  <si>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</si>
  <si>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</si>
  <si>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</si>
  <si>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</si>
  <si>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</si>
  <si>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</si>
  <si>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</si>
  <si>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</si>
  <si>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</si>
  <si>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</si>
  <si>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</si>
  <si>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</si>
  <si>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</si>
  <si>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</si>
  <si>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</si>
  <si>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</si>
  <si>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</si>
  <si>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</si>
  <si>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</si>
  <si>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</si>
  <si>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</si>
  <si>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</si>
  <si>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</si>
  <si>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</si>
  <si>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</si>
  <si>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</si>
  <si>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</si>
  <si>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</si>
  <si>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</si>
  <si>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</si>
  <si>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</si>
  <si>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</si>
  <si>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</si>
  <si>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</si>
  <si>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</si>
  <si>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</si>
  <si>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</si>
  <si>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</si>
  <si>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</si>
  <si>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</si>
  <si>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</si>
  <si>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</si>
  <si>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</si>
  <si>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</si>
  <si>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</si>
  <si>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</si>
  <si>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</si>
  <si>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</si>
  <si>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</si>
  <si>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</si>
  <si>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</si>
  <si>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</si>
  <si>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</si>
  <si>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</si>
  <si>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</si>
  <si>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</si>
  <si>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</si>
  <si>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</si>
  <si>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</si>
  <si>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</si>
  <si>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</si>
  <si>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</si>
  <si>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</si>
  <si>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</si>
  <si>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</si>
  <si>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</si>
  <si>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</si>
  <si>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</si>
  <si>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</si>
  <si>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</si>
  <si>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</si>
  <si>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</si>
  <si>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</si>
  <si>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</si>
  <si>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</si>
  <si>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</si>
  <si>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</si>
  <si>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</si>
  <si>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</si>
  <si>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</si>
  <si>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</si>
  <si>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</si>
  <si>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</si>
  <si>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</si>
  <si>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</si>
  <si>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</si>
  <si>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</si>
  <si>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</si>
  <si>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</si>
  <si>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</si>
  <si>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</si>
  <si>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</si>
  <si>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</si>
  <si>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</si>
  <si>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</si>
  <si>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</si>
  <si>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</si>
  <si>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</si>
  <si>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</si>
  <si>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</si>
  <si>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</si>
  <si>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</si>
  <si>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</si>
  <si>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</si>
  <si>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</si>
  <si>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</si>
  <si>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</si>
  <si>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</si>
  <si>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</si>
  <si>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</si>
  <si>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</si>
  <si>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</si>
  <si>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</si>
  <si>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</si>
  <si>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</si>
  <si>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</si>
  <si>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</si>
  <si>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</si>
  <si>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</si>
  <si>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</si>
  <si>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</si>
  <si>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</si>
  <si>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</si>
  <si>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</si>
  <si>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</si>
  <si>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</si>
  <si>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</si>
  <si>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</si>
  <si>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</si>
  <si>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</si>
  <si>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</si>
  <si>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</si>
  <si>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</si>
  <si>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</si>
  <si>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</si>
  <si>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</si>
  <si>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</si>
  <si>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</si>
  <si>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</si>
  <si>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</si>
  <si>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</si>
  <si>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</si>
  <si>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</si>
  <si>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</si>
  <si>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</si>
  <si>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</si>
  <si>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</si>
  <si>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</si>
  <si>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</si>
  <si>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</si>
  <si>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</si>
  <si>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</si>
  <si>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</si>
  <si>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</si>
  <si>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</si>
  <si>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</si>
  <si>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</si>
  <si>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</si>
  <si>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</si>
  <si>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</si>
  <si>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</si>
  <si>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</si>
  <si>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</si>
  <si>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</si>
  <si>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</si>
  <si>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</si>
  <si>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</si>
  <si>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</si>
  <si>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</si>
  <si>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</si>
  <si>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</si>
  <si>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</si>
  <si>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</si>
  <si>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</si>
  <si>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</si>
  <si>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</si>
  <si>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</si>
  <si>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</si>
  <si>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</si>
  <si>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</si>
  <si>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</si>
  <si>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</si>
  <si>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</si>
  <si>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</si>
  <si>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</si>
  <si>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</si>
  <si>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</si>
  <si>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</si>
  <si>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</si>
  <si>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</si>
  <si>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</si>
  <si>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</si>
  <si>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</si>
  <si>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</si>
  <si>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</si>
  <si>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</si>
  <si>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</si>
  <si>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</si>
  <si>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</si>
  <si>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</si>
  <si>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</si>
  <si>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</si>
  <si>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</si>
  <si>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</si>
  <si>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</si>
  <si>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</si>
  <si>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</si>
  <si>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</si>
  <si>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</si>
  <si>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</si>
  <si>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</si>
  <si>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</si>
  <si>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</si>
  <si>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</si>
  <si>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</si>
  <si>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</si>
  <si>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</si>
  <si>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</si>
  <si>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</si>
  <si>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</si>
  <si>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</si>
  <si>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</si>
  <si>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</si>
  <si>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</si>
  <si>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</si>
  <si>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</si>
  <si>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</si>
  <si>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</si>
  <si>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</si>
  <si>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</si>
  <si>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</si>
  <si>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</si>
  <si>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</si>
  <si>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</si>
  <si>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</si>
  <si>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</si>
  <si>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</si>
  <si>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</si>
  <si>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</si>
  <si>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</si>
  <si>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</si>
  <si>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</si>
  <si>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</si>
  <si>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</si>
  <si>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</si>
  <si>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</si>
  <si>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</si>
  <si>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</si>
  <si>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</si>
  <si>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</si>
  <si>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</si>
  <si>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</si>
  <si>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</si>
  <si>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</si>
  <si>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</si>
  <si>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</si>
  <si>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</si>
  <si>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</si>
  <si>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</si>
  <si>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</si>
  <si>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</si>
  <si>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</si>
  <si>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</si>
  <si>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</si>
  <si>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</si>
  <si>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</si>
  <si>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</si>
  <si>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</si>
  <si>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</si>
  <si>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</si>
  <si>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</si>
  <si>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</si>
  <si>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</si>
  <si>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</si>
  <si>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</si>
  <si>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</si>
  <si>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</si>
  <si>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</si>
  <si>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</si>
  <si>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</si>
  <si>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</si>
  <si>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</si>
  <si>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</si>
  <si>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</si>
  <si>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</si>
  <si>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</si>
  <si>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</si>
  <si>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</si>
  <si>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</si>
  <si>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</si>
  <si>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</si>
  <si>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</si>
  <si>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</si>
  <si>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</si>
  <si>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</si>
  <si>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</si>
  <si>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</si>
  <si>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</si>
  <si>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</si>
  <si>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</si>
  <si>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</si>
  <si>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</si>
  <si>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</si>
  <si>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</si>
  <si>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</si>
  <si>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</si>
  <si>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</si>
  <si>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</si>
  <si>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</si>
  <si>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</si>
  <si>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</si>
  <si>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</si>
  <si>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</si>
  <si>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</si>
  <si>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</si>
  <si>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</si>
  <si>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</si>
  <si>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</si>
  <si>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</si>
  <si>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</si>
  <si>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</si>
  <si>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</si>
  <si>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</si>
  <si>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</si>
  <si>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</si>
  <si>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</si>
  <si>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</si>
  <si>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</si>
  <si>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</si>
  <si>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</si>
  <si>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</si>
  <si>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</si>
  <si>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</si>
  <si>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</si>
  <si>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</si>
  <si>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</si>
  <si>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</si>
  <si>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</si>
  <si>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</si>
  <si>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</si>
  <si>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</si>
  <si>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</si>
  <si>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</si>
  <si>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</si>
  <si>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</si>
  <si>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</si>
  <si>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</si>
  <si>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</si>
  <si>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</si>
  <si>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</si>
  <si>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</si>
  <si>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</si>
  <si>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</si>
  <si>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</si>
  <si>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</si>
  <si>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</si>
  <si>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</si>
  <si>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</si>
  <si>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</si>
  <si>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</si>
  <si>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</si>
  <si>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</si>
  <si>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</si>
  <si>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</si>
  <si>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</si>
  <si>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</si>
  <si>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</si>
  <si>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</si>
  <si>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</si>
  <si>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</si>
  <si>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</si>
  <si>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</si>
  <si>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</si>
  <si>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</si>
  <si>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</si>
  <si>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</si>
  <si>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</si>
  <si>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</si>
  <si>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</si>
  <si>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</si>
  <si>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</si>
  <si>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</si>
  <si>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</si>
  <si>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</si>
  <si>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</si>
  <si>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</si>
  <si>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</si>
  <si>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</si>
  <si>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</si>
  <si>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</si>
  <si>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</si>
  <si>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</si>
  <si>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</si>
  <si>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</si>
  <si>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</si>
  <si>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</si>
  <si>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</si>
  <si>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</si>
  <si>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</si>
  <si>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</si>
  <si>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</si>
  <si>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</si>
  <si>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</si>
  <si>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</si>
  <si>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</si>
  <si>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</si>
  <si>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</si>
  <si>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</si>
  <si>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</si>
  <si>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</si>
  <si>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</si>
  <si>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</si>
  <si>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</si>
  <si>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</si>
  <si>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</si>
  <si>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</si>
  <si>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</si>
  <si>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</si>
  <si>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</si>
  <si>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</si>
  <si>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</si>
  <si>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</si>
  <si>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</si>
  <si>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</si>
  <si>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</si>
  <si>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</si>
  <si>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</si>
  <si>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</si>
  <si>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</si>
  <si>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</si>
  <si>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</si>
  <si>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</si>
  <si>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</si>
  <si>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</si>
  <si>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</si>
  <si>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</si>
  <si>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</si>
  <si>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</si>
  <si>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</si>
  <si>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</si>
  <si>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</si>
  <si>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</si>
  <si>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</si>
  <si>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</si>
  <si>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</si>
  <si>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</si>
  <si>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</si>
  <si>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</si>
  <si>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</si>
  <si>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</si>
  <si>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</si>
  <si>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</si>
  <si>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</si>
  <si>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</si>
  <si>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</si>
  <si>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</si>
  <si>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</si>
  <si>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</si>
  <si>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</si>
  <si>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</si>
  <si>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</si>
  <si>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</si>
  <si>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</si>
  <si>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</si>
  <si>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</si>
  <si>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</si>
  <si>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</si>
  <si>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</si>
  <si>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</si>
  <si>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</si>
  <si>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</si>
  <si>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</si>
  <si>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</si>
  <si>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</si>
  <si>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</si>
  <si>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</si>
  <si>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</si>
  <si>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</si>
  <si>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</si>
  <si>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</si>
  <si>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</si>
  <si>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</si>
  <si>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</si>
  <si>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</si>
  <si>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</si>
  <si>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</si>
  <si>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</si>
  <si>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</si>
  <si>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</si>
  <si>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</si>
  <si>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</si>
  <si>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</si>
  <si>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</si>
  <si>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</si>
  <si>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</si>
  <si>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</si>
  <si>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</si>
  <si>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</si>
  <si>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</si>
  <si>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</si>
  <si>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</si>
  <si>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</si>
  <si>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</si>
  <si>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</si>
  <si>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</si>
  <si>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</si>
  <si>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</si>
  <si>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</si>
  <si>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</si>
  <si>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</si>
  <si>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</si>
  <si>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</si>
  <si>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</si>
  <si>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</si>
  <si>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</si>
  <si>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</si>
  <si>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</si>
  <si>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</si>
  <si>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</si>
  <si>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</si>
  <si>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</si>
  <si>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</si>
  <si>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</si>
  <si>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</si>
  <si>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</si>
  <si>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</si>
  <si>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</si>
  <si>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</si>
  <si>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</si>
  <si>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</si>
  <si>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</si>
  <si>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</si>
  <si>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</si>
  <si>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</si>
  <si>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</si>
  <si>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</si>
  <si>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</si>
  <si>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</si>
  <si>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</si>
  <si>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</si>
  <si>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</si>
  <si>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</si>
  <si>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</si>
  <si>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</si>
  <si>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</si>
  <si>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</si>
  <si>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</si>
  <si>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</si>
  <si>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</si>
  <si>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</si>
  <si>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</si>
  <si>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</si>
  <si>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</si>
  <si>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</si>
  <si>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</si>
  <si>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</si>
  <si>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</si>
  <si>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</si>
  <si>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</si>
  <si>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</si>
  <si>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</si>
  <si>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</si>
  <si>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</si>
  <si>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</si>
  <si>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</si>
  <si>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</si>
  <si>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</si>
  <si>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</si>
  <si>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</si>
  <si>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</si>
  <si>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</si>
  <si>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</si>
  <si>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</si>
  <si>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</si>
  <si>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</si>
  <si>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</si>
  <si>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</si>
  <si>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</si>
  <si>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</si>
  <si>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</si>
  <si>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</si>
  <si>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</si>
  <si>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</si>
  <si>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</si>
  <si>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</si>
  <si>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</si>
  <si>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</si>
  <si>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</si>
  <si>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</si>
  <si>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</si>
  <si>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</si>
  <si>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</si>
  <si>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</si>
  <si>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</si>
  <si>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</si>
  <si>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</si>
  <si>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</si>
  <si>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</si>
  <si>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</si>
  <si>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</si>
  <si>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</si>
  <si>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</si>
  <si>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</si>
  <si>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</si>
  <si>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</si>
  <si>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</si>
  <si>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</si>
  <si>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</si>
  <si>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</si>
  <si>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</si>
  <si>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</si>
  <si>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</si>
  <si>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</si>
  <si>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</si>
  <si>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</si>
  <si>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</si>
  <si>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</si>
  <si>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</si>
  <si>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</si>
  <si>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</si>
  <si>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</si>
  <si>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</si>
  <si>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</si>
  <si>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</si>
  <si>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</si>
  <si>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</si>
  <si>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</si>
  <si>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</si>
  <si>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</si>
  <si>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</si>
  <si>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</si>
  <si>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</si>
  <si>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</si>
  <si>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</si>
  <si>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</si>
  <si>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</si>
  <si>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</si>
  <si>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</si>
  <si>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</si>
  <si>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</si>
  <si>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</si>
  <si>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</si>
  <si>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</si>
  <si>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</si>
  <si>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</si>
  <si>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</si>
  <si>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</si>
  <si>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</si>
  <si>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</si>
  <si>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</si>
  <si>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</si>
  <si>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</si>
  <si>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</si>
  <si>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</si>
  <si>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</si>
  <si>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</si>
  <si>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</si>
  <si>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</si>
  <si>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</si>
  <si>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</si>
  <si>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</si>
  <si>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</si>
  <si>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</si>
  <si>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</si>
  <si>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</si>
  <si>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</si>
  <si>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</si>
  <si>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</si>
  <si>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</si>
  <si>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</si>
  <si>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</si>
  <si>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</si>
  <si>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</si>
  <si>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</si>
  <si>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</si>
  <si>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</si>
  <si>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</si>
  <si>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</si>
  <si>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</si>
  <si>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</si>
  <si>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</si>
  <si>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</si>
  <si>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</si>
  <si>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</si>
  <si>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</si>
  <si>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</si>
  <si>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</si>
  <si>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</si>
  <si>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</si>
  <si>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</si>
  <si>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</si>
  <si>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</si>
  <si>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</si>
  <si>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</si>
  <si>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</si>
  <si>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</si>
  <si>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</si>
  <si>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</si>
  <si>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</si>
  <si>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</si>
  <si>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</si>
  <si>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</si>
  <si>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</si>
  <si>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</si>
  <si>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</si>
  <si>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</si>
  <si>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</si>
  <si>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</si>
  <si>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</si>
  <si>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</si>
  <si>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</si>
  <si>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</si>
  <si>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</si>
  <si>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</si>
  <si>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</si>
  <si>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</si>
  <si>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</si>
  <si>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</si>
  <si>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</si>
  <si>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</si>
  <si>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</si>
  <si>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</si>
  <si>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</si>
  <si>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</si>
  <si>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</si>
  <si>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</si>
  <si>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</si>
  <si>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</si>
  <si>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</si>
  <si>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</si>
  <si>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</si>
  <si>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</si>
  <si>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</si>
  <si>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</si>
  <si>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</si>
  <si>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</si>
  <si>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</si>
  <si>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</si>
  <si>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</si>
  <si>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</si>
  <si>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</si>
  <si>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</si>
  <si>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</si>
  <si>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</si>
  <si>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</si>
  <si>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</si>
  <si>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</si>
  <si>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</si>
  <si>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</si>
  <si>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</si>
  <si>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</si>
  <si>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</si>
  <si>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</si>
  <si>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</si>
  <si>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</si>
  <si>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</si>
  <si>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</si>
  <si>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</si>
  <si>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</si>
  <si>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</si>
  <si>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</si>
  <si>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</si>
  <si>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</si>
  <si>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</si>
  <si>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</si>
  <si>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</si>
  <si>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</si>
  <si>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</si>
  <si>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</si>
  <si>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</si>
  <si>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</si>
  <si>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</si>
  <si>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</si>
  <si>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</si>
  <si>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</si>
  <si>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</si>
  <si>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</si>
  <si>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</si>
  <si>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</si>
  <si>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</si>
  <si>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</si>
  <si>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</si>
  <si>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</si>
  <si>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</si>
  <si>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</si>
  <si>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</si>
  <si>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</si>
  <si>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</si>
  <si>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</si>
  <si>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</si>
  <si>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</si>
  <si>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</si>
  <si>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</si>
  <si>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</si>
  <si>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</si>
  <si>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</si>
  <si>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</si>
  <si>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</si>
  <si>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</si>
  <si>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</si>
  <si>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</si>
  <si>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</si>
  <si>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</si>
  <si>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</si>
  <si>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</si>
  <si>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</si>
  <si>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</si>
  <si>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</si>
  <si>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</si>
  <si>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</si>
  <si>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</si>
  <si>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</si>
  <si>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</si>
  <si>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</si>
  <si>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</si>
  <si>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</si>
  <si>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</si>
  <si>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</si>
  <si>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</si>
  <si>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</si>
  <si>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</si>
  <si>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</si>
  <si>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</si>
  <si>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</si>
  <si>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</si>
  <si>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</si>
  <si>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</si>
  <si>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</si>
  <si>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</si>
  <si>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</si>
  <si>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</si>
  <si>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</si>
  <si>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</si>
  <si>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</si>
  <si>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</si>
  <si>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</si>
  <si>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</si>
  <si>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</si>
  <si>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</si>
  <si>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</si>
  <si>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</si>
  <si>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</si>
  <si>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</si>
  <si>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</si>
  <si>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</si>
  <si>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</si>
  <si>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</si>
  <si>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</si>
  <si>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</si>
  <si>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</si>
  <si>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</si>
  <si>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</si>
  <si>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</si>
  <si>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</si>
  <si>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</si>
  <si>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</si>
  <si>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</si>
  <si>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</si>
  <si>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</si>
  <si>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</si>
  <si>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</si>
  <si>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</si>
  <si>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</si>
  <si>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</si>
  <si>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</si>
  <si>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</si>
  <si>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</si>
  <si>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</si>
  <si>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</si>
  <si>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</si>
  <si>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</si>
  <si>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</si>
  <si>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</si>
  <si>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</si>
  <si>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</si>
  <si>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</si>
  <si>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</si>
  <si>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</si>
  <si>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</si>
  <si>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</si>
  <si>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</si>
  <si>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</si>
  <si>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</si>
  <si>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</si>
  <si>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</si>
  <si>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</si>
  <si>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</si>
  <si>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</si>
  <si>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</si>
  <si>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</si>
  <si>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</si>
  <si>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</si>
  <si>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</si>
  <si>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</si>
  <si>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</si>
  <si>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</si>
  <si>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</si>
  <si>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</si>
  <si>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</si>
  <si>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</si>
  <si>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</si>
  <si>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</si>
  <si>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</si>
  <si>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</si>
  <si>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</si>
  <si>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</si>
  <si>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</si>
  <si>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</si>
  <si>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</si>
  <si>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</si>
  <si>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</si>
  <si>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</si>
  <si>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</si>
  <si>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</si>
  <si>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</si>
  <si>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</si>
  <si>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</si>
  <si>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</si>
  <si>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</si>
  <si>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</si>
  <si>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</si>
  <si>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</si>
  <si>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</si>
  <si>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</si>
  <si>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</si>
  <si>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</si>
  <si>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</si>
  <si>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</si>
  <si>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</si>
  <si>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</si>
  <si>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</si>
  <si>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</si>
  <si>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</si>
  <si>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</si>
  <si>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</si>
  <si>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</si>
  <si>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</si>
  <si>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</si>
  <si>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</si>
  <si>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</si>
  <si>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</si>
  <si>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</si>
  <si>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</si>
  <si>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</si>
  <si>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</si>
  <si>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</si>
  <si>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</si>
  <si>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</si>
  <si>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</si>
  <si>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</si>
  <si>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</si>
  <si>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</si>
  <si>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</si>
  <si>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</si>
  <si>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</si>
  <si>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</si>
  <si>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</si>
  <si>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</si>
  <si>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</si>
  <si>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</si>
  <si>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</si>
  <si>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</si>
  <si>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</si>
  <si>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</si>
  <si>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</si>
  <si>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</si>
  <si>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</si>
  <si>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</si>
  <si>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</si>
  <si>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</si>
  <si>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</si>
  <si>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</si>
  <si>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</si>
  <si>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</si>
  <si>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</si>
  <si>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</si>
  <si>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</si>
  <si>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</si>
  <si>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</si>
  <si>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</si>
  <si>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</si>
  <si>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</si>
  <si>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</si>
  <si>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</si>
  <si>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Ogle-Lee-DeKalb</t>
  </si>
  <si>
    <t>Rochelle Twp HSD 212</t>
  </si>
  <si>
    <t>1401 Flagg Road</t>
  </si>
  <si>
    <t>Rochelle</t>
  </si>
  <si>
    <t>Jason Harper</t>
  </si>
  <si>
    <t>jharper@rthsd212.org</t>
  </si>
  <si>
    <t>815-562-4161</t>
  </si>
  <si>
    <t>Wipfli LLP</t>
  </si>
  <si>
    <t>Rory Sohn</t>
  </si>
  <si>
    <t>215 East First Street, Suite 200</t>
  </si>
  <si>
    <t>Dixon</t>
  </si>
  <si>
    <t>IL</t>
  </si>
  <si>
    <t>815-284-3331</t>
  </si>
  <si>
    <t>815-284-9480</t>
  </si>
  <si>
    <t>066-004023</t>
  </si>
  <si>
    <t>x</t>
  </si>
  <si>
    <t>GO Refunding School Bonds, Series 2012</t>
  </si>
  <si>
    <t>GO School Bonds, Series 2015A</t>
  </si>
  <si>
    <t>GO Refunding School Bonds, Series 2015B</t>
  </si>
  <si>
    <t>N/A</t>
  </si>
  <si>
    <t>Ogle County Education Cooperative</t>
  </si>
  <si>
    <t>Kishwaukee Education Consortium</t>
  </si>
  <si>
    <t>Education Fund - Revenue code 1690-Other Food Sales - All food revenue of $412,120.</t>
  </si>
  <si>
    <t>Education Fund - Revenue code 1999-Other Income - Miscellaneous receipts of $74,527.</t>
  </si>
  <si>
    <t>Education Fund - Expense code 2900-Other Support Services-At-Risk Interventionist salary of $19,418.</t>
  </si>
  <si>
    <t>O &amp; M Fund - Revenue code 1993 - Parking Fees of $15,037.</t>
  </si>
  <si>
    <t>O &amp; M Fund - Revenue code 1999-Other local revenues - Miscellaneous receipts of $13,680.</t>
  </si>
  <si>
    <t>Transportation Fund - Revenue code 1999-Other local revenues - Miscellaneous receipts of $8,500.</t>
  </si>
  <si>
    <t>IMRF/Social Security Fund - Expense code 2900-Other support services employee benefits - At-risk interventionist employee benefit expense of $1,482.</t>
  </si>
  <si>
    <t>23. Qualified for General Fixed Asset Account Group not maintaining historical cost information and adverse for not adopting GASB 34.</t>
  </si>
  <si>
    <t>PDF in Opinion Page with signature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</si>
</sst>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0" fillId="0" borderId="0" xfId="0" applyFill="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510886</xdr:colOff>
          <xdr:row>2</xdr:row>
          <xdr:rowOff>51955</xdr:rowOff>
        </xdr:from>
        <xdr:to>
          <xdr:col>1</xdr:col>
          <xdr:colOff>1425286</xdr:colOff>
          <xdr:row>6</xdr:row>
          <xdr:rowOff>49357</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6D8498EE-CB40-47D5-B811-8FC8865F9D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47071212017</v>
      </c>
      <c r="B13" s="2004"/>
      <c r="C13" s="2004"/>
      <c r="D13" s="2004"/>
      <c r="E13" s="2004"/>
      <c r="F13" s="2004"/>
      <c r="G13" s="2004"/>
      <c r="H13" s="2005"/>
      <c r="I13" s="31"/>
      <c r="J13" s="30"/>
      <c r="K13" s="28"/>
      <c r="L13" s="30"/>
      <c r="M13" s="30"/>
      <c r="N13" s="30"/>
      <c r="O13" s="30"/>
      <c r="P13" s="30"/>
      <c r="Q13" s="30"/>
      <c r="R13" s="30"/>
      <c r="S13" s="30"/>
      <c r="T13" s="2008" t="s">
        <v>2085</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2078</v>
      </c>
      <c r="B15" s="2006"/>
      <c r="C15" s="2006"/>
      <c r="D15" s="2006"/>
      <c r="E15" s="2006"/>
      <c r="F15" s="2006"/>
      <c r="G15" s="2006"/>
      <c r="H15" s="2007"/>
      <c r="T15" s="1969" t="s">
        <v>2086</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2079</v>
      </c>
      <c r="B17" s="2031"/>
      <c r="C17" s="2031"/>
      <c r="D17" s="2031"/>
      <c r="E17" s="2031"/>
      <c r="F17" s="2031"/>
      <c r="G17" s="2031"/>
      <c r="H17" s="2032"/>
      <c r="T17" s="2018" t="s">
        <v>2087</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2080</v>
      </c>
      <c r="B19" s="2002"/>
      <c r="C19" s="2002"/>
      <c r="D19" s="2002"/>
      <c r="E19" s="2002"/>
      <c r="F19" s="2002"/>
      <c r="G19" s="2002"/>
      <c r="H19" s="2000"/>
      <c r="I19" s="30"/>
      <c r="J19" s="99"/>
      <c r="K19" s="40"/>
      <c r="L19" s="38"/>
      <c r="M19" s="112" t="s">
        <v>333</v>
      </c>
      <c r="P19" s="27"/>
      <c r="Q19" s="27"/>
      <c r="R19" s="27"/>
      <c r="S19" s="31"/>
      <c r="T19" s="2001" t="s">
        <v>2088</v>
      </c>
      <c r="U19" s="1999"/>
      <c r="V19" s="1999"/>
      <c r="W19" s="2000"/>
      <c r="X19" s="2016" t="s">
        <v>2089</v>
      </c>
      <c r="Y19" s="2017"/>
      <c r="Z19" s="2014">
        <v>61021</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2081</v>
      </c>
      <c r="B21" s="1999"/>
      <c r="C21" s="1999"/>
      <c r="D21" s="1999"/>
      <c r="E21" s="1999"/>
      <c r="F21" s="1999"/>
      <c r="G21" s="1999"/>
      <c r="H21" s="2000"/>
      <c r="I21" s="2024" t="s">
        <v>699</v>
      </c>
      <c r="J21" s="1987"/>
      <c r="K21" s="1987"/>
      <c r="L21" s="1987"/>
      <c r="M21" s="1987"/>
      <c r="N21" s="1987"/>
      <c r="O21" s="1987"/>
      <c r="P21" s="1987"/>
      <c r="Q21" s="1987"/>
      <c r="R21" s="1987"/>
      <c r="S21" s="1988"/>
      <c r="T21" s="1966" t="s">
        <v>2090</v>
      </c>
      <c r="U21" s="1967"/>
      <c r="V21" s="1967"/>
      <c r="W21" s="1967"/>
      <c r="X21" s="1980" t="s">
        <v>2091</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c r="B23" s="2022"/>
      <c r="C23" s="2022"/>
      <c r="D23" s="2022"/>
      <c r="E23" s="2022"/>
      <c r="F23" s="2022"/>
      <c r="G23" s="2022"/>
      <c r="H23" s="2023"/>
      <c r="T23" s="1961" t="s">
        <v>2092</v>
      </c>
      <c r="U23" s="1962"/>
      <c r="V23" s="1962"/>
      <c r="W23" s="1962"/>
      <c r="X23" s="1977">
        <v>43434</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61068</v>
      </c>
      <c r="B25" s="1999"/>
      <c r="C25" s="1999"/>
      <c r="D25" s="1999"/>
      <c r="E25" s="1999"/>
      <c r="F25" s="1999"/>
      <c r="G25" s="1999"/>
      <c r="H25" s="2000"/>
      <c r="I25" s="113"/>
      <c r="J25" s="2065"/>
      <c r="K25" s="2065"/>
      <c r="L25" s="2065"/>
      <c r="M25" s="2065"/>
      <c r="N25" s="2065"/>
      <c r="O25" s="2065"/>
      <c r="P25" s="2065"/>
      <c r="Q25" s="2065"/>
      <c r="R25" s="2065"/>
      <c r="S25" s="2066"/>
      <c r="T25" s="1958"/>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2077</v>
      </c>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2082</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2083</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2084</v>
      </c>
      <c r="B42" s="2048"/>
      <c r="C42" s="2049"/>
      <c r="D42" s="2062"/>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&amp;R6</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5214375</v>
      </c>
      <c r="C4" s="1546">
        <f>95009+2601250-6464</f>
        <v>2689795</v>
      </c>
      <c r="D4" s="1774">
        <f>B4-C4</f>
        <v>2524580</v>
      </c>
      <c r="E4" s="1546">
        <f>5375370-12021</f>
        <v>5363349</v>
      </c>
      <c r="F4" s="1774">
        <f>E4-C4</f>
        <v>2673554</v>
      </c>
    </row>
    <row r="5" spans="1:6" ht="13.7" customHeight="1" x14ac:dyDescent="0.2">
      <c r="A5" s="716" t="s">
        <v>925</v>
      </c>
      <c r="B5" s="1772">
        <f>'Revenues 9-14'!D5</f>
        <v>1002759</v>
      </c>
      <c r="C5" s="585">
        <f>500238+18271</f>
        <v>518509</v>
      </c>
      <c r="D5" s="1775">
        <f t="shared" ref="D5:D18" si="0">B5-C5</f>
        <v>484250</v>
      </c>
      <c r="E5" s="585">
        <v>1033725</v>
      </c>
      <c r="F5" s="1775">
        <f>E5-C5</f>
        <v>515216</v>
      </c>
    </row>
    <row r="6" spans="1:6" ht="13.7" customHeight="1" x14ac:dyDescent="0.2">
      <c r="A6" s="716" t="s">
        <v>431</v>
      </c>
      <c r="B6" s="1772">
        <f>'Revenues 9-14'!E5</f>
        <v>1467081</v>
      </c>
      <c r="C6" s="585">
        <f>714960+25924</f>
        <v>740884</v>
      </c>
      <c r="D6" s="1775">
        <f t="shared" si="0"/>
        <v>726197</v>
      </c>
      <c r="E6" s="585">
        <v>1477441</v>
      </c>
      <c r="F6" s="1775">
        <f t="shared" ref="F6:F18" si="1">E6-C6</f>
        <v>736557</v>
      </c>
    </row>
    <row r="7" spans="1:6" ht="13.7" customHeight="1" x14ac:dyDescent="0.2">
      <c r="A7" s="716" t="s">
        <v>157</v>
      </c>
      <c r="B7" s="1772">
        <f>'Revenues 9-14'!F5</f>
        <v>469130</v>
      </c>
      <c r="C7" s="585">
        <f>228407+8282</f>
        <v>236689</v>
      </c>
      <c r="D7" s="1775">
        <f t="shared" si="0"/>
        <v>232441</v>
      </c>
      <c r="E7" s="585">
        <v>471999</v>
      </c>
      <c r="F7" s="1775">
        <f t="shared" si="1"/>
        <v>235310</v>
      </c>
    </row>
    <row r="8" spans="1:6" ht="13.7" customHeight="1" x14ac:dyDescent="0.2">
      <c r="A8" s="716" t="s">
        <v>1241</v>
      </c>
      <c r="B8" s="1772">
        <f>'Revenues 9-14'!G5</f>
        <v>181792</v>
      </c>
      <c r="C8" s="585">
        <f>90305+3274</f>
        <v>93579</v>
      </c>
      <c r="D8" s="1775">
        <f t="shared" si="0"/>
        <v>88213</v>
      </c>
      <c r="E8" s="585">
        <v>186608</v>
      </c>
      <c r="F8" s="1775">
        <f t="shared" si="1"/>
        <v>93029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192661</v>
      </c>
      <c r="C10" s="585">
        <f>100047+3654</f>
        <v>103701</v>
      </c>
      <c r="D10" s="1775">
        <f t="shared" si="0"/>
        <v>88960</v>
      </c>
      <c r="E10" s="585">
        <v>206745</v>
      </c>
      <c r="F10" s="1775">
        <f t="shared" si="1"/>
        <v>103044</v>
      </c>
    </row>
    <row r="11" spans="1:6" x14ac:dyDescent="0.2">
      <c r="A11" s="716" t="s">
        <v>429</v>
      </c>
      <c r="B11" s="1772">
        <f>'Revenues 9-14'!J5</f>
        <v>1176933</v>
      </c>
      <c r="C11" s="585">
        <f>571031+20703</f>
        <v>591734</v>
      </c>
      <c r="D11" s="1775">
        <f t="shared" si="0"/>
        <v>585199</v>
      </c>
      <c r="E11" s="585">
        <v>1180018</v>
      </c>
      <c r="F11" s="1775">
        <f t="shared" si="1"/>
        <v>588284</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200548</v>
      </c>
      <c r="C13" s="585">
        <f>100046+3654</f>
        <v>103700</v>
      </c>
      <c r="D13" s="1775">
        <f t="shared" si="0"/>
        <v>96848</v>
      </c>
      <c r="E13" s="585">
        <v>206745</v>
      </c>
      <c r="F13" s="1775">
        <f t="shared" si="1"/>
        <v>103045</v>
      </c>
    </row>
    <row r="14" spans="1:6" ht="13.7" customHeight="1" x14ac:dyDescent="0.2">
      <c r="A14" s="716" t="s">
        <v>430</v>
      </c>
      <c r="B14" s="1772">
        <f>SUM('Revenues 9-14'!C7:D7,'Revenues 9-14'!F7:H7)</f>
        <v>80221</v>
      </c>
      <c r="C14" s="585">
        <f>40020+1462</f>
        <v>41482</v>
      </c>
      <c r="D14" s="1775">
        <f t="shared" si="0"/>
        <v>38739</v>
      </c>
      <c r="E14" s="585">
        <v>82699</v>
      </c>
      <c r="F14" s="1775">
        <f t="shared" si="1"/>
        <v>41217</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221363</v>
      </c>
      <c r="C16" s="585">
        <f>109954+3987</f>
        <v>113941</v>
      </c>
      <c r="D16" s="1775">
        <f t="shared" si="0"/>
        <v>107422</v>
      </c>
      <c r="E16" s="585">
        <v>227213</v>
      </c>
      <c r="F16" s="1775">
        <f t="shared" si="1"/>
        <v>113272</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10206863</v>
      </c>
      <c r="C19" s="1773">
        <f>SUM(C4:C18)</f>
        <v>5234014</v>
      </c>
      <c r="D19" s="1773">
        <f>SUM(D4:D18)</f>
        <v>4972849</v>
      </c>
      <c r="E19" s="1773">
        <f>SUM(E4:E18)</f>
        <v>10436542</v>
      </c>
      <c r="F19" s="1773">
        <f>SUM(F4:F18)</f>
        <v>5202528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62" orientation="landscape" useFirstPageNumber="1" r:id="rId1"/>
  <headerFooter alignWithMargins="0">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2"/>
    </row>
    <row r="2" spans="1:7" ht="33.75" x14ac:dyDescent="0.2">
      <c r="A2" s="2217" t="s">
        <v>1905</v>
      </c>
      <c r="B2" s="2218"/>
      <c r="C2" s="1909" t="s">
        <v>2038</v>
      </c>
      <c r="D2" s="724" t="s">
        <v>2045</v>
      </c>
      <c r="E2" s="724" t="s">
        <v>2046</v>
      </c>
      <c r="F2" s="1909" t="s">
        <v>2039</v>
      </c>
    </row>
    <row r="3" spans="1:7" ht="15.75" customHeight="1" x14ac:dyDescent="0.2">
      <c r="A3" s="2221" t="s">
        <v>1176</v>
      </c>
      <c r="B3" s="2222"/>
      <c r="C3" s="2210"/>
      <c r="D3" s="2211"/>
      <c r="E3" s="2211"/>
      <c r="F3" s="2212"/>
    </row>
    <row r="4" spans="1:7" ht="12.75" customHeight="1" thickBot="1" x14ac:dyDescent="0.25">
      <c r="A4" s="2219" t="s">
        <v>651</v>
      </c>
      <c r="B4" s="2220"/>
      <c r="C4" s="581"/>
      <c r="D4" s="581"/>
      <c r="E4" s="581"/>
      <c r="F4" s="1777">
        <f>SUM(C4+D4)-E4</f>
        <v>0</v>
      </c>
    </row>
    <row r="5" spans="1:7" ht="15.75" customHeight="1" thickTop="1" x14ac:dyDescent="0.2">
      <c r="A5" s="2204" t="s">
        <v>1172</v>
      </c>
      <c r="B5" s="2205"/>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6" t="s">
        <v>652</v>
      </c>
      <c r="B15" s="2207"/>
      <c r="C15" s="1777">
        <f>SUM(C6:C14)</f>
        <v>0</v>
      </c>
      <c r="D15" s="1777">
        <f>SUM(D6:D14)</f>
        <v>0</v>
      </c>
      <c r="E15" s="1777">
        <f>SUM(E6:E14)</f>
        <v>0</v>
      </c>
      <c r="F15" s="1777">
        <f>SUM(F6:F14)</f>
        <v>0</v>
      </c>
      <c r="G15" s="552"/>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406</v>
      </c>
      <c r="B19" s="2230"/>
      <c r="C19" s="727"/>
      <c r="D19" s="585"/>
      <c r="E19" s="727"/>
      <c r="F19" s="1777">
        <f>SUM(C19+D19)-E19</f>
        <v>0</v>
      </c>
    </row>
    <row r="20" spans="1:11" ht="12.75" customHeight="1" thickTop="1" thickBot="1" x14ac:dyDescent="0.25">
      <c r="A20" s="2229" t="s">
        <v>468</v>
      </c>
      <c r="B20" s="2230"/>
      <c r="C20" s="727"/>
      <c r="D20" s="585"/>
      <c r="E20" s="727"/>
      <c r="F20" s="1777">
        <f>SUM(C20+D20)-E20</f>
        <v>0</v>
      </c>
    </row>
    <row r="21" spans="1:11" ht="14.25" thickTop="1" thickBot="1" x14ac:dyDescent="0.25">
      <c r="A21" s="2206" t="s">
        <v>653</v>
      </c>
      <c r="B21" s="2207"/>
      <c r="C21" s="1777">
        <f>SUM(C17:C20)</f>
        <v>0</v>
      </c>
      <c r="D21" s="1777">
        <f>SUM(D17:D20)</f>
        <v>0</v>
      </c>
      <c r="E21" s="1777">
        <f>SUM(E17:E20)</f>
        <v>0</v>
      </c>
      <c r="F21" s="1777">
        <f>SUM(F17:F20)</f>
        <v>0</v>
      </c>
      <c r="G21" s="552"/>
    </row>
    <row r="22" spans="1:11" ht="15.75" customHeight="1" thickTop="1" x14ac:dyDescent="0.2">
      <c r="A22" s="2231" t="s">
        <v>1174</v>
      </c>
      <c r="B22" s="2205"/>
      <c r="C22" s="2213"/>
      <c r="D22" s="2214"/>
      <c r="E22" s="2214"/>
      <c r="F22" s="2215"/>
    </row>
    <row r="23" spans="1:11" ht="13.5" thickBot="1" x14ac:dyDescent="0.25">
      <c r="A23" s="2219" t="s">
        <v>654</v>
      </c>
      <c r="B23" s="2220"/>
      <c r="C23" s="581"/>
      <c r="D23" s="581"/>
      <c r="E23" s="581"/>
      <c r="F23" s="1777">
        <f>SUM(C23+D23)-E23</f>
        <v>0</v>
      </c>
      <c r="G23" s="552"/>
    </row>
    <row r="24" spans="1:11" ht="15.75" customHeight="1" thickTop="1" x14ac:dyDescent="0.2">
      <c r="A24" s="2231" t="s">
        <v>1175</v>
      </c>
      <c r="B24" s="2205"/>
      <c r="C24" s="2213"/>
      <c r="D24" s="2214"/>
      <c r="E24" s="2214"/>
      <c r="F24" s="2215"/>
    </row>
    <row r="25" spans="1:11" ht="13.5" thickBot="1" x14ac:dyDescent="0.25">
      <c r="A25" s="2219" t="s">
        <v>655</v>
      </c>
      <c r="B25" s="2220"/>
      <c r="C25" s="581"/>
      <c r="D25" s="581"/>
      <c r="E25" s="581"/>
      <c r="F25" s="1777">
        <f>SUM(C25+D25)-E25</f>
        <v>0</v>
      </c>
      <c r="G25" s="552"/>
    </row>
    <row r="26" spans="1:11" ht="15.75" customHeight="1" thickTop="1" x14ac:dyDescent="0.2">
      <c r="A26" s="2204" t="s">
        <v>678</v>
      </c>
      <c r="B26" s="2205"/>
      <c r="C26" s="728"/>
      <c r="D26" s="728"/>
      <c r="E26" s="728"/>
      <c r="F26" s="729"/>
    </row>
    <row r="27" spans="1:11" ht="13.5" thickBot="1" x14ac:dyDescent="0.25">
      <c r="A27" s="2206" t="s">
        <v>1130</v>
      </c>
      <c r="B27" s="2207"/>
      <c r="C27" s="585"/>
      <c r="D27" s="585"/>
      <c r="E27" s="585"/>
      <c r="F27" s="1777">
        <f>SUM(C27+D27)-E27</f>
        <v>0</v>
      </c>
      <c r="G27" s="552"/>
    </row>
    <row r="28" spans="1:11" ht="7.5" customHeight="1" thickTop="1" x14ac:dyDescent="0.2">
      <c r="A28" s="594"/>
    </row>
    <row r="29" spans="1:11" ht="23.25" customHeight="1" x14ac:dyDescent="0.2">
      <c r="A29" s="2232" t="s">
        <v>603</v>
      </c>
      <c r="B29" s="2209"/>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40989</v>
      </c>
      <c r="C31" s="735">
        <v>695000</v>
      </c>
      <c r="D31" s="736">
        <v>3</v>
      </c>
      <c r="E31" s="735">
        <v>405000</v>
      </c>
      <c r="F31" s="735"/>
      <c r="G31" s="735"/>
      <c r="H31" s="735">
        <v>70000</v>
      </c>
      <c r="I31" s="1778">
        <f>((E31+F31)-H31)+G31</f>
        <v>335000</v>
      </c>
      <c r="J31" s="735">
        <v>313513</v>
      </c>
      <c r="K31" s="737"/>
    </row>
    <row r="32" spans="1:11" ht="12" customHeight="1" x14ac:dyDescent="0.2">
      <c r="A32" s="733" t="s">
        <v>2095</v>
      </c>
      <c r="B32" s="734">
        <v>42262</v>
      </c>
      <c r="C32" s="735">
        <v>8685000</v>
      </c>
      <c r="D32" s="736">
        <v>3</v>
      </c>
      <c r="E32" s="735">
        <v>8420000</v>
      </c>
      <c r="F32" s="735"/>
      <c r="G32" s="735"/>
      <c r="H32" s="735">
        <v>80000</v>
      </c>
      <c r="I32" s="1778">
        <f>((E32+F32)-H32)+G32</f>
        <v>8340000</v>
      </c>
      <c r="J32" s="735">
        <v>7805054</v>
      </c>
      <c r="K32" s="737"/>
    </row>
    <row r="33" spans="1:11" ht="12" customHeight="1" x14ac:dyDescent="0.2">
      <c r="A33" s="733" t="s">
        <v>2096</v>
      </c>
      <c r="B33" s="734">
        <v>42250</v>
      </c>
      <c r="C33" s="735">
        <v>4445000</v>
      </c>
      <c r="D33" s="736">
        <v>3</v>
      </c>
      <c r="E33" s="735">
        <v>3510000</v>
      </c>
      <c r="F33" s="735"/>
      <c r="G33" s="735"/>
      <c r="H33" s="735">
        <v>880000</v>
      </c>
      <c r="I33" s="1778">
        <f t="shared" ref="I33:I48" si="1">((E33+F33)-H33)+G33</f>
        <v>2630000</v>
      </c>
      <c r="J33" s="735">
        <v>2461306</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13825000</v>
      </c>
      <c r="D49" s="746"/>
      <c r="E49" s="1778">
        <f t="shared" ref="E49:J49" si="2">SUM(E31:E48)</f>
        <v>12335000</v>
      </c>
      <c r="F49" s="1778">
        <f t="shared" si="2"/>
        <v>0</v>
      </c>
      <c r="G49" s="1778">
        <f t="shared" si="2"/>
        <v>0</v>
      </c>
      <c r="H49" s="1778">
        <f t="shared" si="2"/>
        <v>1030000</v>
      </c>
      <c r="I49" s="1778">
        <f t="shared" si="2"/>
        <v>11305000</v>
      </c>
      <c r="J49" s="1778">
        <f t="shared" si="2"/>
        <v>10579873</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3" t="s">
        <v>605</v>
      </c>
      <c r="C52" s="2224"/>
      <c r="D52" s="2224"/>
      <c r="E52" s="750" t="s">
        <v>900</v>
      </c>
      <c r="F52" s="2225"/>
      <c r="G52" s="2226"/>
      <c r="H52" s="737"/>
      <c r="I52" s="737"/>
      <c r="J52" s="747"/>
    </row>
    <row r="53" spans="1:11" ht="11.25" customHeight="1" x14ac:dyDescent="0.2">
      <c r="A53" s="751" t="s">
        <v>969</v>
      </c>
      <c r="B53" s="752" t="s">
        <v>1008</v>
      </c>
      <c r="C53" s="747"/>
      <c r="D53" s="738"/>
      <c r="E53" s="750" t="s">
        <v>518</v>
      </c>
      <c r="F53" s="2227"/>
      <c r="G53" s="2228"/>
      <c r="H53" s="737"/>
      <c r="I53" s="737"/>
      <c r="J53" s="747"/>
    </row>
    <row r="54" spans="1:11" ht="11.25" customHeight="1" x14ac:dyDescent="0.2">
      <c r="A54" s="753" t="s">
        <v>970</v>
      </c>
      <c r="B54" s="748" t="s">
        <v>1009</v>
      </c>
      <c r="C54" s="747"/>
      <c r="D54" s="738"/>
      <c r="E54" s="750" t="s">
        <v>519</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63" fitToHeight="0" orientation="landscape" useFirstPageNumber="1" r:id="rId1"/>
  <headerFooter alignWithMargins="0">
    <oddHeader>&amp;R&amp;8]</oddHead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2"/>
      <c r="I1" s="761"/>
      <c r="J1" s="433"/>
    </row>
    <row r="2" spans="1:11" ht="26.25" x14ac:dyDescent="0.2">
      <c r="A2" s="2236" t="s">
        <v>1776</v>
      </c>
      <c r="B2" s="2237"/>
      <c r="C2" s="2237"/>
      <c r="D2" s="2237"/>
      <c r="E2" s="2238"/>
      <c r="F2" s="762" t="s">
        <v>960</v>
      </c>
      <c r="G2" s="763" t="s">
        <v>1773</v>
      </c>
      <c r="H2" s="763" t="s">
        <v>430</v>
      </c>
      <c r="I2" s="763" t="s">
        <v>1220</v>
      </c>
      <c r="J2" s="763" t="s">
        <v>1919</v>
      </c>
      <c r="K2" s="763" t="s">
        <v>140</v>
      </c>
    </row>
    <row r="3" spans="1:11" x14ac:dyDescent="0.2">
      <c r="A3" s="2239" t="s">
        <v>1698</v>
      </c>
      <c r="B3" s="2240"/>
      <c r="C3" s="2240"/>
      <c r="D3" s="2240"/>
      <c r="E3" s="2241"/>
      <c r="F3" s="764"/>
      <c r="G3" s="765"/>
      <c r="H3" s="765"/>
      <c r="I3" s="765"/>
      <c r="J3" s="766"/>
      <c r="K3" s="766"/>
    </row>
    <row r="4" spans="1:11" x14ac:dyDescent="0.2">
      <c r="A4" s="2242" t="s">
        <v>387</v>
      </c>
      <c r="B4" s="2243"/>
      <c r="C4" s="2243"/>
      <c r="D4" s="2243"/>
      <c r="E4" s="2224"/>
      <c r="F4" s="767"/>
      <c r="G4" s="768"/>
      <c r="H4" s="769"/>
      <c r="I4" s="768"/>
      <c r="J4" s="770"/>
      <c r="K4" s="770"/>
    </row>
    <row r="5" spans="1:11" x14ac:dyDescent="0.2">
      <c r="A5" s="2260" t="s">
        <v>1129</v>
      </c>
      <c r="B5" s="2233"/>
      <c r="C5" s="2233"/>
      <c r="D5" s="2233"/>
      <c r="E5" s="2261"/>
      <c r="F5" s="771" t="s">
        <v>903</v>
      </c>
      <c r="G5" s="772"/>
      <c r="H5" s="765">
        <v>80221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5900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40879</v>
      </c>
    </row>
    <row r="10" spans="1:11" x14ac:dyDescent="0.2">
      <c r="A10" s="2260" t="s">
        <v>1920</v>
      </c>
      <c r="B10" s="2233"/>
      <c r="C10" s="2233"/>
      <c r="D10" s="2233"/>
      <c r="E10" s="2262"/>
      <c r="F10" s="784" t="s">
        <v>917</v>
      </c>
      <c r="G10" s="783"/>
      <c r="H10" s="785"/>
      <c r="I10" s="765"/>
      <c r="J10" s="766"/>
      <c r="K10" s="766"/>
    </row>
    <row r="11" spans="1:11" x14ac:dyDescent="0.2">
      <c r="A11" s="2260" t="s">
        <v>162</v>
      </c>
      <c r="B11" s="2233"/>
      <c r="C11" s="2233"/>
      <c r="D11" s="2233"/>
      <c r="E11" s="2261"/>
      <c r="F11" s="771" t="s">
        <v>907</v>
      </c>
      <c r="G11" s="772"/>
      <c r="H11" s="765"/>
      <c r="I11" s="765"/>
      <c r="J11" s="766"/>
      <c r="K11" s="774"/>
    </row>
    <row r="12" spans="1:11" ht="13.5" thickBot="1" x14ac:dyDescent="0.25">
      <c r="A12" s="2250" t="s">
        <v>961</v>
      </c>
      <c r="B12" s="2251"/>
      <c r="C12" s="2251"/>
      <c r="D12" s="2251"/>
      <c r="E12" s="2252"/>
      <c r="F12" s="1779"/>
      <c r="G12" s="1780">
        <f>SUM(G5:G11)</f>
        <v>0</v>
      </c>
      <c r="H12" s="1780">
        <f>SUM(H5:H11)</f>
        <v>80221</v>
      </c>
      <c r="I12" s="1780">
        <f>SUM(I5:I11)</f>
        <v>0</v>
      </c>
      <c r="J12" s="1780">
        <f>SUM(J5:J11)</f>
        <v>0</v>
      </c>
      <c r="K12" s="1780">
        <f>SUM(K5:K11)</f>
        <v>46779</v>
      </c>
    </row>
    <row r="13" spans="1:11" ht="13.5" thickTop="1" x14ac:dyDescent="0.2">
      <c r="A13" s="2244" t="s">
        <v>388</v>
      </c>
      <c r="B13" s="2245"/>
      <c r="C13" s="2245"/>
      <c r="D13" s="2245"/>
      <c r="E13" s="2246"/>
      <c r="F13" s="786"/>
      <c r="G13" s="787"/>
      <c r="H13" s="788"/>
      <c r="I13" s="789"/>
      <c r="J13" s="789"/>
      <c r="K13" s="789"/>
    </row>
    <row r="14" spans="1:11" x14ac:dyDescent="0.2">
      <c r="A14" s="2266" t="s">
        <v>476</v>
      </c>
      <c r="B14" s="2266"/>
      <c r="C14" s="2266"/>
      <c r="D14" s="2266"/>
      <c r="E14" s="2267"/>
      <c r="F14" s="790" t="s">
        <v>909</v>
      </c>
      <c r="G14" s="783"/>
      <c r="H14" s="765">
        <v>80221</v>
      </c>
      <c r="I14" s="772"/>
      <c r="J14" s="774"/>
      <c r="K14" s="766">
        <v>46779</v>
      </c>
    </row>
    <row r="15" spans="1:11" x14ac:dyDescent="0.2">
      <c r="A15" s="2233" t="s">
        <v>4</v>
      </c>
      <c r="B15" s="2233"/>
      <c r="C15" s="2233"/>
      <c r="D15" s="2233"/>
      <c r="E15" s="2261"/>
      <c r="F15" s="790" t="s">
        <v>910</v>
      </c>
      <c r="G15" s="772"/>
      <c r="H15" s="765"/>
      <c r="I15" s="765"/>
      <c r="J15" s="766"/>
      <c r="K15" s="766"/>
    </row>
    <row r="16" spans="1:11" x14ac:dyDescent="0.2">
      <c r="A16" s="2233" t="s">
        <v>316</v>
      </c>
      <c r="B16" s="2233"/>
      <c r="C16" s="2233"/>
      <c r="D16" s="2233"/>
      <c r="E16" s="2261"/>
      <c r="F16" s="790" t="s">
        <v>980</v>
      </c>
      <c r="G16" s="773"/>
      <c r="H16" s="768"/>
      <c r="I16" s="768"/>
      <c r="J16" s="770"/>
      <c r="K16" s="770"/>
    </row>
    <row r="17" spans="1:11" x14ac:dyDescent="0.2">
      <c r="A17" s="2255" t="s">
        <v>992</v>
      </c>
      <c r="B17" s="2255"/>
      <c r="C17" s="2255"/>
      <c r="D17" s="2255"/>
      <c r="E17" s="2256"/>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68" t="s">
        <v>1916</v>
      </c>
      <c r="B19" s="2268"/>
      <c r="C19" s="2268"/>
      <c r="D19" s="2268"/>
      <c r="E19" s="2269"/>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53" t="s">
        <v>659</v>
      </c>
      <c r="B21" s="2253"/>
      <c r="C21" s="2253"/>
      <c r="D21" s="2253"/>
      <c r="E21" s="2253"/>
      <c r="F21" s="1781"/>
      <c r="G21" s="793"/>
      <c r="H21" s="797"/>
      <c r="I21" s="797"/>
      <c r="J21" s="1782">
        <f>SUM(J18:J20)</f>
        <v>0</v>
      </c>
      <c r="K21" s="794"/>
    </row>
    <row r="22" spans="1:11" ht="13.5" thickTop="1" x14ac:dyDescent="0.2">
      <c r="A22" s="2233" t="s">
        <v>1922</v>
      </c>
      <c r="B22" s="2233"/>
      <c r="C22" s="2233"/>
      <c r="D22" s="2233"/>
      <c r="E22" s="2261"/>
      <c r="F22" s="790" t="s">
        <v>917</v>
      </c>
      <c r="G22" s="783"/>
      <c r="H22" s="765"/>
      <c r="I22" s="765"/>
      <c r="J22" s="798"/>
      <c r="K22" s="766"/>
    </row>
    <row r="23" spans="1:11" ht="13.5" thickBot="1" x14ac:dyDescent="0.25">
      <c r="A23" s="2254" t="s">
        <v>962</v>
      </c>
      <c r="B23" s="2253"/>
      <c r="C23" s="2253"/>
      <c r="D23" s="2253"/>
      <c r="E23" s="2253"/>
      <c r="F23" s="1783"/>
      <c r="G23" s="1780">
        <f>SUM(G14:G16,G21,G22)</f>
        <v>0</v>
      </c>
      <c r="H23" s="1780">
        <f>SUM(H14:H16,H21,H22)</f>
        <v>80221</v>
      </c>
      <c r="I23" s="1780">
        <f>SUM(I14:I16,I21,I22)</f>
        <v>0</v>
      </c>
      <c r="J23" s="1780">
        <f>SUM(J14:J16,J21,J22)</f>
        <v>0</v>
      </c>
      <c r="K23" s="1780">
        <f>SUM(K14:K16,K21,K22)</f>
        <v>46779</v>
      </c>
    </row>
    <row r="24" spans="1:11" ht="14.25" thickTop="1" thickBot="1" x14ac:dyDescent="0.25">
      <c r="A24" s="2254" t="s">
        <v>2026</v>
      </c>
      <c r="B24" s="2253"/>
      <c r="C24" s="2253"/>
      <c r="D24" s="2253"/>
      <c r="E24" s="2253"/>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3"/>
      <c r="I31" s="2264"/>
      <c r="J31" s="2264"/>
      <c r="K31" s="2264"/>
    </row>
    <row r="32" spans="1:11" x14ac:dyDescent="0.2">
      <c r="A32" s="810"/>
      <c r="B32" s="237"/>
      <c r="C32" s="237"/>
      <c r="D32" s="237"/>
      <c r="E32" s="806"/>
      <c r="F32" s="812" t="s">
        <v>561</v>
      </c>
      <c r="G32" s="765"/>
      <c r="H32" s="2265"/>
      <c r="I32" s="2264"/>
      <c r="J32" s="2264"/>
      <c r="K32" s="2264"/>
    </row>
    <row r="33" spans="1:11" ht="1.5" customHeight="1" x14ac:dyDescent="0.2">
      <c r="A33" s="813" t="s">
        <v>1231</v>
      </c>
      <c r="B33" s="364"/>
      <c r="C33" s="364"/>
      <c r="D33" s="364"/>
      <c r="E33" s="364"/>
      <c r="F33" s="364"/>
      <c r="G33" s="814"/>
      <c r="H33" s="2265"/>
      <c r="I33" s="2264"/>
      <c r="J33" s="2264"/>
      <c r="K33" s="226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34"/>
      <c r="C41" s="2234"/>
      <c r="D41" s="2234"/>
      <c r="E41" s="2234"/>
      <c r="F41" s="223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0" firstPageNumber="64" orientation="landscape" useFirstPageNumber="1" r:id="rId1"/>
  <headerFooter>
    <oddHeader xml:space="preserve">&amp;C&amp;"Arial,Bold"Schedule of Restricted Local Tax Levies and Selected Revenues Sources 
Schedule of Tort Immunity Expenditures </oddHeader>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1313712</v>
      </c>
      <c r="D5" s="842"/>
      <c r="E5" s="842"/>
      <c r="F5" s="1782">
        <f>(C5+D5)-E5</f>
        <v>1313712</v>
      </c>
      <c r="G5" s="838"/>
      <c r="H5" s="843"/>
      <c r="I5" s="843"/>
      <c r="J5" s="843"/>
      <c r="K5" s="794"/>
      <c r="L5" s="1791">
        <f>F5-K5</f>
        <v>1313712</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43739361</v>
      </c>
      <c r="D8" s="845"/>
      <c r="E8" s="845"/>
      <c r="F8" s="1782">
        <f>(C8+D8)-E8</f>
        <v>43739361</v>
      </c>
      <c r="G8" s="844">
        <v>50</v>
      </c>
      <c r="H8" s="766">
        <v>12859660</v>
      </c>
      <c r="I8" s="766">
        <v>874787</v>
      </c>
      <c r="J8" s="766"/>
      <c r="K8" s="1791">
        <f>(H8+I8)-J8</f>
        <v>13734447</v>
      </c>
      <c r="L8" s="1791">
        <f>F8-K8</f>
        <v>30004914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3728023</v>
      </c>
      <c r="D10" s="847">
        <v>164001</v>
      </c>
      <c r="E10" s="847"/>
      <c r="F10" s="1786">
        <f>(C10+D10)-E10</f>
        <v>3892024</v>
      </c>
      <c r="G10" s="844">
        <v>20</v>
      </c>
      <c r="H10" s="848">
        <v>1508959</v>
      </c>
      <c r="I10" s="848">
        <v>194601</v>
      </c>
      <c r="J10" s="848"/>
      <c r="K10" s="1791">
        <f>(H10+I10)-J10</f>
        <v>1703560</v>
      </c>
      <c r="L10" s="1791">
        <f>F10-K10</f>
        <v>2188464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1936186</v>
      </c>
      <c r="D12" s="845">
        <v>160104</v>
      </c>
      <c r="E12" s="845">
        <v>467385</v>
      </c>
      <c r="F12" s="1782">
        <f>(C12+D12)-E12</f>
        <v>1628905</v>
      </c>
      <c r="G12" s="844">
        <v>10</v>
      </c>
      <c r="H12" s="766">
        <v>1245760</v>
      </c>
      <c r="I12" s="766">
        <v>193619</v>
      </c>
      <c r="J12" s="766">
        <v>467385</v>
      </c>
      <c r="K12" s="1791">
        <f>(H12+I12)-J12</f>
        <v>971994</v>
      </c>
      <c r="L12" s="1791">
        <f>F12-K12</f>
        <v>656911</v>
      </c>
    </row>
    <row r="13" spans="1:14" ht="14.25" thickTop="1" thickBot="1" x14ac:dyDescent="0.25">
      <c r="A13" s="849" t="s">
        <v>1184</v>
      </c>
      <c r="B13" s="841">
        <v>252</v>
      </c>
      <c r="C13" s="845">
        <v>2425247</v>
      </c>
      <c r="D13" s="845">
        <v>161726</v>
      </c>
      <c r="E13" s="845">
        <v>963667</v>
      </c>
      <c r="F13" s="1782">
        <f>(C13+D13)-E13</f>
        <v>1623306</v>
      </c>
      <c r="G13" s="844">
        <v>5</v>
      </c>
      <c r="H13" s="766">
        <v>1075684</v>
      </c>
      <c r="I13" s="766">
        <v>230666</v>
      </c>
      <c r="J13" s="766">
        <v>481754</v>
      </c>
      <c r="K13" s="1791">
        <f>(H13+I13)-J13</f>
        <v>824596</v>
      </c>
      <c r="L13" s="1791">
        <f>F13-K13</f>
        <v>798710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53142529</v>
      </c>
      <c r="D16" s="1782">
        <f>SUM(D3,D5:D6,D8:D10,D12:D15)</f>
        <v>485831</v>
      </c>
      <c r="E16" s="1782">
        <f>SUM(E3,E5:E6,E8:E10,E12:E15)</f>
        <v>1431052</v>
      </c>
      <c r="F16" s="1782">
        <f>SUM(F3,F5:F6,F8:F10,F12:F15)</f>
        <v>52197308</v>
      </c>
      <c r="G16" s="844"/>
      <c r="H16" s="1782">
        <f>SUM(H3,H6,H8:H10,H12:H14,)</f>
        <v>16690063</v>
      </c>
      <c r="I16" s="1782">
        <f>SUM(I3,I6,I8:I10,I12:I14,)</f>
        <v>1493673</v>
      </c>
      <c r="J16" s="1782">
        <f>SUM(J3,J6,J8:J10,J12:J14,)</f>
        <v>949139</v>
      </c>
      <c r="K16" s="1782">
        <f>(H16+I16)-J16</f>
        <v>17234597</v>
      </c>
      <c r="L16" s="1782">
        <f>F16-K16</f>
        <v>34962711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1493673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65" orientation="landscape" useFirstPageNumber="1" r:id="rId1"/>
  <headerFooter alignWithMargins="0">
    <oddHeader xml:space="preserve">&amp;C </oddHeader>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pane="bottomLeft"/>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9661452</v>
      </c>
      <c r="G8" s="866"/>
    </row>
    <row r="9" spans="1:7" x14ac:dyDescent="0.2">
      <c r="A9" s="870" t="s">
        <v>480</v>
      </c>
      <c r="B9" s="871" t="s">
        <v>1989</v>
      </c>
      <c r="C9" s="872"/>
      <c r="D9" s="870" t="s">
        <v>522</v>
      </c>
      <c r="E9" s="869"/>
      <c r="F9" s="1935">
        <f>'Expenditures 15-22'!K151</f>
        <v>1127706</v>
      </c>
      <c r="G9" s="873"/>
    </row>
    <row r="10" spans="1:7" x14ac:dyDescent="0.2">
      <c r="A10" s="870" t="s">
        <v>520</v>
      </c>
      <c r="B10" s="871" t="s">
        <v>1990</v>
      </c>
      <c r="C10" s="872"/>
      <c r="D10" s="870" t="s">
        <v>522</v>
      </c>
      <c r="E10" s="869"/>
      <c r="F10" s="1935">
        <f>'Expenditures 15-22'!K174</f>
        <v>1455700</v>
      </c>
      <c r="G10" s="873"/>
    </row>
    <row r="11" spans="1:7" x14ac:dyDescent="0.2">
      <c r="A11" s="870" t="s">
        <v>481</v>
      </c>
      <c r="B11" s="871" t="s">
        <v>1991</v>
      </c>
      <c r="C11" s="872"/>
      <c r="D11" s="870" t="s">
        <v>522</v>
      </c>
      <c r="E11" s="869"/>
      <c r="F11" s="1935">
        <f>'Expenditures 15-22'!K210</f>
        <v>1270033</v>
      </c>
      <c r="G11" s="873"/>
    </row>
    <row r="12" spans="1:7" x14ac:dyDescent="0.2">
      <c r="A12" s="870" t="s">
        <v>482</v>
      </c>
      <c r="B12" s="871" t="s">
        <v>1992</v>
      </c>
      <c r="C12" s="872"/>
      <c r="D12" s="870" t="s">
        <v>522</v>
      </c>
      <c r="E12" s="869"/>
      <c r="F12" s="1935">
        <f>'Expenditures 15-22'!K295</f>
        <v>454344</v>
      </c>
      <c r="G12" s="873"/>
    </row>
    <row r="13" spans="1:7" x14ac:dyDescent="0.2">
      <c r="A13" s="870" t="s">
        <v>108</v>
      </c>
      <c r="B13" s="871" t="s">
        <v>1993</v>
      </c>
      <c r="C13" s="872"/>
      <c r="D13" s="870" t="s">
        <v>522</v>
      </c>
      <c r="E13" s="869"/>
      <c r="F13" s="1935">
        <f>'Expenditures 15-22'!K342</f>
        <v>1111495</v>
      </c>
      <c r="G13" s="874"/>
    </row>
    <row r="14" spans="1:7" ht="12" customHeight="1" thickBot="1" x14ac:dyDescent="0.25">
      <c r="A14" s="1792"/>
      <c r="B14" s="1793"/>
      <c r="C14" s="1794"/>
      <c r="D14" s="1795" t="s">
        <v>522</v>
      </c>
      <c r="E14" s="1796" t="s">
        <v>1015</v>
      </c>
      <c r="F14" s="1797">
        <f>SUM(F8:F13)</f>
        <v>15080730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605393</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33373</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1224770</v>
      </c>
      <c r="G53" s="866"/>
    </row>
    <row r="54" spans="1:7" x14ac:dyDescent="0.2">
      <c r="A54" s="870" t="s">
        <v>479</v>
      </c>
      <c r="B54" s="870" t="s">
        <v>1552</v>
      </c>
      <c r="C54" s="890" t="s">
        <v>1039</v>
      </c>
      <c r="D54" s="886" t="s">
        <v>1157</v>
      </c>
      <c r="E54" s="869"/>
      <c r="F54" s="1939">
        <f>'Expenditures 15-22'!G114</f>
        <v>160094</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85280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1030000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20029</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233318</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759</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3393016</v>
      </c>
      <c r="G76" s="866"/>
    </row>
    <row r="77" spans="1:8" s="894" customFormat="1" ht="12" customHeight="1" thickTop="1" thickBot="1" x14ac:dyDescent="0.25">
      <c r="A77" s="1801"/>
      <c r="B77" s="1798"/>
      <c r="C77" s="1794"/>
      <c r="D77" s="1799" t="s">
        <v>2012</v>
      </c>
      <c r="E77" s="1796"/>
      <c r="F77" s="1802">
        <f>(F14-F76)</f>
        <v>11687714</v>
      </c>
      <c r="G77" s="870"/>
    </row>
    <row r="78" spans="1:8" s="894" customFormat="1" ht="12" customHeight="1" thickTop="1" x14ac:dyDescent="0.2">
      <c r="A78" s="1803"/>
      <c r="B78" s="1798"/>
      <c r="C78" s="1794"/>
      <c r="D78" s="1799" t="s">
        <v>2059</v>
      </c>
      <c r="E78" s="1796"/>
      <c r="F78" s="899">
        <v>913.98</v>
      </c>
      <c r="G78" s="900"/>
      <c r="H78" s="870"/>
    </row>
    <row r="79" spans="1:8" s="894" customFormat="1" ht="12" customHeight="1" thickBot="1" x14ac:dyDescent="0.25">
      <c r="A79" s="1804"/>
      <c r="B79" s="1798"/>
      <c r="C79" s="1794"/>
      <c r="D79" s="1799" t="s">
        <v>2013</v>
      </c>
      <c r="E79" s="1796" t="s">
        <v>1015</v>
      </c>
      <c r="F79" s="1805">
        <f>IF(F78&gt;0,F77/F78," Complete Line 78")</f>
        <v>12787.71307906081</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5760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412120</v>
      </c>
      <c r="G94" s="913"/>
    </row>
    <row r="95" spans="1:7" x14ac:dyDescent="0.2">
      <c r="A95" s="909" t="s">
        <v>142</v>
      </c>
      <c r="B95" s="909" t="s">
        <v>177</v>
      </c>
      <c r="C95" s="911">
        <v>1700</v>
      </c>
      <c r="D95" s="919" t="str">
        <f>'Revenues 9-14'!A82</f>
        <v>Total District/School Activity Income</v>
      </c>
      <c r="E95" s="907"/>
      <c r="F95" s="1811">
        <f>SUM('Revenues 9-14'!C82,'Revenues 9-14'!D82)</f>
        <v>47657</v>
      </c>
      <c r="G95" s="913"/>
    </row>
    <row r="96" spans="1:7" x14ac:dyDescent="0.2">
      <c r="A96" s="909" t="s">
        <v>479</v>
      </c>
      <c r="B96" s="909" t="s">
        <v>178</v>
      </c>
      <c r="C96" s="911">
        <f>'Revenues 9-14'!B84</f>
        <v>1811</v>
      </c>
      <c r="D96" s="912" t="str">
        <f>'Revenues 9-14'!A84</f>
        <v>Rentals - Regular Textbooks</v>
      </c>
      <c r="E96" s="907"/>
      <c r="F96" s="1811">
        <f>'Revenues 9-14'!C84</f>
        <v>76509</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291011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3934</v>
      </c>
      <c r="G106" s="913"/>
    </row>
    <row r="107" spans="1:7" x14ac:dyDescent="0.2">
      <c r="A107" s="922" t="s">
        <v>685</v>
      </c>
      <c r="B107" s="909" t="s">
        <v>843</v>
      </c>
      <c r="C107" s="921">
        <v>3300</v>
      </c>
      <c r="D107" s="912" t="str">
        <f>'Revenues 9-14'!A144</f>
        <v>Total Bilingual Ed</v>
      </c>
      <c r="E107" s="907"/>
      <c r="F107" s="1811">
        <f>SUM('Revenues 9-14'!C144,'Revenues 9-14'!G144)</f>
        <v>10372</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40879</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271149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242036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1500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96169</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53762</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5618</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158</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31099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14173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1603906</v>
      </c>
    </row>
    <row r="179" spans="1:7" ht="12" customHeight="1" x14ac:dyDescent="0.2">
      <c r="A179" s="1792"/>
      <c r="B179" s="1806"/>
      <c r="C179" s="1807"/>
      <c r="D179" s="1808" t="s">
        <v>2015</v>
      </c>
      <c r="E179" s="1809"/>
      <c r="F179" s="1811">
        <f>'PCTC-OEPP 27-28'!F77-F178</f>
        <v>10083808</v>
      </c>
    </row>
    <row r="180" spans="1:7" ht="12" customHeight="1" x14ac:dyDescent="0.2">
      <c r="A180" s="1792"/>
      <c r="B180" s="1806"/>
      <c r="C180" s="1807"/>
      <c r="D180" s="1808" t="s">
        <v>1924</v>
      </c>
      <c r="E180" s="1809"/>
      <c r="F180" s="1811">
        <f>'Cap Outlay Deprec 26'!I18</f>
        <v>1493673</v>
      </c>
    </row>
    <row r="181" spans="1:7" ht="12" customHeight="1" x14ac:dyDescent="0.2">
      <c r="A181" s="1792"/>
      <c r="B181" s="1806"/>
      <c r="C181" s="1807"/>
      <c r="D181" s="1808" t="s">
        <v>2016</v>
      </c>
      <c r="E181" s="1809"/>
      <c r="F181" s="1811">
        <f>F179+F180</f>
        <v>11577481</v>
      </c>
    </row>
    <row r="182" spans="1:7" ht="12" customHeight="1" x14ac:dyDescent="0.2">
      <c r="A182" s="1792"/>
      <c r="B182" s="1812"/>
      <c r="C182" s="1807"/>
      <c r="D182" s="1808" t="str">
        <f>D78</f>
        <v>9 Month ADA from District Average Daily Attendance/Prior General State Aid Inquiry 2017-2018</v>
      </c>
      <c r="E182" s="1809"/>
      <c r="F182" s="1813">
        <f>'PCTC-OEPP 27-28'!F78</f>
        <v>913.98</v>
      </c>
      <c r="G182" s="931"/>
    </row>
    <row r="183" spans="1:7" ht="12" customHeight="1" thickBot="1" x14ac:dyDescent="0.25">
      <c r="A183" s="1792"/>
      <c r="B183" s="1812"/>
      <c r="C183" s="1807"/>
      <c r="D183" s="1808" t="s">
        <v>2017</v>
      </c>
      <c r="E183" s="1809" t="s">
        <v>1626</v>
      </c>
      <c r="F183" s="1814">
        <f>F181/F182</f>
        <v>12667.105407120505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66" orientation="portrait" useFirstPageNumber="1" r:id="rId2"/>
  <headerFooter alignWithMargins="0">
    <oddHeader xml:space="preserve">&amp;C </oddHeader>
    <oddFooter>&amp;R&amp;P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2097</v>
      </c>
      <c r="B17" s="1955" t="s">
        <v>2097</v>
      </c>
      <c r="C17" s="1956" t="s">
        <v>2097</v>
      </c>
      <c r="D17" s="1867">
        <v>0.1</v>
      </c>
      <c r="E17" s="1562">
        <f t="shared" ref="E17:E141" si="1">IF(D17&lt;=25000,D17,IF(D17&gt;25000,25000,0))</f>
        <v>0.1</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0.1</v>
      </c>
      <c r="E141" s="1563">
        <f t="shared" si="1"/>
        <v>0.1</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68" fitToHeight="0" orientation="landscape" useFirstPageNumber="1" r:id="rId1"/>
  <headerFoot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9"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6" t="s">
        <v>1945</v>
      </c>
      <c r="B11" s="2307"/>
      <c r="C11" s="2307"/>
      <c r="D11" s="230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6377444</v>
      </c>
      <c r="F19" s="1822"/>
      <c r="G19" s="1824">
        <f>'Expenditures 15-22'!K33-SUM('Expenditures 15-22'!G33,'Expenditures 15-22'!I33)+'Expenditures 15-22'!D229</f>
        <v>6377444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451378</v>
      </c>
      <c r="F21" s="1825"/>
      <c r="G21" s="1828">
        <f>'Expenditures 15-22'!K42-SUM('Expenditures 15-22'!G42,'Expenditures 15-22'!I42)+'Expenditures 15-22'!K120-SUM('Expenditures 15-22'!G120,'Expenditures 15-22'!I120)+'Expenditures 15-22'!K180-SUM('Expenditures 15-22'!G180,'Expenditures 15-22'!I180)+'Expenditures 15-22'!D238</f>
        <v>451378</v>
      </c>
      <c r="H21" s="988"/>
      <c r="I21" s="162"/>
    </row>
    <row r="22" spans="1:9" s="669" customFormat="1" ht="12" customHeight="1" x14ac:dyDescent="0.2">
      <c r="A22" s="995" t="s">
        <v>585</v>
      </c>
      <c r="B22" s="996"/>
      <c r="C22" s="994">
        <v>2200</v>
      </c>
      <c r="D22" s="1825"/>
      <c r="E22" s="1827">
        <f>'Expenditures 15-22'!K47-SUM('Expenditures 15-22'!G47,'Expenditures 15-22'!I47)+'Expenditures 15-22'!D243</f>
        <v>195650</v>
      </c>
      <c r="F22" s="1825"/>
      <c r="G22" s="1828">
        <f>'Expenditures 15-22'!K47-SUM('Expenditures 15-22'!G47,'Expenditures 15-22'!I47)+'Expenditures 15-22'!D243</f>
        <v>195650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1413442</v>
      </c>
      <c r="F23" s="1825"/>
      <c r="G23" s="1827">
        <f>'Expenditures 15-22'!K53-SUM('Expenditures 15-22'!G53,'Expenditures 15-22'!I53)+'Expenditures 15-22'!D257+'Expenditures 15-22'!K330-SUM('Expenditures 15-22'!G330,'Expenditures 15-22'!I330)</f>
        <v>1413442</v>
      </c>
      <c r="H23" s="988"/>
      <c r="I23" s="162"/>
    </row>
    <row r="24" spans="1:9" s="669" customFormat="1" ht="12" customHeight="1" x14ac:dyDescent="0.2">
      <c r="A24" s="995" t="s">
        <v>587</v>
      </c>
      <c r="B24" s="996"/>
      <c r="C24" s="994">
        <v>2400</v>
      </c>
      <c r="D24" s="1825"/>
      <c r="E24" s="1827">
        <f>'Expenditures 15-22'!K57-SUM('Expenditures 15-22'!G57,'Expenditures 15-22'!I57)+'Expenditures 15-22'!D261</f>
        <v>502753</v>
      </c>
      <c r="F24" s="1825"/>
      <c r="G24" s="1828">
        <f>'Expenditures 15-22'!K57-SUM('Expenditures 15-22'!G57,'Expenditures 15-22'!I57)+'Expenditures 15-22'!D261</f>
        <v>502753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177060</v>
      </c>
      <c r="E27" s="1827">
        <f>E8</f>
        <v>0</v>
      </c>
      <c r="F27" s="1827">
        <f>'Expenditures 15-22'!K60-SUM('Expenditures 15-22'!G60,'Expenditures 15-22'!I60)+'Expenditures 15-22'!D264-E8</f>
        <v>177060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1167296</v>
      </c>
      <c r="F28" s="1829">
        <f>'Expenditures 15-22'!K61-SUM('Expenditures 15-22'!G61,'Expenditures 15-22'!I61)+'Expenditures 15-22'!K124-SUM('Expenditures 15-22'!G124,'Expenditures 15-22'!I124)+'Expenditures 15-22'!D266-E9</f>
        <v>1167296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1141072</v>
      </c>
      <c r="F29" s="1825"/>
      <c r="G29" s="1828">
        <f>'Expenditures 15-22'!K62-SUM('Expenditures 15-22'!G62,'Expenditures 15-22'!I62)+'Expenditures 15-22'!K125-SUM('Expenditures 15-22'!G125,'Expenditures 15-22'!I125)+'Expenditures 15-22'!K182-SUM('Expenditures 15-22'!G182,'Expenditures 15-22'!I182)+'Expenditures 15-22'!D267</f>
        <v>1141072</v>
      </c>
      <c r="H29" s="986"/>
    </row>
    <row r="30" spans="1:9" ht="12" customHeight="1" x14ac:dyDescent="0.2">
      <c r="A30" s="995" t="s">
        <v>102</v>
      </c>
      <c r="B30" s="998"/>
      <c r="C30" s="994">
        <v>2560</v>
      </c>
      <c r="D30" s="1825"/>
      <c r="E30" s="1827">
        <f>'Expenditures 15-22'!K63-SUM('Expenditures 15-22'!G63,'Expenditures 15-22'!I63)+'Expenditures 15-22'!D268-E10</f>
        <v>419886</v>
      </c>
      <c r="F30" s="1825"/>
      <c r="G30" s="1827">
        <f>'Expenditures 15-22'!K63-SUM('Expenditures 15-22'!G63,'Expenditures 15-22'!I63)+'Expenditures 15-22'!D268-E10</f>
        <v>419886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20900</v>
      </c>
      <c r="F38" s="1825"/>
      <c r="G38" s="1827">
        <f>'Expenditures 15-22'!K73-SUM('Expenditures 15-22'!G73,'Expenditures 15-22'!I73)+'Expenditures 15-22'!K128-SUM('Expenditures 15-22'!G128,'Expenditures 15-22'!I128)+'Expenditures 15-22'!K183-SUM('Expenditures 15-22'!G183,'Expenditures 15-22'!I183)+'Expenditures 15-22'!D278</f>
        <v>20900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177060</v>
      </c>
      <c r="E41" s="1829">
        <f>SUM(E19:E40)</f>
        <v>11689821</v>
      </c>
      <c r="F41" s="1829">
        <f>SUM(F19:F39)</f>
        <v>1344356</v>
      </c>
      <c r="G41" s="1829">
        <f>SUM(G19:G40)</f>
        <v>10522525</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177060</v>
      </c>
      <c r="F43" s="1830" t="s">
        <v>495</v>
      </c>
      <c r="G43" s="1831">
        <f>F41</f>
        <v>1344356</v>
      </c>
    </row>
    <row r="44" spans="1:7" ht="12" customHeight="1" x14ac:dyDescent="0.2">
      <c r="A44" s="988"/>
      <c r="B44" s="162"/>
      <c r="C44" s="1002"/>
      <c r="D44" s="1830" t="s">
        <v>494</v>
      </c>
      <c r="E44" s="1831">
        <f>E41</f>
        <v>11689821</v>
      </c>
      <c r="F44" s="1830" t="s">
        <v>494</v>
      </c>
      <c r="G44" s="1831">
        <f>G41</f>
        <v>10522525</v>
      </c>
    </row>
    <row r="45" spans="1:7" ht="12" customHeight="1" x14ac:dyDescent="0.2">
      <c r="A45" s="988"/>
      <c r="B45" s="162"/>
      <c r="C45" s="162"/>
      <c r="D45" s="1832" t="s">
        <v>1063</v>
      </c>
      <c r="E45" s="1833">
        <f>(E43/E44)</f>
        <v>1.5146510797727357E-2</v>
      </c>
      <c r="F45" s="1832" t="s">
        <v>1063</v>
      </c>
      <c r="G45" s="1833">
        <f>(G43/G44)</f>
        <v>0.12775982950860179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69" orientation="landscape" useFirstPageNumber="1" r:id="rId1"/>
  <headerFooter alignWithMargins="0">
    <oddHeader>&amp;C&amp;"Arial,Bold"
ESTIMATED INDIRECT COST DATA</oddHeader>
    <oddFooter>&amp;R&amp;P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17" sqref="A1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2" t="s">
        <v>1446</v>
      </c>
      <c r="B1" s="2312"/>
      <c r="C1" s="2312"/>
      <c r="D1" s="2312"/>
      <c r="E1" s="2312"/>
      <c r="F1" s="231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3" t="s">
        <v>1627</v>
      </c>
      <c r="B5" s="2314"/>
      <c r="C5" s="2315"/>
      <c r="D5" s="2315"/>
      <c r="E5" s="2315"/>
      <c r="F5" s="2315"/>
    </row>
    <row r="6" spans="1:10" ht="12" customHeight="1" x14ac:dyDescent="0.25">
      <c r="A6" s="1875"/>
      <c r="B6" s="1876"/>
      <c r="C6" s="2316" t="str">
        <f>COVER!A17</f>
        <v>Rochelle Twp HSD 212</v>
      </c>
      <c r="D6" s="2316"/>
      <c r="E6" s="2316"/>
      <c r="F6" s="1877"/>
    </row>
    <row r="7" spans="1:10" ht="11.25" customHeight="1" thickBot="1" x14ac:dyDescent="0.3">
      <c r="A7" s="1875"/>
      <c r="B7" s="1876"/>
      <c r="C7" s="2317">
        <f>COVER!A13</f>
        <v>47071212017</v>
      </c>
      <c r="D7" s="2317"/>
      <c r="E7" s="231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2093</v>
      </c>
      <c r="D26" s="1890" t="s">
        <v>2093</v>
      </c>
      <c r="E26" s="1893"/>
      <c r="F26" s="1892" t="s">
        <v>2098</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2093</v>
      </c>
      <c r="D31" s="1890" t="s">
        <v>2093</v>
      </c>
      <c r="E31" s="1893"/>
      <c r="F31" s="1892" t="s">
        <v>2099</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1458</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rstPageNumber="70" orientation="landscape" useFirstPageNumber="1" r:id="rId1"/>
  <headerFooter>
    <oddFooter>&amp;R&amp;P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9"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Rochelle Twp HSD 212</v>
      </c>
      <c r="J6" s="2337"/>
      <c r="Q6" s="1686"/>
    </row>
    <row r="7" spans="1:17" x14ac:dyDescent="0.2">
      <c r="A7" s="2338" t="s">
        <v>924</v>
      </c>
      <c r="B7" s="2339"/>
      <c r="C7" s="2339"/>
      <c r="D7" s="2339"/>
      <c r="E7" s="2340"/>
      <c r="F7" s="1018"/>
      <c r="G7" s="1010"/>
      <c r="H7" s="1017" t="s">
        <v>390</v>
      </c>
      <c r="I7" s="2341">
        <f>COVER!A13</f>
        <v>47071212017</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204117</v>
      </c>
      <c r="F12" s="1040"/>
      <c r="G12" s="1834">
        <f t="shared" ref="G12:G18" si="0">SUM(E12:F12)</f>
        <v>204117</v>
      </c>
      <c r="H12" s="1041">
        <v>461910</v>
      </c>
      <c r="I12" s="1040"/>
      <c r="J12" s="1834">
        <f t="shared" ref="J12:J18" si="1">SUM(H12:I12)</f>
        <v>461910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204117</v>
      </c>
      <c r="F19" s="1836">
        <f t="shared" si="2"/>
        <v>0</v>
      </c>
      <c r="G19" s="1836">
        <f t="shared" si="2"/>
        <v>204117</v>
      </c>
      <c r="H19" s="1836">
        <f t="shared" si="2"/>
        <v>461910</v>
      </c>
      <c r="I19" s="1836">
        <f t="shared" si="2"/>
        <v>0</v>
      </c>
      <c r="J19" s="1836">
        <f t="shared" si="2"/>
        <v>461910</v>
      </c>
    </row>
    <row r="20" spans="1:10" ht="13.5" thickTop="1" x14ac:dyDescent="0.2">
      <c r="A20" s="1036">
        <v>9</v>
      </c>
      <c r="B20" s="2348" t="s">
        <v>1703</v>
      </c>
      <c r="C20" s="2348"/>
      <c r="D20" s="2349"/>
      <c r="E20" s="1047"/>
      <c r="F20" s="1047"/>
      <c r="G20" s="1047"/>
      <c r="H20" s="1047"/>
      <c r="I20" s="1047"/>
      <c r="J20" s="1837">
        <f>IF(AND(G19&gt;0,J19&gt;0),(((J19-G19)/G19)),"Enter Budget Data")</f>
        <v>1.2629668278487338</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t="s">
        <v>2077</v>
      </c>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71" orientation="landscape" useFirstPageNumber="1" r:id="rId1"/>
  <headerFooter alignWithMargins="0">
    <oddHeader xml:space="preserve">&amp;C </oddHeader>
    <oddFooter>&amp;R&amp;P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957" t="s">
        <v>2100</v>
      </c>
    </row>
    <row r="6" spans="1:2" x14ac:dyDescent="0.2">
      <c r="A6" s="1069">
        <v>2</v>
      </c>
      <c r="B6" s="1957" t="s">
        <v>2101</v>
      </c>
    </row>
    <row r="7" spans="1:2" x14ac:dyDescent="0.2">
      <c r="A7" s="1069">
        <v>3</v>
      </c>
      <c r="B7" s="1957" t="s">
        <v>2102</v>
      </c>
    </row>
    <row r="8" spans="1:2" x14ac:dyDescent="0.2">
      <c r="A8" s="1069">
        <v>4</v>
      </c>
      <c r="B8" s="1957" t="s">
        <v>2103</v>
      </c>
    </row>
    <row r="9" spans="1:2" x14ac:dyDescent="0.2">
      <c r="A9" s="1069">
        <v>5</v>
      </c>
      <c r="B9" s="1957" t="s">
        <v>2104</v>
      </c>
    </row>
    <row r="10" spans="1:2" x14ac:dyDescent="0.2">
      <c r="A10" s="1069">
        <v>6</v>
      </c>
      <c r="B10" s="1957" t="s">
        <v>2105</v>
      </c>
    </row>
    <row r="11" spans="1:2" x14ac:dyDescent="0.2">
      <c r="A11" s="1069">
        <v>7</v>
      </c>
      <c r="B11" s="1957" t="s">
        <v>2106</v>
      </c>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Rochelle Twp HSD 212</v>
      </c>
    </row>
    <row r="65" spans="2:2" x14ac:dyDescent="0.2">
      <c r="B65" s="1071">
        <f>COVER!A13</f>
        <v>47071212017</v>
      </c>
    </row>
  </sheetData>
  <phoneticPr fontId="13" type="noConversion"/>
  <pageMargins left="0.2" right="0.2" top="1.17" bottom="0.75" header="0.19" footer="0.16"/>
  <pageSetup scale="80" firstPageNumber="72" orientation="portrait" useFirstPageNumber="1" r:id="rId1"/>
  <headerFooter alignWithMargins="0">
    <oddHeader xml:space="preserve">&amp;C </oddHeader>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514350</xdr:colOff>
                <xdr:row>2</xdr:row>
                <xdr:rowOff>47625</xdr:rowOff>
              </from>
              <to>
                <xdr:col>1</xdr:col>
                <xdr:colOff>1428750</xdr:colOff>
                <xdr:row>6</xdr:row>
                <xdr:rowOff>47625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9562095</v>
      </c>
      <c r="C8" s="1838">
        <f>'Acct Summary 7-8'!D8</f>
        <v>1192447</v>
      </c>
      <c r="D8" s="1838">
        <f>'Acct Summary 7-8'!F8</f>
        <v>1360932</v>
      </c>
      <c r="E8" s="1838">
        <f>'Acct Summary 7-8'!I8</f>
        <v>200100</v>
      </c>
      <c r="F8" s="1838">
        <f>SUM(B8:E8)</f>
        <v>12315574</v>
      </c>
    </row>
    <row r="9" spans="1:8" s="1080" customFormat="1" ht="14.25" customHeight="1" thickBot="1" x14ac:dyDescent="0.25">
      <c r="A9" s="1079" t="s">
        <v>1436</v>
      </c>
      <c r="B9" s="1839">
        <f>'Acct Summary 7-8'!C17</f>
        <v>9661452</v>
      </c>
      <c r="C9" s="1839">
        <f>'Acct Summary 7-8'!D17</f>
        <v>1127706</v>
      </c>
      <c r="D9" s="1839">
        <f>'Acct Summary 7-8'!F17</f>
        <v>1270033</v>
      </c>
      <c r="E9" s="1838"/>
      <c r="F9" s="1838">
        <f>SUM(B9:E9)</f>
        <v>12059191</v>
      </c>
    </row>
    <row r="10" spans="1:8" s="1080" customFormat="1" ht="14.25" thickTop="1" thickBot="1" x14ac:dyDescent="0.25">
      <c r="A10" s="1081" t="s">
        <v>1437</v>
      </c>
      <c r="B10" s="1840">
        <f>(B8-B9)</f>
        <v>-99357</v>
      </c>
      <c r="C10" s="1840">
        <f>(C8-C9)</f>
        <v>64741</v>
      </c>
      <c r="D10" s="1840">
        <f>(D8-D9)</f>
        <v>90899</v>
      </c>
      <c r="E10" s="1839">
        <f>(E8-E9)</f>
        <v>200100</v>
      </c>
      <c r="F10" s="1841">
        <f>SUM(F8-F9)</f>
        <v>256383</v>
      </c>
    </row>
    <row r="11" spans="1:8" s="1080" customFormat="1" ht="14.25" thickTop="1" thickBot="1" x14ac:dyDescent="0.25">
      <c r="A11" s="1082" t="s">
        <v>1785</v>
      </c>
      <c r="B11" s="1842">
        <f>'Acct Summary 7-8'!C81</f>
        <v>7159013</v>
      </c>
      <c r="C11" s="1842">
        <f>'Acct Summary 7-8'!D81</f>
        <v>1209085</v>
      </c>
      <c r="D11" s="1842">
        <f>'Acct Summary 7-8'!F81</f>
        <v>1615791</v>
      </c>
      <c r="E11" s="1842">
        <f>'Acct Summary 7-8'!I81</f>
        <v>3315750</v>
      </c>
      <c r="F11" s="1843">
        <f>SUM(B11:E11)</f>
        <v>13299639</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47071212017</v>
      </c>
    </row>
    <row r="3" spans="1:2" x14ac:dyDescent="0.2">
      <c r="A3" t="s">
        <v>1013</v>
      </c>
      <c r="B3" s="138" t="str">
        <f>COVER!A15</f>
        <v>Ogle-Lee-DeKalb</v>
      </c>
    </row>
    <row r="4" spans="1:2" x14ac:dyDescent="0.2">
      <c r="A4" t="s">
        <v>1064</v>
      </c>
      <c r="B4" s="138" t="str">
        <f>COVER!A17</f>
        <v>Rochelle Twp HSD 212</v>
      </c>
    </row>
    <row r="5" spans="1:2" x14ac:dyDescent="0.2">
      <c r="A5" t="s">
        <v>728</v>
      </c>
      <c r="B5" s="138" t="str">
        <f>COVER!A38</f>
        <v>Jason Harper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f>IF(COVER!J31="x","Yes",IF(COVER!L31="x","No",0))</f>
        <v>0</v>
      </c>
    </row>
    <row r="15" spans="1:2" x14ac:dyDescent="0.2">
      <c r="A15" t="s">
        <v>598</v>
      </c>
      <c r="B15" s="138" t="str">
        <f>COVER!T23</f>
        <v>066-004023</v>
      </c>
    </row>
    <row r="16" spans="1:2" x14ac:dyDescent="0.2">
      <c r="A16" t="s">
        <v>442</v>
      </c>
      <c r="B16" s="138" t="str">
        <f>COVER!T13</f>
        <v>Wipfli LLP</v>
      </c>
    </row>
    <row r="17" spans="1:2" x14ac:dyDescent="0.2">
      <c r="A17" t="s">
        <v>939</v>
      </c>
      <c r="B17" s="138" t="str">
        <f>COVER!T15</f>
        <v>Rory Sohn</v>
      </c>
    </row>
    <row r="18" spans="1:2" x14ac:dyDescent="0.2">
      <c r="A18" t="s">
        <v>1212</v>
      </c>
      <c r="B18" s="138" t="str">
        <f>COVER!T17</f>
        <v>215 East First Street, Suite 200</v>
      </c>
    </row>
    <row r="19" spans="1:2" x14ac:dyDescent="0.2">
      <c r="A19" t="s">
        <v>941</v>
      </c>
      <c r="B19" s="138">
        <f>COVER!T25</f>
        <v>0</v>
      </c>
    </row>
    <row r="20" spans="1:2" x14ac:dyDescent="0.2">
      <c r="A20" t="s">
        <v>942</v>
      </c>
      <c r="B20" s="138" t="str">
        <f>COVER!T19</f>
        <v>Dixon</v>
      </c>
    </row>
    <row r="21" spans="1:2" x14ac:dyDescent="0.2">
      <c r="A21" t="s">
        <v>500</v>
      </c>
      <c r="B21" s="138" t="str">
        <f>COVER!X19</f>
        <v>IL</v>
      </c>
    </row>
    <row r="22" spans="1:2" x14ac:dyDescent="0.2">
      <c r="A22" t="s">
        <v>943</v>
      </c>
      <c r="B22" s="138">
        <f>COVER!Z19</f>
        <v>61021</v>
      </c>
    </row>
    <row r="23" spans="1:2" x14ac:dyDescent="0.2">
      <c r="A23" t="s">
        <v>1214</v>
      </c>
      <c r="B23" s="138" t="str">
        <f>COVER!T21</f>
        <v>815-284-3331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4877068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7156563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-2450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-2450</v>
      </c>
      <c r="C91" s="2" t="s">
        <v>594</v>
      </c>
      <c r="D91" s="2" t="str">
        <f t="shared" si="0"/>
        <v>Error?</v>
      </c>
    </row>
    <row r="92" spans="1:4" x14ac:dyDescent="0.2">
      <c r="A92" s="5">
        <v>31</v>
      </c>
      <c r="B92" s="138">
        <f>'Assets-Liab 5-6'!C39</f>
        <v>7159013</v>
      </c>
      <c r="D92" s="2" t="str">
        <f t="shared" si="0"/>
        <v>Error?</v>
      </c>
    </row>
    <row r="93" spans="1:4" x14ac:dyDescent="0.2">
      <c r="A93" s="5">
        <v>32</v>
      </c>
      <c r="B93" s="138">
        <f>'Assets-Liab 5-6'!C41</f>
        <v>7156563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1034262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1210844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1759</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1759</v>
      </c>
      <c r="C122" s="2" t="s">
        <v>594</v>
      </c>
      <c r="D122" s="2" t="str">
        <f t="shared" si="0"/>
        <v>Error?</v>
      </c>
    </row>
    <row r="123" spans="1:4" x14ac:dyDescent="0.2">
      <c r="A123" s="5">
        <v>62</v>
      </c>
      <c r="B123" s="138">
        <f>'Assets-Liab 5-6'!D39</f>
        <v>1209085</v>
      </c>
      <c r="D123" s="2" t="str">
        <f t="shared" si="0"/>
        <v>Error?</v>
      </c>
    </row>
    <row r="124" spans="1:4" x14ac:dyDescent="0.2">
      <c r="A124" s="5">
        <v>63</v>
      </c>
      <c r="B124" s="138">
        <f>'Assets-Liab 5-6'!D41</f>
        <v>1210844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1487994</v>
      </c>
      <c r="D129" s="2" t="str">
        <f t="shared" si="1"/>
        <v>Error?</v>
      </c>
    </row>
    <row r="130" spans="1:4" x14ac:dyDescent="0.2">
      <c r="A130" s="5">
        <v>69</v>
      </c>
      <c r="B130" s="138">
        <f>'Assets-Liab 5-6'!E12</f>
        <v>0</v>
      </c>
      <c r="D130" s="2" t="str">
        <f t="shared" si="1"/>
        <v>Error?</v>
      </c>
    </row>
    <row r="131" spans="1:4" x14ac:dyDescent="0.2">
      <c r="A131" s="5">
        <v>70</v>
      </c>
      <c r="B131" s="138">
        <f>'Assets-Liab 5-6'!E13</f>
        <v>1487994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762867</v>
      </c>
      <c r="C139" s="2" t="s">
        <v>594</v>
      </c>
      <c r="D139" s="2" t="str">
        <f t="shared" si="1"/>
        <v>Error?</v>
      </c>
    </row>
    <row r="140" spans="1:4" x14ac:dyDescent="0.2">
      <c r="A140" s="5">
        <v>79</v>
      </c>
      <c r="B140" s="138">
        <f>'Assets-Liab 5-6'!E39</f>
        <v>725127</v>
      </c>
      <c r="D140" s="2" t="str">
        <f t="shared" si="1"/>
        <v>Error?</v>
      </c>
    </row>
    <row r="141" spans="1:4" x14ac:dyDescent="0.2">
      <c r="A141" s="5">
        <v>80</v>
      </c>
      <c r="B141" s="138">
        <f>'Assets-Liab 5-6'!E41</f>
        <v>1487994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475914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1619017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3226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3226</v>
      </c>
      <c r="C169" s="2" t="s">
        <v>594</v>
      </c>
      <c r="D169" s="2" t="str">
        <f t="shared" si="1"/>
        <v>Error?</v>
      </c>
    </row>
    <row r="170" spans="1:4" x14ac:dyDescent="0.2">
      <c r="A170" s="5">
        <v>109</v>
      </c>
      <c r="B170" s="138">
        <f>'Assets-Liab 5-6'!F39</f>
        <v>1615791</v>
      </c>
      <c r="D170" s="2" t="str">
        <f t="shared" si="1"/>
        <v>Error?</v>
      </c>
    </row>
    <row r="171" spans="1:4" x14ac:dyDescent="0.2">
      <c r="A171" s="5">
        <v>110</v>
      </c>
      <c r="B171" s="138">
        <f>'Assets-Liab 5-6'!F41</f>
        <v>1619017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406198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406198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339417</v>
      </c>
      <c r="C188" s="2" t="s">
        <v>594</v>
      </c>
      <c r="D188" s="2" t="str">
        <f t="shared" si="1"/>
        <v>Error?</v>
      </c>
    </row>
    <row r="189" spans="1:4" x14ac:dyDescent="0.2">
      <c r="A189" s="5">
        <v>128</v>
      </c>
      <c r="B189" s="138">
        <f>'Assets-Liab 5-6'!G39</f>
        <v>66781</v>
      </c>
      <c r="D189" s="2" t="str">
        <f t="shared" si="1"/>
        <v>Error?</v>
      </c>
    </row>
    <row r="190" spans="1:4" x14ac:dyDescent="0.2">
      <c r="A190" s="5">
        <v>129</v>
      </c>
      <c r="B190" s="138">
        <f>'Assets-Liab 5-6'!G41</f>
        <v>406198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270659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270659</v>
      </c>
      <c r="D212" s="2" t="str">
        <f t="shared" si="2"/>
        <v>Error?</v>
      </c>
    </row>
    <row r="213" spans="1:4" x14ac:dyDescent="0.2">
      <c r="A213" s="12">
        <v>152</v>
      </c>
      <c r="B213" s="138">
        <f>'Assets-Liab 5-6'!H41</f>
        <v>270659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1313712</v>
      </c>
      <c r="D273" s="2" t="str">
        <f t="shared" si="3"/>
        <v>Error?</v>
      </c>
    </row>
    <row r="274" spans="1:4" x14ac:dyDescent="0.2">
      <c r="A274" s="5">
        <v>213</v>
      </c>
      <c r="B274" s="138">
        <f>'Assets-Liab 5-6'!M17</f>
        <v>30004914</v>
      </c>
      <c r="D274" s="2" t="str">
        <f t="shared" si="3"/>
        <v>Error?</v>
      </c>
    </row>
    <row r="275" spans="1:4" x14ac:dyDescent="0.2">
      <c r="A275" s="5">
        <v>214</v>
      </c>
      <c r="B275" s="138">
        <f>'Assets-Liab 5-6'!M18</f>
        <v>2188464</v>
      </c>
      <c r="D275" s="2" t="str">
        <f t="shared" si="3"/>
        <v>Error?</v>
      </c>
    </row>
    <row r="276" spans="1:4" x14ac:dyDescent="0.2">
      <c r="A276" s="5">
        <v>215</v>
      </c>
      <c r="B276" s="138">
        <f>'Assets-Liab 5-6'!M19</f>
        <v>1455621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34962711</v>
      </c>
      <c r="C279" s="2" t="s">
        <v>594</v>
      </c>
      <c r="D279" s="2" t="str">
        <f t="shared" si="3"/>
        <v>Error?</v>
      </c>
    </row>
    <row r="280" spans="1:4" x14ac:dyDescent="0.2">
      <c r="A280" s="5">
        <v>219</v>
      </c>
      <c r="B280" s="138">
        <f>'Assets-Liab 5-6'!M40</f>
        <v>34962711</v>
      </c>
      <c r="D280" s="2" t="str">
        <f t="shared" si="3"/>
        <v>Error?</v>
      </c>
    </row>
    <row r="281" spans="1:4" x14ac:dyDescent="0.2">
      <c r="A281" s="5">
        <v>220</v>
      </c>
      <c r="B281" s="138">
        <f>'Assets-Liab 5-6'!M41</f>
        <v>34962711</v>
      </c>
      <c r="C281" s="2" t="s">
        <v>594</v>
      </c>
      <c r="D281" s="2" t="str">
        <f t="shared" si="3"/>
        <v>Error?</v>
      </c>
    </row>
    <row r="282" spans="1:4" x14ac:dyDescent="0.2">
      <c r="A282" s="5">
        <v>221</v>
      </c>
      <c r="B282" s="138">
        <f>'Assets-Liab 5-6'!N21</f>
        <v>725127</v>
      </c>
      <c r="D282" s="2" t="str">
        <f t="shared" si="3"/>
        <v>Error?</v>
      </c>
    </row>
    <row r="283" spans="1:4" x14ac:dyDescent="0.2">
      <c r="A283" s="5">
        <v>222</v>
      </c>
      <c r="B283" s="138">
        <f>'Assets-Liab 5-6'!N22</f>
        <v>10579873</v>
      </c>
      <c r="D283" s="2" t="str">
        <f t="shared" si="3"/>
        <v>Error?</v>
      </c>
    </row>
    <row r="284" spans="1:4" x14ac:dyDescent="0.2">
      <c r="A284" s="5">
        <v>223</v>
      </c>
      <c r="B284" s="138">
        <f>'Assets-Liab 5-6'!N23</f>
        <v>11305000</v>
      </c>
      <c r="C284" s="2" t="s">
        <v>594</v>
      </c>
      <c r="D284" s="2" t="str">
        <f t="shared" si="3"/>
        <v>Error?</v>
      </c>
    </row>
    <row r="285" spans="1:4" x14ac:dyDescent="0.2">
      <c r="A285" s="5">
        <v>224</v>
      </c>
      <c r="B285" s="138">
        <f>'Assets-Liab 5-6'!N36</f>
        <v>11305000</v>
      </c>
      <c r="D285" s="2" t="str">
        <f t="shared" si="3"/>
        <v>Error?</v>
      </c>
    </row>
    <row r="286" spans="1:4" x14ac:dyDescent="0.2">
      <c r="A286" s="10">
        <v>225</v>
      </c>
      <c r="D286" s="2" t="str">
        <f t="shared" si="3"/>
        <v>OK</v>
      </c>
    </row>
    <row r="287" spans="1:4" x14ac:dyDescent="0.2">
      <c r="A287" s="5">
        <v>226</v>
      </c>
      <c r="B287" s="138">
        <f>'Assets-Liab 5-6'!N37</f>
        <v>11305000</v>
      </c>
      <c r="C287" s="2" t="s">
        <v>594</v>
      </c>
      <c r="D287" s="2" t="str">
        <f t="shared" si="3"/>
        <v>Error?</v>
      </c>
    </row>
    <row r="288" spans="1:4" x14ac:dyDescent="0.2">
      <c r="A288" s="5">
        <v>227</v>
      </c>
      <c r="B288" s="138">
        <f>'Assets-Liab 5-6'!N41</f>
        <v>11305000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175000</v>
      </c>
      <c r="D320" s="2" t="str">
        <f t="shared" si="4"/>
        <v>Error?</v>
      </c>
    </row>
    <row r="321" spans="1:4" x14ac:dyDescent="0.2">
      <c r="A321" s="5">
        <v>260</v>
      </c>
      <c r="B321" s="138">
        <f>'Acct Summary 7-8'!C26</f>
        <v>7500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3501458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443308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4607621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338308</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338308</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121036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121036</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144909</v>
      </c>
      <c r="D733" s="2" t="str">
        <f t="shared" si="10"/>
        <v>Error?</v>
      </c>
    </row>
    <row r="734" spans="1:4" x14ac:dyDescent="0.2">
      <c r="A734" s="5">
        <v>673</v>
      </c>
      <c r="B734" s="138">
        <f>'Expenditures 15-22'!C53</f>
        <v>144909</v>
      </c>
      <c r="C734" s="2" t="s">
        <v>594</v>
      </c>
      <c r="D734" s="2" t="str">
        <f t="shared" si="10"/>
        <v>Error?</v>
      </c>
    </row>
    <row r="735" spans="1:4" x14ac:dyDescent="0.2">
      <c r="A735" s="5">
        <v>674</v>
      </c>
      <c r="B735" s="138">
        <f>'Expenditures 15-22'!C55</f>
        <v>353120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353120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95099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95099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19418</v>
      </c>
      <c r="D754" s="2" t="str">
        <f t="shared" si="10"/>
        <v>Error?</v>
      </c>
    </row>
    <row r="755" spans="1:4" x14ac:dyDescent="0.2">
      <c r="A755" s="5">
        <v>694</v>
      </c>
      <c r="B755" s="138">
        <f>'Expenditures 15-22'!C74</f>
        <v>1071890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5679511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985539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74683</v>
      </c>
      <c r="D776" s="2" t="str">
        <f t="shared" si="11"/>
        <v>Error?</v>
      </c>
    </row>
    <row r="777" spans="1:4" x14ac:dyDescent="0.2">
      <c r="A777" s="5">
        <v>716</v>
      </c>
      <c r="B777" s="138">
        <f>'Expenditures 15-22'!D15</f>
        <v>1198</v>
      </c>
      <c r="D777" s="2" t="str">
        <f t="shared" si="11"/>
        <v>Error?</v>
      </c>
    </row>
    <row r="778" spans="1:4" x14ac:dyDescent="0.2">
      <c r="A778" s="5">
        <v>717</v>
      </c>
      <c r="B778" s="138">
        <f>'Expenditures 15-22'!D33</f>
        <v>1190878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76966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76966</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30076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30076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49762</v>
      </c>
      <c r="D791" s="2" t="str">
        <f t="shared" si="11"/>
        <v>Error?</v>
      </c>
    </row>
    <row r="792" spans="1:4" x14ac:dyDescent="0.2">
      <c r="A792" s="5">
        <v>731</v>
      </c>
      <c r="B792" s="138">
        <f>'Expenditures 15-22'!D53</f>
        <v>49762</v>
      </c>
      <c r="C792" s="2" t="s">
        <v>594</v>
      </c>
      <c r="D792" s="2" t="str">
        <f t="shared" si="11"/>
        <v>Error?</v>
      </c>
    </row>
    <row r="793" spans="1:4" x14ac:dyDescent="0.2">
      <c r="A793" s="5">
        <v>732</v>
      </c>
      <c r="B793" s="138">
        <f>'Expenditures 15-22'!D55</f>
        <v>115887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115887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36628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36628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309319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1500197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2726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65789</v>
      </c>
      <c r="D834" s="2" t="str">
        <f t="shared" si="12"/>
        <v>Error?</v>
      </c>
    </row>
    <row r="835" spans="1:4" x14ac:dyDescent="0.2">
      <c r="A835" s="5">
        <v>774</v>
      </c>
      <c r="B835" s="138">
        <f>'Expenditures 15-22'!E15</f>
        <v>32175</v>
      </c>
      <c r="D835" s="2" t="str">
        <f t="shared" si="12"/>
        <v>Error?</v>
      </c>
    </row>
    <row r="836" spans="1:4" x14ac:dyDescent="0.2">
      <c r="A836" s="5">
        <v>775</v>
      </c>
      <c r="B836" s="138">
        <f>'Expenditures 15-22'!E33</f>
        <v>112917</v>
      </c>
      <c r="C836" s="2" t="s">
        <v>594</v>
      </c>
      <c r="D836" s="2" t="str">
        <f t="shared" si="12"/>
        <v>Error?</v>
      </c>
    </row>
    <row r="837" spans="1:4" x14ac:dyDescent="0.2">
      <c r="A837" s="5">
        <v>776</v>
      </c>
      <c r="B837" s="138">
        <f>'Expenditures 15-22'!E36</f>
        <v>9504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3264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12768</v>
      </c>
      <c r="C843" s="2" t="s">
        <v>594</v>
      </c>
      <c r="D843" s="2" t="str">
        <f t="shared" si="12"/>
        <v>Error?</v>
      </c>
    </row>
    <row r="844" spans="1:4" x14ac:dyDescent="0.2">
      <c r="A844" s="5">
        <v>783</v>
      </c>
      <c r="B844" s="138">
        <f>'Expenditures 15-22'!E44</f>
        <v>8843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10209</v>
      </c>
      <c r="D846" s="2" t="str">
        <f t="shared" si="12"/>
        <v>Error?</v>
      </c>
    </row>
    <row r="847" spans="1:4" x14ac:dyDescent="0.2">
      <c r="A847" s="5">
        <v>786</v>
      </c>
      <c r="B847" s="138">
        <f>'Expenditures 15-22'!E47</f>
        <v>19052</v>
      </c>
      <c r="C847" s="2" t="s">
        <v>594</v>
      </c>
      <c r="D847" s="2" t="str">
        <f t="shared" si="12"/>
        <v>Error?</v>
      </c>
    </row>
    <row r="848" spans="1:4" x14ac:dyDescent="0.2">
      <c r="A848" s="5">
        <v>787</v>
      </c>
      <c r="B848" s="138">
        <f>'Expenditures 15-22'!E49</f>
        <v>54432</v>
      </c>
      <c r="D848" s="2" t="str">
        <f t="shared" si="12"/>
        <v>Error?</v>
      </c>
    </row>
    <row r="849" spans="1:4" x14ac:dyDescent="0.2">
      <c r="A849" s="5">
        <v>788</v>
      </c>
      <c r="B849" s="138">
        <f>'Expenditures 15-22'!E50</f>
        <v>5475</v>
      </c>
      <c r="D849" s="2" t="str">
        <f t="shared" si="12"/>
        <v>Error?</v>
      </c>
    </row>
    <row r="850" spans="1:4" x14ac:dyDescent="0.2">
      <c r="A850" s="5">
        <v>789</v>
      </c>
      <c r="B850" s="138">
        <f>'Expenditures 15-22'!E53</f>
        <v>59907</v>
      </c>
      <c r="C850" s="2" t="s">
        <v>594</v>
      </c>
      <c r="D850" s="2" t="str">
        <f t="shared" si="12"/>
        <v>Error?</v>
      </c>
    </row>
    <row r="851" spans="1:4" x14ac:dyDescent="0.2">
      <c r="A851" s="5">
        <v>790</v>
      </c>
      <c r="B851" s="138">
        <f>'Expenditures 15-22'!E55</f>
        <v>2295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2295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35808</v>
      </c>
      <c r="D855" s="2" t="str">
        <f t="shared" si="12"/>
        <v>Error?</v>
      </c>
    </row>
    <row r="856" spans="1:4" x14ac:dyDescent="0.2">
      <c r="A856" s="5">
        <v>795</v>
      </c>
      <c r="B856" s="138">
        <f>'Expenditures 15-22'!E61</f>
        <v>64563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410573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510944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604966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1825616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180977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51526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243093</v>
      </c>
      <c r="C894" s="2" t="s">
        <v>594</v>
      </c>
      <c r="D894" s="2" t="str">
        <f t="shared" si="12"/>
        <v>Error?</v>
      </c>
    </row>
    <row r="895" spans="1:4" x14ac:dyDescent="0.2">
      <c r="A895" s="5">
        <v>834</v>
      </c>
      <c r="B895" s="138">
        <f>'Expenditures 15-22'!F36</f>
        <v>6116</v>
      </c>
      <c r="D895" s="2" t="str">
        <f t="shared" ref="D895:D958" si="13">IF(ISBLANK(B895),"OK",IF(A895-B895=0,"OK","Error?"))</f>
        <v>Error?</v>
      </c>
    </row>
    <row r="896" spans="1:4" x14ac:dyDescent="0.2">
      <c r="A896" s="5">
        <v>835</v>
      </c>
      <c r="B896" s="138">
        <f>'Expenditures 15-22'!F37</f>
        <v>621</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6737</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19894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19894</v>
      </c>
      <c r="C905" s="2" t="s">
        <v>594</v>
      </c>
      <c r="D905" s="2" t="str">
        <f t="shared" si="13"/>
        <v>Error?</v>
      </c>
    </row>
    <row r="906" spans="1:4" x14ac:dyDescent="0.2">
      <c r="A906" s="5">
        <v>845</v>
      </c>
      <c r="B906" s="138">
        <f>'Expenditures 15-22'!F49</f>
        <v>40</v>
      </c>
      <c r="D906" s="2" t="str">
        <f t="shared" si="13"/>
        <v>Error?</v>
      </c>
    </row>
    <row r="907" spans="1:4" x14ac:dyDescent="0.2">
      <c r="A907" s="5">
        <v>846</v>
      </c>
      <c r="B907" s="138">
        <f>'Expenditures 15-22'!F50</f>
        <v>41</v>
      </c>
      <c r="D907" s="2" t="str">
        <f t="shared" si="13"/>
        <v>Error?</v>
      </c>
    </row>
    <row r="908" spans="1:4" x14ac:dyDescent="0.2">
      <c r="A908" s="5">
        <v>847</v>
      </c>
      <c r="B908" s="138">
        <f>'Expenditures 15-22'!F53</f>
        <v>81</v>
      </c>
      <c r="C908" s="2" t="s">
        <v>594</v>
      </c>
      <c r="D908" s="2" t="str">
        <f t="shared" si="13"/>
        <v>Error?</v>
      </c>
    </row>
    <row r="909" spans="1:4" x14ac:dyDescent="0.2">
      <c r="A909" s="5">
        <v>848</v>
      </c>
      <c r="B909" s="138">
        <f>'Expenditures 15-22'!F55</f>
        <v>333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333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1309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9313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10622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37667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280760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77667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159365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729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729</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729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160094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23777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46038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69815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14</v>
      </c>
      <c r="C1021" s="2" t="s">
        <v>594</v>
      </c>
      <c r="D1021" s="2" t="str">
        <f t="shared" si="14"/>
        <v>Error?</v>
      </c>
    </row>
    <row r="1022" spans="1:4" x14ac:dyDescent="0.2">
      <c r="A1022" s="5">
        <v>961</v>
      </c>
      <c r="B1022" s="138">
        <f>'Expenditures 15-22'!H49</f>
        <v>13050</v>
      </c>
      <c r="D1022" s="2" t="str">
        <f t="shared" si="14"/>
        <v>Error?</v>
      </c>
    </row>
    <row r="1023" spans="1:4" x14ac:dyDescent="0.2">
      <c r="A1023" s="5">
        <v>962</v>
      </c>
      <c r="B1023" s="138">
        <f>'Expenditures 15-22'!H50</f>
        <v>3930</v>
      </c>
      <c r="D1023" s="2" t="str">
        <f t="shared" ref="D1023:D1086" si="15">IF(ISBLANK(B1023),"OK",IF(A1023-B1023=0,"OK","Error?"))</f>
        <v>Error?</v>
      </c>
    </row>
    <row r="1024" spans="1:4" x14ac:dyDescent="0.2">
      <c r="A1024" s="5">
        <v>963</v>
      </c>
      <c r="B1024" s="138">
        <f>'Expenditures 15-22'!H53</f>
        <v>16980</v>
      </c>
      <c r="C1024" s="2" t="s">
        <v>594</v>
      </c>
      <c r="D1024" s="2" t="str">
        <f t="shared" si="15"/>
        <v>Error?</v>
      </c>
    </row>
    <row r="1025" spans="1:4" x14ac:dyDescent="0.2">
      <c r="A1025" s="5">
        <v>964</v>
      </c>
      <c r="B1025" s="138">
        <f>'Expenditures 15-22'!H55</f>
        <v>6564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6564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4864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4864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28422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117037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215274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4772144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681344</v>
      </c>
      <c r="C1106" s="2" t="s">
        <v>594</v>
      </c>
      <c r="D1106" s="2" t="str">
        <f t="shared" si="16"/>
        <v>Error?</v>
      </c>
    </row>
    <row r="1107" spans="1:4" x14ac:dyDescent="0.2">
      <c r="A1107" s="5">
        <v>1046</v>
      </c>
      <c r="B1107" s="138">
        <f>'Expenditures 15-22'!K15</f>
        <v>33373</v>
      </c>
      <c r="C1107" s="2" t="s">
        <v>594</v>
      </c>
      <c r="D1107" s="2" t="str">
        <f t="shared" si="16"/>
        <v>Error?</v>
      </c>
    </row>
    <row r="1108" spans="1:4" x14ac:dyDescent="0.2">
      <c r="A1108" s="5">
        <v>1047</v>
      </c>
      <c r="B1108" s="138">
        <f>'Expenditures 15-22'!K33</f>
        <v>6383689</v>
      </c>
      <c r="C1108" s="2" t="s">
        <v>594</v>
      </c>
      <c r="D1108" s="2" t="str">
        <f t="shared" si="16"/>
        <v>Error?</v>
      </c>
    </row>
    <row r="1109" spans="1:4" x14ac:dyDescent="0.2">
      <c r="A1109" s="5">
        <v>1048</v>
      </c>
      <c r="B1109" s="138">
        <f>'Expenditures 15-22'!K36</f>
        <v>15620</v>
      </c>
      <c r="C1109" s="2" t="s">
        <v>594</v>
      </c>
      <c r="D1109" s="2" t="str">
        <f t="shared" si="16"/>
        <v>Error?</v>
      </c>
    </row>
    <row r="1110" spans="1:4" x14ac:dyDescent="0.2">
      <c r="A1110" s="5">
        <v>1049</v>
      </c>
      <c r="B1110" s="138">
        <f>'Expenditures 15-22'!K37</f>
        <v>415895</v>
      </c>
      <c r="C1110" s="2" t="s">
        <v>594</v>
      </c>
      <c r="D1110" s="2" t="str">
        <f t="shared" si="16"/>
        <v>Error?</v>
      </c>
    </row>
    <row r="1111" spans="1:4" x14ac:dyDescent="0.2">
      <c r="A1111" s="5">
        <v>1050</v>
      </c>
      <c r="B1111" s="138">
        <f>'Expenditures 15-22'!K38</f>
        <v>3264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434779</v>
      </c>
      <c r="C1115" s="2" t="s">
        <v>594</v>
      </c>
      <c r="D1115" s="2" t="str">
        <f t="shared" si="16"/>
        <v>Error?</v>
      </c>
    </row>
    <row r="1116" spans="1:4" x14ac:dyDescent="0.2">
      <c r="A1116" s="5">
        <v>1055</v>
      </c>
      <c r="B1116" s="138">
        <f>'Expenditures 15-22'!K44</f>
        <v>8843</v>
      </c>
      <c r="C1116" s="2" t="s">
        <v>594</v>
      </c>
      <c r="D1116" s="2" t="str">
        <f t="shared" si="16"/>
        <v>Error?</v>
      </c>
    </row>
    <row r="1117" spans="1:4" x14ac:dyDescent="0.2">
      <c r="A1117" s="5">
        <v>1056</v>
      </c>
      <c r="B1117" s="138">
        <f>'Expenditures 15-22'!K45</f>
        <v>171749</v>
      </c>
      <c r="C1117" s="2" t="s">
        <v>594</v>
      </c>
      <c r="D1117" s="2" t="str">
        <f t="shared" si="16"/>
        <v>Error?</v>
      </c>
    </row>
    <row r="1118" spans="1:4" x14ac:dyDescent="0.2">
      <c r="A1118" s="5">
        <v>1057</v>
      </c>
      <c r="B1118" s="138">
        <f>'Expenditures 15-22'!K46</f>
        <v>10209</v>
      </c>
      <c r="C1118" s="2" t="s">
        <v>594</v>
      </c>
      <c r="D1118" s="2" t="str">
        <f t="shared" si="16"/>
        <v>Error?</v>
      </c>
    </row>
    <row r="1119" spans="1:4" x14ac:dyDescent="0.2">
      <c r="A1119" s="5">
        <v>1058</v>
      </c>
      <c r="B1119" s="138">
        <f>'Expenditures 15-22'!K47</f>
        <v>190801</v>
      </c>
      <c r="C1119" s="2" t="s">
        <v>594</v>
      </c>
      <c r="D1119" s="2" t="str">
        <f t="shared" si="16"/>
        <v>Error?</v>
      </c>
    </row>
    <row r="1120" spans="1:4" x14ac:dyDescent="0.2">
      <c r="A1120" s="5">
        <v>1059</v>
      </c>
      <c r="B1120" s="138">
        <f>'Expenditures 15-22'!K49</f>
        <v>67522</v>
      </c>
      <c r="C1120" s="2" t="s">
        <v>594</v>
      </c>
      <c r="D1120" s="2" t="str">
        <f t="shared" si="16"/>
        <v>Error?</v>
      </c>
    </row>
    <row r="1121" spans="1:4" x14ac:dyDescent="0.2">
      <c r="A1121" s="5">
        <v>1060</v>
      </c>
      <c r="B1121" s="138">
        <f>'Expenditures 15-22'!K50</f>
        <v>204117</v>
      </c>
      <c r="C1121" s="2" t="s">
        <v>594</v>
      </c>
      <c r="D1121" s="2" t="str">
        <f t="shared" si="16"/>
        <v>Error?</v>
      </c>
    </row>
    <row r="1122" spans="1:4" x14ac:dyDescent="0.2">
      <c r="A1122" s="5">
        <v>1061</v>
      </c>
      <c r="B1122" s="138">
        <f>'Expenditures 15-22'!K53</f>
        <v>271639</v>
      </c>
      <c r="C1122" s="2" t="s">
        <v>594</v>
      </c>
      <c r="D1122" s="2" t="str">
        <f t="shared" si="16"/>
        <v>Error?</v>
      </c>
    </row>
    <row r="1123" spans="1:4" x14ac:dyDescent="0.2">
      <c r="A1123" s="5">
        <v>1062</v>
      </c>
      <c r="B1123" s="138">
        <f>'Expenditures 15-22'!K55</f>
        <v>478199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478199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173708</v>
      </c>
      <c r="C1127" s="2" t="s">
        <v>594</v>
      </c>
      <c r="D1127" s="2" t="str">
        <f t="shared" si="16"/>
        <v>Error?</v>
      </c>
    </row>
    <row r="1128" spans="1:4" x14ac:dyDescent="0.2">
      <c r="A1128" s="5">
        <v>1067</v>
      </c>
      <c r="B1128" s="138">
        <f>'Expenditures 15-22'!K61</f>
        <v>64563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419886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658157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19418</v>
      </c>
      <c r="C1142" s="2" t="s">
        <v>594</v>
      </c>
      <c r="D1142" s="2" t="str">
        <f t="shared" si="16"/>
        <v>Error?</v>
      </c>
    </row>
    <row r="1143" spans="1:4" x14ac:dyDescent="0.2">
      <c r="A1143" s="5">
        <v>1082</v>
      </c>
      <c r="B1143" s="138">
        <f>'Expenditures 15-22'!K74</f>
        <v>2052993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1224770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9661452</v>
      </c>
      <c r="C1152" s="2" t="s">
        <v>594</v>
      </c>
      <c r="D1152" s="2" t="str">
        <f t="shared" si="17"/>
        <v>Error?</v>
      </c>
    </row>
    <row r="1153" spans="1:4" x14ac:dyDescent="0.2">
      <c r="A1153" s="5">
        <v>1092</v>
      </c>
      <c r="B1153" s="138">
        <f>'Expenditures 15-22'!K115</f>
        <v>-99357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336263</v>
      </c>
      <c r="D1221" s="2" t="str">
        <f t="shared" si="18"/>
        <v>Error?</v>
      </c>
    </row>
    <row r="1222" spans="1:4" x14ac:dyDescent="0.2">
      <c r="A1222" s="10">
        <v>1161</v>
      </c>
      <c r="D1222" s="2" t="str">
        <f t="shared" si="18"/>
        <v>OK</v>
      </c>
    </row>
    <row r="1223" spans="1:4" x14ac:dyDescent="0.2">
      <c r="A1223" s="5">
        <v>1162</v>
      </c>
      <c r="B1223" s="138">
        <f>'Expenditures 15-22'!C127</f>
        <v>336263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336263</v>
      </c>
      <c r="C1225" s="2" t="s">
        <v>594</v>
      </c>
      <c r="D1225" s="2" t="str">
        <f t="shared" si="18"/>
        <v>Error?</v>
      </c>
    </row>
    <row r="1226" spans="1:4" x14ac:dyDescent="0.2">
      <c r="A1226" s="5">
        <v>1165</v>
      </c>
      <c r="B1226" s="138">
        <f>'Expenditures 15-22'!C151</f>
        <v>336263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105582</v>
      </c>
      <c r="D1229" s="2" t="str">
        <f t="shared" si="18"/>
        <v>Error?</v>
      </c>
    </row>
    <row r="1230" spans="1:4" x14ac:dyDescent="0.2">
      <c r="A1230" s="10">
        <v>1169</v>
      </c>
      <c r="D1230" s="2" t="str">
        <f t="shared" si="18"/>
        <v>OK</v>
      </c>
    </row>
    <row r="1231" spans="1:4" x14ac:dyDescent="0.2">
      <c r="A1231" s="5">
        <v>1170</v>
      </c>
      <c r="B1231" s="138">
        <f>'Expenditures 15-22'!D127</f>
        <v>105582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105582</v>
      </c>
      <c r="C1233" s="2" t="s">
        <v>594</v>
      </c>
      <c r="D1233" s="2" t="str">
        <f t="shared" si="18"/>
        <v>Error?</v>
      </c>
    </row>
    <row r="1234" spans="1:4" x14ac:dyDescent="0.2">
      <c r="A1234" s="5">
        <v>1173</v>
      </c>
      <c r="B1234" s="138">
        <f>'Expenditures 15-22'!D151</f>
        <v>105582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94620</v>
      </c>
      <c r="D1237" s="2" t="str">
        <f t="shared" si="18"/>
        <v>Error?</v>
      </c>
    </row>
    <row r="1238" spans="1:4" x14ac:dyDescent="0.2">
      <c r="A1238" s="10">
        <v>1177</v>
      </c>
      <c r="D1238" s="2" t="str">
        <f t="shared" si="18"/>
        <v>OK</v>
      </c>
    </row>
    <row r="1239" spans="1:4" x14ac:dyDescent="0.2">
      <c r="A1239" s="5">
        <v>1178</v>
      </c>
      <c r="B1239" s="138">
        <f>'Expenditures 15-22'!E127</f>
        <v>94620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94620</v>
      </c>
      <c r="C1241" s="2" t="s">
        <v>594</v>
      </c>
      <c r="D1241" s="2" t="str">
        <f t="shared" si="18"/>
        <v>Error?</v>
      </c>
    </row>
    <row r="1242" spans="1:4" x14ac:dyDescent="0.2">
      <c r="A1242" s="5">
        <v>1181</v>
      </c>
      <c r="B1242" s="138">
        <f>'Expenditures 15-22'!E151</f>
        <v>94620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5930</v>
      </c>
      <c r="D1244" s="2" t="str">
        <f t="shared" si="18"/>
        <v>Error?</v>
      </c>
    </row>
    <row r="1245" spans="1:4" x14ac:dyDescent="0.2">
      <c r="A1245" s="5">
        <v>1184</v>
      </c>
      <c r="B1245" s="138">
        <f>'Expenditures 15-22'!F124</f>
        <v>473605</v>
      </c>
      <c r="D1245" s="2" t="str">
        <f t="shared" si="18"/>
        <v>Error?</v>
      </c>
    </row>
    <row r="1246" spans="1:4" x14ac:dyDescent="0.2">
      <c r="A1246" s="10">
        <v>1185</v>
      </c>
      <c r="D1246" s="2" t="str">
        <f t="shared" si="18"/>
        <v>OK</v>
      </c>
    </row>
    <row r="1247" spans="1:4" x14ac:dyDescent="0.2">
      <c r="A1247" s="5">
        <v>1186</v>
      </c>
      <c r="B1247" s="138">
        <f>'Expenditures 15-22'!F127</f>
        <v>479535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479535</v>
      </c>
      <c r="C1249" s="2" t="s">
        <v>594</v>
      </c>
      <c r="D1249" s="2" t="str">
        <f t="shared" si="18"/>
        <v>Error?</v>
      </c>
    </row>
    <row r="1250" spans="1:4" x14ac:dyDescent="0.2">
      <c r="A1250" s="5">
        <v>1189</v>
      </c>
      <c r="B1250" s="138">
        <f>'Expenditures 15-22'!F151</f>
        <v>479535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36753</v>
      </c>
      <c r="D1252" s="2" t="str">
        <f t="shared" si="18"/>
        <v>Error?</v>
      </c>
    </row>
    <row r="1253" spans="1:4" x14ac:dyDescent="0.2">
      <c r="A1253" s="5">
        <v>1192</v>
      </c>
      <c r="B1253" s="138">
        <f>'Expenditures 15-22'!G124</f>
        <v>48527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85280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85280</v>
      </c>
      <c r="C1258" s="2" t="s">
        <v>594</v>
      </c>
      <c r="D1258" s="2" t="str">
        <f t="shared" si="18"/>
        <v>Error?</v>
      </c>
    </row>
    <row r="1259" spans="1:4" x14ac:dyDescent="0.2">
      <c r="A1259" s="5">
        <v>1198</v>
      </c>
      <c r="B1259" s="138">
        <f>'Expenditures 15-22'!G151</f>
        <v>85280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19254</v>
      </c>
      <c r="D1261" s="2" t="str">
        <f t="shared" si="18"/>
        <v>Error?</v>
      </c>
    </row>
    <row r="1262" spans="1:4" x14ac:dyDescent="0.2">
      <c r="A1262" s="5">
        <v>1201</v>
      </c>
      <c r="B1262" s="138">
        <f>'Expenditures 15-22'!H124</f>
        <v>7172</v>
      </c>
      <c r="D1262" s="2" t="str">
        <f t="shared" si="18"/>
        <v>Error?</v>
      </c>
    </row>
    <row r="1263" spans="1:4" x14ac:dyDescent="0.2">
      <c r="A1263" s="10">
        <v>1202</v>
      </c>
      <c r="D1263" s="2" t="str">
        <f t="shared" si="18"/>
        <v>OK</v>
      </c>
    </row>
    <row r="1264" spans="1:4" x14ac:dyDescent="0.2">
      <c r="A1264" s="5">
        <v>1203</v>
      </c>
      <c r="B1264" s="138">
        <f>'Expenditures 15-22'!H127</f>
        <v>26426</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26426</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26426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61937</v>
      </c>
      <c r="C1275" s="2" t="s">
        <v>594</v>
      </c>
      <c r="D1275" s="2" t="str">
        <f t="shared" si="18"/>
        <v>Error?</v>
      </c>
    </row>
    <row r="1276" spans="1:4" x14ac:dyDescent="0.2">
      <c r="A1276" s="5">
        <v>1215</v>
      </c>
      <c r="B1276" s="138">
        <f>'Expenditures 15-22'!K124</f>
        <v>1065769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1127706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1127706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1127706</v>
      </c>
      <c r="C1288" s="2" t="s">
        <v>594</v>
      </c>
      <c r="D1288" s="2" t="str">
        <f t="shared" si="19"/>
        <v>Error?</v>
      </c>
    </row>
    <row r="1289" spans="1:4" x14ac:dyDescent="0.2">
      <c r="A1289" s="5">
        <v>1228</v>
      </c>
      <c r="B1289" s="138">
        <f>'Expenditures 15-22'!K152</f>
        <v>64741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425700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1030000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1455700</v>
      </c>
      <c r="C1317" s="2" t="s">
        <v>594</v>
      </c>
      <c r="D1317" s="2" t="str">
        <f t="shared" si="19"/>
        <v>Error?</v>
      </c>
    </row>
    <row r="1318" spans="1:4" x14ac:dyDescent="0.2">
      <c r="A1318" s="5">
        <v>1257</v>
      </c>
      <c r="B1318" s="138">
        <f>'Expenditures 15-22'!H174</f>
        <v>1455700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425700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1030000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1455700</v>
      </c>
      <c r="C1331" s="2" t="s">
        <v>594</v>
      </c>
      <c r="D1331" s="2" t="str">
        <f t="shared" si="19"/>
        <v>Error?</v>
      </c>
    </row>
    <row r="1332" spans="1:4" x14ac:dyDescent="0.2">
      <c r="A1332" s="5">
        <v>1271</v>
      </c>
      <c r="B1332" s="138">
        <f>'Expenditures 15-22'!K174</f>
        <v>1455700</v>
      </c>
      <c r="C1332" s="2" t="s">
        <v>594</v>
      </c>
      <c r="D1332" s="2" t="str">
        <f t="shared" si="19"/>
        <v>Error?</v>
      </c>
    </row>
    <row r="1333" spans="1:4" x14ac:dyDescent="0.2">
      <c r="A1333" s="5">
        <v>1272</v>
      </c>
      <c r="B1333" s="138">
        <f>'Expenditures 15-22'!K175</f>
        <v>11730</v>
      </c>
      <c r="C1333" s="2" t="s">
        <v>594</v>
      </c>
      <c r="D1333" s="2" t="str">
        <f t="shared" si="19"/>
        <v>Error?</v>
      </c>
    </row>
    <row r="1334" spans="1:4" x14ac:dyDescent="0.2">
      <c r="A1334" s="10">
        <v>1273</v>
      </c>
      <c r="D1334" s="2" t="str">
        <f t="shared" si="19"/>
        <v>OK</v>
      </c>
    </row>
    <row r="1335" spans="1:4" x14ac:dyDescent="0.2">
      <c r="A1335" s="5">
        <v>1274</v>
      </c>
      <c r="B1335" s="138">
        <f>'Expenditures 15-22'!C182</f>
        <v>799286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799286</v>
      </c>
      <c r="C1339" s="2" t="s">
        <v>594</v>
      </c>
      <c r="D1339" s="2" t="str">
        <f t="shared" si="19"/>
        <v>Error?</v>
      </c>
    </row>
    <row r="1340" spans="1:4" x14ac:dyDescent="0.2">
      <c r="A1340" s="5">
        <v>1279</v>
      </c>
      <c r="B1340" s="138">
        <f>'Expenditures 15-22'!C210</f>
        <v>799286</v>
      </c>
      <c r="C1340" s="2" t="s">
        <v>594</v>
      </c>
      <c r="D1340" s="2" t="str">
        <f t="shared" si="19"/>
        <v>Error?</v>
      </c>
    </row>
    <row r="1341" spans="1:4" x14ac:dyDescent="0.2">
      <c r="A1341" s="5">
        <v>1280</v>
      </c>
      <c r="B1341" s="138">
        <f>'Expenditures 15-22'!D182</f>
        <v>23161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23161</v>
      </c>
      <c r="C1345" s="2" t="s">
        <v>594</v>
      </c>
      <c r="D1345" s="2" t="str">
        <f t="shared" si="20"/>
        <v>Error?</v>
      </c>
    </row>
    <row r="1346" spans="1:4" x14ac:dyDescent="0.2">
      <c r="A1346" s="5">
        <v>1285</v>
      </c>
      <c r="B1346" s="138">
        <f>'Expenditures 15-22'!D210</f>
        <v>23161</v>
      </c>
      <c r="C1346" s="2" t="s">
        <v>594</v>
      </c>
      <c r="D1346" s="2" t="str">
        <f t="shared" si="20"/>
        <v>Error?</v>
      </c>
    </row>
    <row r="1347" spans="1:4" x14ac:dyDescent="0.2">
      <c r="A1347" s="5">
        <v>1286</v>
      </c>
      <c r="B1347" s="138">
        <f>'Expenditures 15-22'!E182</f>
        <v>25233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25233</v>
      </c>
      <c r="C1351" s="2" t="s">
        <v>594</v>
      </c>
      <c r="D1351" s="2" t="str">
        <f t="shared" si="20"/>
        <v>Error?</v>
      </c>
    </row>
    <row r="1352" spans="1:4" x14ac:dyDescent="0.2">
      <c r="A1352" s="5">
        <v>1291</v>
      </c>
      <c r="B1352" s="138">
        <f>'Expenditures 15-22'!E196</f>
        <v>20029</v>
      </c>
      <c r="C1352" s="2" t="s">
        <v>594</v>
      </c>
      <c r="D1352" s="2" t="str">
        <f t="shared" si="20"/>
        <v>Error?</v>
      </c>
    </row>
    <row r="1353" spans="1:4" x14ac:dyDescent="0.2">
      <c r="A1353" s="5">
        <v>1292</v>
      </c>
      <c r="B1353" s="138">
        <f>'Expenditures 15-22'!E210</f>
        <v>45262</v>
      </c>
      <c r="C1353" s="2" t="s">
        <v>594</v>
      </c>
      <c r="D1353" s="2" t="str">
        <f t="shared" si="20"/>
        <v>Error?</v>
      </c>
    </row>
    <row r="1354" spans="1:4" x14ac:dyDescent="0.2">
      <c r="A1354" s="5">
        <v>1293</v>
      </c>
      <c r="B1354" s="138">
        <f>'Expenditures 15-22'!F182</f>
        <v>132340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132340</v>
      </c>
      <c r="C1358" s="2" t="s">
        <v>594</v>
      </c>
      <c r="D1358" s="2" t="str">
        <f t="shared" si="20"/>
        <v>Error?</v>
      </c>
    </row>
    <row r="1359" spans="1:4" x14ac:dyDescent="0.2">
      <c r="A1359" s="5">
        <v>1298</v>
      </c>
      <c r="B1359" s="138">
        <f>'Expenditures 15-22'!F210</f>
        <v>132340</v>
      </c>
      <c r="C1359" s="2" t="s">
        <v>594</v>
      </c>
      <c r="D1359" s="2" t="str">
        <f t="shared" si="20"/>
        <v>Error?</v>
      </c>
    </row>
    <row r="1360" spans="1:4" x14ac:dyDescent="0.2">
      <c r="A1360" s="5">
        <v>1299</v>
      </c>
      <c r="B1360" s="138">
        <f>'Expenditures 15-22'!G182</f>
        <v>233318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233318</v>
      </c>
      <c r="C1364" s="2" t="s">
        <v>594</v>
      </c>
      <c r="D1364" s="2" t="str">
        <f t="shared" si="20"/>
        <v>Error?</v>
      </c>
    </row>
    <row r="1365" spans="1:4" x14ac:dyDescent="0.2">
      <c r="A1365" s="5">
        <v>1304</v>
      </c>
      <c r="B1365" s="138">
        <f>'Expenditures 15-22'!G210</f>
        <v>233318</v>
      </c>
      <c r="C1365" s="2" t="s">
        <v>594</v>
      </c>
      <c r="D1365" s="2" t="str">
        <f t="shared" si="20"/>
        <v>Error?</v>
      </c>
    </row>
    <row r="1366" spans="1:4" x14ac:dyDescent="0.2">
      <c r="A1366" s="5">
        <v>1305</v>
      </c>
      <c r="B1366" s="138">
        <f>'Expenditures 15-22'!H182</f>
        <v>36666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36666</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36666</v>
      </c>
      <c r="C1376" s="2" t="s">
        <v>594</v>
      </c>
      <c r="D1376" s="2" t="str">
        <f t="shared" si="20"/>
        <v>Error?</v>
      </c>
    </row>
    <row r="1377" spans="1:4" x14ac:dyDescent="0.2">
      <c r="A1377" s="5">
        <v>1316</v>
      </c>
      <c r="B1377" s="138">
        <f>'Expenditures 15-22'!K182</f>
        <v>1250004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1250004</v>
      </c>
      <c r="C1381" s="2" t="s">
        <v>594</v>
      </c>
      <c r="D1381" s="2" t="str">
        <f t="shared" si="20"/>
        <v>Error?</v>
      </c>
    </row>
    <row r="1382" spans="1:4" x14ac:dyDescent="0.2">
      <c r="A1382" s="5">
        <v>1321</v>
      </c>
      <c r="B1382" s="138">
        <f>'Expenditures 15-22'!K196</f>
        <v>20029</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1270033</v>
      </c>
      <c r="C1388" s="2" t="s">
        <v>594</v>
      </c>
      <c r="D1388" s="2" t="str">
        <f t="shared" si="20"/>
        <v>Error?</v>
      </c>
    </row>
    <row r="1389" spans="1:4" x14ac:dyDescent="0.2">
      <c r="A1389" s="5">
        <v>1328</v>
      </c>
      <c r="B1389" s="138">
        <f>'Expenditures 15-22'!K211</f>
        <v>90899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23160</v>
      </c>
      <c r="D1408" s="2" t="str">
        <f t="shared" si="21"/>
        <v>Error?</v>
      </c>
    </row>
    <row r="1409" spans="1:4" x14ac:dyDescent="0.2">
      <c r="A1409" s="5">
        <v>1348</v>
      </c>
      <c r="B1409" s="138">
        <f>'Expenditures 15-22'!D224</f>
        <v>759</v>
      </c>
      <c r="D1409" s="2" t="str">
        <f t="shared" si="21"/>
        <v>Error?</v>
      </c>
    </row>
    <row r="1410" spans="1:4" x14ac:dyDescent="0.2">
      <c r="A1410" s="5">
        <v>1349</v>
      </c>
      <c r="B1410" s="138">
        <f>'Expenditures 15-22'!D229</f>
        <v>153120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15332</v>
      </c>
      <c r="D1412" s="2" t="str">
        <f t="shared" si="21"/>
        <v>Error?</v>
      </c>
    </row>
    <row r="1413" spans="1:4" x14ac:dyDescent="0.2">
      <c r="A1413" s="5">
        <v>1352</v>
      </c>
      <c r="B1413" s="138">
        <f>'Expenditures 15-22'!D234</f>
        <v>1267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16599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5578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5578</v>
      </c>
      <c r="C1421" s="2" t="s">
        <v>594</v>
      </c>
      <c r="D1421" s="2" t="str">
        <f t="shared" si="21"/>
        <v>Error?</v>
      </c>
    </row>
    <row r="1422" spans="1:4" x14ac:dyDescent="0.2">
      <c r="A1422" s="5">
        <v>1361</v>
      </c>
      <c r="B1422" s="138">
        <f>'Expenditures 15-22'!D245</f>
        <v>356</v>
      </c>
      <c r="D1422" s="2" t="str">
        <f t="shared" si="21"/>
        <v>Error?</v>
      </c>
    </row>
    <row r="1423" spans="1:4" x14ac:dyDescent="0.2">
      <c r="A1423" s="5">
        <v>1362</v>
      </c>
      <c r="B1423" s="138">
        <f>'Expenditures 15-22'!D246</f>
        <v>9740</v>
      </c>
      <c r="D1423" s="2" t="str">
        <f t="shared" si="21"/>
        <v>Error?</v>
      </c>
    </row>
    <row r="1424" spans="1:4" x14ac:dyDescent="0.2">
      <c r="A1424" s="5">
        <v>1363</v>
      </c>
      <c r="B1424" s="138">
        <f>'Expenditures 15-22'!D257</f>
        <v>39782</v>
      </c>
      <c r="C1424" s="2" t="s">
        <v>594</v>
      </c>
      <c r="D1424" s="2" t="str">
        <f t="shared" si="21"/>
        <v>Error?</v>
      </c>
    </row>
    <row r="1425" spans="1:4" x14ac:dyDescent="0.2">
      <c r="A1425" s="5">
        <v>1364</v>
      </c>
      <c r="B1425" s="138">
        <f>'Expenditures 15-22'!D259</f>
        <v>24554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24554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3352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85491</v>
      </c>
      <c r="D1431" s="2" t="str">
        <f t="shared" si="21"/>
        <v>Error?</v>
      </c>
    </row>
    <row r="1432" spans="1:4" x14ac:dyDescent="0.2">
      <c r="A1432" s="5">
        <v>1371</v>
      </c>
      <c r="B1432" s="138">
        <f>'Expenditures 15-22'!D267</f>
        <v>124386</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213229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1482</v>
      </c>
      <c r="D1445" s="2" t="str">
        <f t="shared" si="21"/>
        <v>Error?</v>
      </c>
    </row>
    <row r="1446" spans="1:4" x14ac:dyDescent="0.2">
      <c r="A1446" s="5">
        <v>1385</v>
      </c>
      <c r="B1446" s="138">
        <f>'Expenditures 15-22'!D279</f>
        <v>301224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454344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23160</v>
      </c>
      <c r="C1472" s="2" t="s">
        <v>594</v>
      </c>
      <c r="D1472" s="2" t="str">
        <f t="shared" si="22"/>
        <v>Error?</v>
      </c>
    </row>
    <row r="1473" spans="1:4" x14ac:dyDescent="0.2">
      <c r="A1473" s="5">
        <v>1412</v>
      </c>
      <c r="B1473" s="138">
        <f>'Expenditures 15-22'!K224</f>
        <v>759</v>
      </c>
      <c r="C1473" s="2" t="s">
        <v>594</v>
      </c>
      <c r="D1473" s="2" t="str">
        <f t="shared" si="22"/>
        <v>Error?</v>
      </c>
    </row>
    <row r="1474" spans="1:4" x14ac:dyDescent="0.2">
      <c r="A1474" s="5">
        <v>1413</v>
      </c>
      <c r="B1474" s="138">
        <f>'Expenditures 15-22'!K229</f>
        <v>153120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15332</v>
      </c>
      <c r="C1476" s="2" t="s">
        <v>594</v>
      </c>
      <c r="D1476" s="2" t="str">
        <f t="shared" si="22"/>
        <v>Error?</v>
      </c>
    </row>
    <row r="1477" spans="1:4" x14ac:dyDescent="0.2">
      <c r="A1477" s="5">
        <v>1416</v>
      </c>
      <c r="B1477" s="138">
        <f>'Expenditures 15-22'!K234</f>
        <v>1267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16599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5578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5578</v>
      </c>
      <c r="C1485" s="2" t="s">
        <v>594</v>
      </c>
      <c r="D1485" s="2" t="str">
        <f t="shared" si="22"/>
        <v>Error?</v>
      </c>
    </row>
    <row r="1486" spans="1:4" x14ac:dyDescent="0.2">
      <c r="A1486" s="5">
        <v>1425</v>
      </c>
      <c r="B1486" s="138">
        <f>'Expenditures 15-22'!K245</f>
        <v>356</v>
      </c>
      <c r="C1486" s="2" t="s">
        <v>594</v>
      </c>
      <c r="D1486" s="2" t="str">
        <f t="shared" si="22"/>
        <v>Error?</v>
      </c>
    </row>
    <row r="1487" spans="1:4" x14ac:dyDescent="0.2">
      <c r="A1487" s="5">
        <v>1426</v>
      </c>
      <c r="B1487" s="138">
        <f>'Expenditures 15-22'!K246</f>
        <v>9740</v>
      </c>
      <c r="C1487" s="2" t="s">
        <v>594</v>
      </c>
      <c r="D1487" s="2" t="str">
        <f t="shared" si="22"/>
        <v>Error?</v>
      </c>
    </row>
    <row r="1488" spans="1:4" x14ac:dyDescent="0.2">
      <c r="A1488" s="5">
        <v>1427</v>
      </c>
      <c r="B1488" s="138">
        <f>'Expenditures 15-22'!K257</f>
        <v>39782</v>
      </c>
      <c r="C1488" s="2" t="s">
        <v>594</v>
      </c>
      <c r="D1488" s="2" t="str">
        <f t="shared" si="22"/>
        <v>Error?</v>
      </c>
    </row>
    <row r="1489" spans="1:4" x14ac:dyDescent="0.2">
      <c r="A1489" s="5">
        <v>1428</v>
      </c>
      <c r="B1489" s="138">
        <f>'Expenditures 15-22'!K259</f>
        <v>24554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24554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3352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85491</v>
      </c>
      <c r="C1495" s="2" t="s">
        <v>594</v>
      </c>
      <c r="D1495" s="2" t="str">
        <f t="shared" si="22"/>
        <v>Error?</v>
      </c>
    </row>
    <row r="1496" spans="1:4" x14ac:dyDescent="0.2">
      <c r="A1496" s="5">
        <v>1435</v>
      </c>
      <c r="B1496" s="138">
        <f>'Expenditures 15-22'!K267</f>
        <v>124386</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213229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1482</v>
      </c>
      <c r="C1509" s="2" t="s">
        <v>594</v>
      </c>
      <c r="D1509" s="2" t="str">
        <f t="shared" si="22"/>
        <v>Error?</v>
      </c>
    </row>
    <row r="1510" spans="1:4" x14ac:dyDescent="0.2">
      <c r="A1510" s="5">
        <v>1449</v>
      </c>
      <c r="B1510" s="138">
        <f>'Expenditures 15-22'!K279</f>
        <v>301224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454344</v>
      </c>
      <c r="C1517" s="2" t="s">
        <v>594</v>
      </c>
      <c r="D1517" s="2" t="str">
        <f t="shared" si="22"/>
        <v>Error?</v>
      </c>
    </row>
    <row r="1518" spans="1:4" x14ac:dyDescent="0.2">
      <c r="A1518" s="5">
        <v>1457</v>
      </c>
      <c r="B1518" s="138">
        <f>'Expenditures 15-22'!K296</f>
        <v>-36089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4629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4629</v>
      </c>
      <c r="C1535" s="2" t="s">
        <v>594</v>
      </c>
      <c r="D1535" s="2" t="str">
        <f t="shared" ref="D1535:D1598" si="23">IF(ISBLANK(B1535),"OK",IF(A1535-B1535=0,"OK","Error?"))</f>
        <v>Error?</v>
      </c>
    </row>
    <row r="1536" spans="1:4" x14ac:dyDescent="0.2">
      <c r="A1536" s="5">
        <v>1475</v>
      </c>
      <c r="B1536" s="138">
        <f>'Expenditures 15-22'!E312</f>
        <v>4629</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14587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14587</v>
      </c>
      <c r="C1547" s="2" t="s">
        <v>594</v>
      </c>
      <c r="D1547" s="2" t="str">
        <f t="shared" si="23"/>
        <v>Error?</v>
      </c>
    </row>
    <row r="1548" spans="1:4" x14ac:dyDescent="0.2">
      <c r="A1548" s="5">
        <v>1487</v>
      </c>
      <c r="B1548" s="138">
        <f>'Expenditures 15-22'!G312</f>
        <v>14587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19216</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19216</v>
      </c>
      <c r="C1559" s="2" t="s">
        <v>594</v>
      </c>
      <c r="D1559" s="2" t="str">
        <f t="shared" si="23"/>
        <v>Error?</v>
      </c>
    </row>
    <row r="1560" spans="1:4" x14ac:dyDescent="0.2">
      <c r="A1560" s="5">
        <v>1499</v>
      </c>
      <c r="B1560" s="138">
        <f>'Expenditures 15-22'!K312</f>
        <v>19216</v>
      </c>
      <c r="C1560" s="2" t="s">
        <v>594</v>
      </c>
      <c r="D1560" s="2" t="str">
        <f t="shared" si="23"/>
        <v>Error?</v>
      </c>
    </row>
    <row r="1561" spans="1:4" x14ac:dyDescent="0.2">
      <c r="A1561" s="5">
        <v>1500</v>
      </c>
      <c r="B1561" s="138">
        <f>'Expenditures 15-22'!K313</f>
        <v>-17716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7075870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7159013</v>
      </c>
      <c r="C1630" s="2" t="s">
        <v>594</v>
      </c>
      <c r="D1630" s="2" t="str">
        <f t="shared" si="24"/>
        <v>Error?</v>
      </c>
    </row>
    <row r="1631" spans="1:4" x14ac:dyDescent="0.2">
      <c r="A1631" s="5">
        <v>1570</v>
      </c>
      <c r="B1631" s="138">
        <f>'Acct Summary 7-8'!D79</f>
        <v>1144344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1209085</v>
      </c>
      <c r="C1644" s="2" t="s">
        <v>594</v>
      </c>
      <c r="D1644" s="2" t="str">
        <f t="shared" si="24"/>
        <v>Error?</v>
      </c>
    </row>
    <row r="1645" spans="1:4" x14ac:dyDescent="0.2">
      <c r="A1645" s="5">
        <v>1584</v>
      </c>
      <c r="B1645" s="138">
        <f>'Acct Summary 7-8'!E79</f>
        <v>713397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725127</v>
      </c>
      <c r="C1658" s="2" t="s">
        <v>594</v>
      </c>
      <c r="D1658" s="2" t="str">
        <f t="shared" si="24"/>
        <v>Error?</v>
      </c>
    </row>
    <row r="1659" spans="1:4" x14ac:dyDescent="0.2">
      <c r="A1659" s="5">
        <v>1598</v>
      </c>
      <c r="B1659" s="138">
        <f>'Acct Summary 7-8'!F79</f>
        <v>1524892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1615791</v>
      </c>
      <c r="C1672" s="2" t="s">
        <v>594</v>
      </c>
      <c r="D1672" s="2" t="str">
        <f t="shared" si="25"/>
        <v>Error?</v>
      </c>
    </row>
    <row r="1673" spans="1:4" x14ac:dyDescent="0.2">
      <c r="A1673" s="5">
        <v>1612</v>
      </c>
      <c r="B1673" s="138">
        <f>'Acct Summary 7-8'!G79</f>
        <v>102870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66781</v>
      </c>
      <c r="C1686" s="2" t="s">
        <v>594</v>
      </c>
      <c r="D1686" s="2" t="str">
        <f t="shared" si="25"/>
        <v>Error?</v>
      </c>
    </row>
    <row r="1687" spans="1:4" x14ac:dyDescent="0.2">
      <c r="A1687" s="5">
        <v>1626</v>
      </c>
      <c r="B1687" s="138">
        <f>'Acct Summary 7-8'!H79</f>
        <v>288375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270659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5214375</v>
      </c>
      <c r="C1744" s="2" t="s">
        <v>594</v>
      </c>
      <c r="D1744" s="2" t="str">
        <f t="shared" si="26"/>
        <v>Error?</v>
      </c>
    </row>
    <row r="1745" spans="1:5" x14ac:dyDescent="0.2">
      <c r="A1745" s="5">
        <v>1684</v>
      </c>
      <c r="B1745" s="138">
        <f>'Tax Sched 23'!B5</f>
        <v>1002759</v>
      </c>
      <c r="C1745" s="2" t="s">
        <v>594</v>
      </c>
      <c r="D1745" s="2" t="str">
        <f t="shared" si="26"/>
        <v>Error?</v>
      </c>
    </row>
    <row r="1746" spans="1:5" x14ac:dyDescent="0.2">
      <c r="A1746" s="5">
        <v>1685</v>
      </c>
      <c r="B1746" s="138">
        <f>'Tax Sched 23'!B6</f>
        <v>1467081</v>
      </c>
      <c r="C1746" s="2" t="s">
        <v>594</v>
      </c>
      <c r="D1746" s="2" t="str">
        <f t="shared" si="26"/>
        <v>Error?</v>
      </c>
    </row>
    <row r="1747" spans="1:5" x14ac:dyDescent="0.2">
      <c r="A1747" s="5">
        <v>1686</v>
      </c>
      <c r="B1747" s="138">
        <f>'Tax Sched 23'!B7</f>
        <v>469130</v>
      </c>
      <c r="C1747" s="2" t="s">
        <v>594</v>
      </c>
      <c r="D1747" s="2" t="str">
        <f t="shared" si="26"/>
        <v>Error?</v>
      </c>
    </row>
    <row r="1748" spans="1:5" x14ac:dyDescent="0.2">
      <c r="A1748" s="5">
        <v>1687</v>
      </c>
      <c r="B1748" s="138">
        <f>'Tax Sched 23'!B8</f>
        <v>181792</v>
      </c>
      <c r="C1748" s="2" t="s">
        <v>594</v>
      </c>
      <c r="D1748" s="2" t="str">
        <f t="shared" si="26"/>
        <v>Error?</v>
      </c>
    </row>
    <row r="1749" spans="1:5" x14ac:dyDescent="0.2">
      <c r="A1749" s="5">
        <v>1688</v>
      </c>
      <c r="B1749" s="138">
        <f>'Tax Sched 23'!B10</f>
        <v>192661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1176933</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80221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10206863</v>
      </c>
      <c r="C1759" s="2" t="s">
        <v>594</v>
      </c>
      <c r="D1759" s="2" t="str">
        <f t="shared" si="26"/>
        <v>Error?</v>
      </c>
    </row>
    <row r="1760" spans="1:5" x14ac:dyDescent="0.2">
      <c r="A1760" s="5">
        <v>1699</v>
      </c>
      <c r="B1760" s="138">
        <f>'Tax Sched 23'!D4</f>
        <v>2524580</v>
      </c>
      <c r="C1760" s="2" t="s">
        <v>594</v>
      </c>
      <c r="D1760" s="2" t="str">
        <f t="shared" si="26"/>
        <v>Error?</v>
      </c>
    </row>
    <row r="1761" spans="1:5" x14ac:dyDescent="0.2">
      <c r="A1761" s="5">
        <v>1700</v>
      </c>
      <c r="B1761" s="138">
        <f>'Tax Sched 23'!D5</f>
        <v>484250</v>
      </c>
      <c r="C1761" s="2" t="s">
        <v>594</v>
      </c>
      <c r="D1761" s="2" t="str">
        <f t="shared" si="26"/>
        <v>Error?</v>
      </c>
    </row>
    <row r="1762" spans="1:5" s="8" customFormat="1" x14ac:dyDescent="0.2">
      <c r="A1762" s="5">
        <v>1701</v>
      </c>
      <c r="B1762" s="138">
        <f>'Tax Sched 23'!D6</f>
        <v>726197</v>
      </c>
      <c r="C1762" s="2" t="s">
        <v>594</v>
      </c>
      <c r="D1762" s="2" t="str">
        <f t="shared" si="26"/>
        <v>Error?</v>
      </c>
      <c r="E1762" s="9"/>
    </row>
    <row r="1763" spans="1:5" x14ac:dyDescent="0.2">
      <c r="A1763" s="5">
        <v>1702</v>
      </c>
      <c r="B1763" s="138">
        <f>'Tax Sched 23'!D7</f>
        <v>232441</v>
      </c>
      <c r="C1763" s="2" t="s">
        <v>594</v>
      </c>
      <c r="D1763" s="2" t="str">
        <f t="shared" si="26"/>
        <v>Error?</v>
      </c>
    </row>
    <row r="1764" spans="1:5" x14ac:dyDescent="0.2">
      <c r="A1764" s="5">
        <v>1703</v>
      </c>
      <c r="B1764" s="138">
        <f>'Tax Sched 23'!D8</f>
        <v>88213</v>
      </c>
      <c r="C1764" s="2" t="s">
        <v>594</v>
      </c>
      <c r="D1764" s="2" t="str">
        <f t="shared" si="26"/>
        <v>Error?</v>
      </c>
    </row>
    <row r="1765" spans="1:5" x14ac:dyDescent="0.2">
      <c r="A1765" s="5">
        <v>1704</v>
      </c>
      <c r="B1765" s="138">
        <f>'Tax Sched 23'!D10</f>
        <v>88960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585199</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38739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4972849</v>
      </c>
      <c r="C1775" s="2" t="s">
        <v>594</v>
      </c>
      <c r="D1775" s="2" t="str">
        <f t="shared" si="26"/>
        <v>Error?</v>
      </c>
    </row>
    <row r="1776" spans="1:5" x14ac:dyDescent="0.2">
      <c r="A1776" s="5">
        <v>1715</v>
      </c>
      <c r="B1776" s="138">
        <f>'Tax Sched 23'!C4</f>
        <v>2689795</v>
      </c>
      <c r="D1776" s="2" t="str">
        <f t="shared" si="26"/>
        <v>Error?</v>
      </c>
    </row>
    <row r="1777" spans="1:4" x14ac:dyDescent="0.2">
      <c r="A1777" s="5">
        <v>1716</v>
      </c>
      <c r="B1777" s="138">
        <f>'Tax Sched 23'!C5</f>
        <v>518509</v>
      </c>
      <c r="D1777" s="2" t="str">
        <f t="shared" si="26"/>
        <v>Error?</v>
      </c>
    </row>
    <row r="1778" spans="1:4" x14ac:dyDescent="0.2">
      <c r="A1778" s="5">
        <v>1717</v>
      </c>
      <c r="B1778" s="138">
        <f>'Tax Sched 23'!C6</f>
        <v>740884</v>
      </c>
      <c r="D1778" s="2" t="str">
        <f t="shared" si="26"/>
        <v>Error?</v>
      </c>
    </row>
    <row r="1779" spans="1:4" x14ac:dyDescent="0.2">
      <c r="A1779" s="5">
        <v>1718</v>
      </c>
      <c r="B1779" s="138">
        <f>'Tax Sched 23'!C7</f>
        <v>236689</v>
      </c>
      <c r="D1779" s="2" t="str">
        <f t="shared" si="26"/>
        <v>Error?</v>
      </c>
    </row>
    <row r="1780" spans="1:4" x14ac:dyDescent="0.2">
      <c r="A1780" s="5">
        <v>1719</v>
      </c>
      <c r="B1780" s="138">
        <f>'Tax Sched 23'!C8</f>
        <v>93579</v>
      </c>
      <c r="D1780" s="2" t="str">
        <f t="shared" si="26"/>
        <v>Error?</v>
      </c>
    </row>
    <row r="1781" spans="1:4" x14ac:dyDescent="0.2">
      <c r="A1781" s="5">
        <v>1720</v>
      </c>
      <c r="B1781" s="138">
        <f>'Tax Sched 23'!C10</f>
        <v>103701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591734</v>
      </c>
      <c r="D1784" s="2" t="str">
        <f t="shared" si="26"/>
        <v>Error?</v>
      </c>
    </row>
    <row r="1785" spans="1:4" x14ac:dyDescent="0.2">
      <c r="A1785" s="5">
        <v>1724</v>
      </c>
      <c r="B1785" s="138">
        <f>'Tax Sched 23'!C12</f>
        <v>0</v>
      </c>
      <c r="D1785" s="2" t="str">
        <f t="shared" si="26"/>
        <v>Error?</v>
      </c>
    </row>
    <row r="1786" spans="1:4" x14ac:dyDescent="0.2">
      <c r="A1786" s="5">
        <v>1725</v>
      </c>
      <c r="B1786" s="138">
        <f>'Tax Sched 23'!C14</f>
        <v>41482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5234014</v>
      </c>
      <c r="C1791" s="2" t="s">
        <v>594</v>
      </c>
      <c r="D1791" s="2" t="str">
        <f t="shared" ref="D1791:D1854" si="27">IF(ISBLANK(B1791),"OK",IF(A1791-B1791=0,"OK","Error?"))</f>
        <v>Error?</v>
      </c>
    </row>
    <row r="1792" spans="1:4" x14ac:dyDescent="0.2">
      <c r="A1792" s="5">
        <v>1731</v>
      </c>
      <c r="B1792" s="138">
        <f>'Tax Sched 23'!F4</f>
        <v>2673554</v>
      </c>
      <c r="C1792" s="2" t="s">
        <v>594</v>
      </c>
      <c r="D1792" s="2" t="str">
        <f t="shared" si="27"/>
        <v>Error?</v>
      </c>
    </row>
    <row r="1793" spans="1:4" x14ac:dyDescent="0.2">
      <c r="A1793" s="5">
        <v>1732</v>
      </c>
      <c r="B1793" s="138">
        <f>'Tax Sched 23'!F5</f>
        <v>515216</v>
      </c>
      <c r="C1793" s="2" t="s">
        <v>594</v>
      </c>
      <c r="D1793" s="2" t="str">
        <f t="shared" si="27"/>
        <v>Error?</v>
      </c>
    </row>
    <row r="1794" spans="1:4" x14ac:dyDescent="0.2">
      <c r="A1794" s="5">
        <v>1733</v>
      </c>
      <c r="B1794" s="138">
        <f>'Tax Sched 23'!F6</f>
        <v>736557</v>
      </c>
      <c r="C1794" s="2" t="s">
        <v>594</v>
      </c>
      <c r="D1794" s="2" t="str">
        <f t="shared" si="27"/>
        <v>Error?</v>
      </c>
    </row>
    <row r="1795" spans="1:4" x14ac:dyDescent="0.2">
      <c r="A1795" s="5">
        <v>1734</v>
      </c>
      <c r="B1795" s="138">
        <f>'Tax Sched 23'!F7</f>
        <v>235310</v>
      </c>
      <c r="C1795" s="2" t="s">
        <v>594</v>
      </c>
      <c r="D1795" s="2" t="str">
        <f t="shared" si="27"/>
        <v>Error?</v>
      </c>
    </row>
    <row r="1796" spans="1:4" x14ac:dyDescent="0.2">
      <c r="A1796" s="5">
        <v>1735</v>
      </c>
      <c r="B1796" s="138">
        <f>'Tax Sched 23'!F8</f>
        <v>93029</v>
      </c>
      <c r="C1796" s="2" t="s">
        <v>594</v>
      </c>
      <c r="D1796" s="2" t="str">
        <f t="shared" si="27"/>
        <v>Error?</v>
      </c>
    </row>
    <row r="1797" spans="1:4" x14ac:dyDescent="0.2">
      <c r="A1797" s="5">
        <v>1736</v>
      </c>
      <c r="B1797" s="138">
        <f>'Tax Sched 23'!F10</f>
        <v>103044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588284</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41217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5202528</v>
      </c>
      <c r="C1807" s="2" t="s">
        <v>594</v>
      </c>
      <c r="D1807" s="2" t="str">
        <f t="shared" si="27"/>
        <v>Error?</v>
      </c>
    </row>
    <row r="1808" spans="1:4" x14ac:dyDescent="0.2">
      <c r="A1808" s="5">
        <v>1747</v>
      </c>
      <c r="B1808" s="138">
        <f>'Tax Sched 23'!E4</f>
        <v>5363349</v>
      </c>
      <c r="D1808" s="2" t="str">
        <f t="shared" si="27"/>
        <v>Error?</v>
      </c>
    </row>
    <row r="1809" spans="1:4" x14ac:dyDescent="0.2">
      <c r="A1809" s="5">
        <v>1748</v>
      </c>
      <c r="B1809" s="138">
        <f>'Tax Sched 23'!E5</f>
        <v>1033725</v>
      </c>
      <c r="D1809" s="2" t="str">
        <f t="shared" si="27"/>
        <v>Error?</v>
      </c>
    </row>
    <row r="1810" spans="1:4" x14ac:dyDescent="0.2">
      <c r="A1810" s="5">
        <v>1749</v>
      </c>
      <c r="B1810" s="138">
        <f>'Tax Sched 23'!E6</f>
        <v>1477441</v>
      </c>
      <c r="D1810" s="2" t="str">
        <f t="shared" si="27"/>
        <v>Error?</v>
      </c>
    </row>
    <row r="1811" spans="1:4" x14ac:dyDescent="0.2">
      <c r="A1811" s="5">
        <v>1750</v>
      </c>
      <c r="B1811" s="138">
        <f>'Tax Sched 23'!E7</f>
        <v>471999</v>
      </c>
      <c r="D1811" s="2" t="str">
        <f t="shared" si="27"/>
        <v>Error?</v>
      </c>
    </row>
    <row r="1812" spans="1:4" x14ac:dyDescent="0.2">
      <c r="A1812" s="5">
        <v>1751</v>
      </c>
      <c r="B1812" s="138">
        <f>'Tax Sched 23'!E8</f>
        <v>186608</v>
      </c>
      <c r="D1812" s="2" t="str">
        <f t="shared" si="27"/>
        <v>Error?</v>
      </c>
    </row>
    <row r="1813" spans="1:4" x14ac:dyDescent="0.2">
      <c r="A1813" s="5">
        <v>1752</v>
      </c>
      <c r="B1813" s="138">
        <f>'Tax Sched 23'!E10</f>
        <v>206745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1180018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82699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10436542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12335000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80221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80221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80221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1313712</v>
      </c>
      <c r="D2008" s="2" t="str">
        <f t="shared" si="30"/>
        <v>Error?</v>
      </c>
    </row>
    <row r="2009" spans="1:4" x14ac:dyDescent="0.2">
      <c r="A2009" s="5">
        <v>1948</v>
      </c>
      <c r="B2009" s="138">
        <f>'Cap Outlay Deprec 26'!C8</f>
        <v>43739361</v>
      </c>
      <c r="D2009" s="2" t="str">
        <f t="shared" si="30"/>
        <v>Error?</v>
      </c>
    </row>
    <row r="2010" spans="1:4" x14ac:dyDescent="0.2">
      <c r="A2010" s="5">
        <v>1949</v>
      </c>
      <c r="B2010" s="138">
        <f>'Cap Outlay Deprec 26'!C10</f>
        <v>3728023</v>
      </c>
      <c r="D2010" s="2" t="str">
        <f t="shared" si="30"/>
        <v>Error?</v>
      </c>
    </row>
    <row r="2011" spans="1:4" x14ac:dyDescent="0.2">
      <c r="A2011" s="5">
        <v>1950</v>
      </c>
      <c r="B2011" s="138">
        <f>'Cap Outlay Deprec 26'!C12</f>
        <v>1936186</v>
      </c>
      <c r="D2011" s="2" t="str">
        <f t="shared" si="30"/>
        <v>Error?</v>
      </c>
    </row>
    <row r="2012" spans="1:4" x14ac:dyDescent="0.2">
      <c r="A2012" s="5">
        <v>1951</v>
      </c>
      <c r="B2012" s="138">
        <f>'Cap Outlay Deprec 26'!C13</f>
        <v>2425247</v>
      </c>
      <c r="D2012" s="2" t="str">
        <f t="shared" si="30"/>
        <v>Error?</v>
      </c>
    </row>
    <row r="2013" spans="1:4" x14ac:dyDescent="0.2">
      <c r="A2013" s="5">
        <v>1952</v>
      </c>
      <c r="B2013" s="138">
        <f>'Cap Outlay Deprec 26'!C16</f>
        <v>53142529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164001</v>
      </c>
      <c r="D2016" s="2" t="str">
        <f t="shared" si="30"/>
        <v>Error?</v>
      </c>
    </row>
    <row r="2017" spans="1:4" x14ac:dyDescent="0.2">
      <c r="A2017" s="5">
        <v>1956</v>
      </c>
      <c r="B2017" s="138">
        <f>'Cap Outlay Deprec 26'!D12</f>
        <v>160104</v>
      </c>
      <c r="D2017" s="2" t="str">
        <f t="shared" si="30"/>
        <v>Error?</v>
      </c>
    </row>
    <row r="2018" spans="1:4" x14ac:dyDescent="0.2">
      <c r="A2018" s="5">
        <v>1957</v>
      </c>
      <c r="B2018" s="138">
        <f>'Cap Outlay Deprec 26'!D13</f>
        <v>161726</v>
      </c>
      <c r="D2018" s="2" t="str">
        <f t="shared" si="30"/>
        <v>Error?</v>
      </c>
    </row>
    <row r="2019" spans="1:4" x14ac:dyDescent="0.2">
      <c r="A2019" s="5">
        <v>1958</v>
      </c>
      <c r="B2019" s="138">
        <f>'Cap Outlay Deprec 26'!D16</f>
        <v>485831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467385</v>
      </c>
      <c r="D2023" s="2" t="str">
        <f t="shared" si="30"/>
        <v>Error?</v>
      </c>
    </row>
    <row r="2024" spans="1:4" x14ac:dyDescent="0.2">
      <c r="A2024" s="5">
        <v>1963</v>
      </c>
      <c r="B2024" s="138">
        <f>'Cap Outlay Deprec 26'!E13</f>
        <v>963667</v>
      </c>
      <c r="D2024" s="2" t="str">
        <f t="shared" si="30"/>
        <v>Error?</v>
      </c>
    </row>
    <row r="2025" spans="1:4" x14ac:dyDescent="0.2">
      <c r="A2025" s="5">
        <v>1964</v>
      </c>
      <c r="B2025" s="138">
        <f>'Cap Outlay Deprec 26'!E16</f>
        <v>1431052</v>
      </c>
      <c r="C2025" s="2" t="s">
        <v>594</v>
      </c>
      <c r="D2025" s="2" t="str">
        <f t="shared" si="30"/>
        <v>Error?</v>
      </c>
    </row>
    <row r="2026" spans="1:4" x14ac:dyDescent="0.2">
      <c r="A2026" s="5">
        <v>1965</v>
      </c>
      <c r="B2026" s="138">
        <f>'Cap Outlay Deprec 26'!F5</f>
        <v>1313712</v>
      </c>
      <c r="C2026" s="2" t="s">
        <v>594</v>
      </c>
      <c r="D2026" s="2" t="str">
        <f t="shared" si="30"/>
        <v>Error?</v>
      </c>
    </row>
    <row r="2027" spans="1:4" x14ac:dyDescent="0.2">
      <c r="A2027" s="5">
        <v>1966</v>
      </c>
      <c r="B2027" s="138">
        <f>'Cap Outlay Deprec 26'!F8</f>
        <v>43739361</v>
      </c>
      <c r="C2027" s="2" t="s">
        <v>594</v>
      </c>
      <c r="D2027" s="2" t="str">
        <f t="shared" si="30"/>
        <v>Error?</v>
      </c>
    </row>
    <row r="2028" spans="1:4" x14ac:dyDescent="0.2">
      <c r="A2028" s="5">
        <v>1967</v>
      </c>
      <c r="B2028" s="138">
        <f>'Cap Outlay Deprec 26'!F10</f>
        <v>3892024</v>
      </c>
      <c r="C2028" s="2" t="s">
        <v>594</v>
      </c>
      <c r="D2028" s="2" t="str">
        <f t="shared" si="30"/>
        <v>Error?</v>
      </c>
    </row>
    <row r="2029" spans="1:4" x14ac:dyDescent="0.2">
      <c r="A2029" s="5">
        <v>1968</v>
      </c>
      <c r="B2029" s="138">
        <f>'Cap Outlay Deprec 26'!F12</f>
        <v>1628905</v>
      </c>
      <c r="C2029" s="2" t="s">
        <v>594</v>
      </c>
      <c r="D2029" s="2" t="str">
        <f t="shared" si="30"/>
        <v>Error?</v>
      </c>
    </row>
    <row r="2030" spans="1:4" x14ac:dyDescent="0.2">
      <c r="A2030" s="5">
        <v>1969</v>
      </c>
      <c r="B2030" s="138">
        <f>'Cap Outlay Deprec 26'!F13</f>
        <v>1623306</v>
      </c>
      <c r="C2030" s="2" t="s">
        <v>594</v>
      </c>
      <c r="D2030" s="2" t="str">
        <f t="shared" si="30"/>
        <v>Error?</v>
      </c>
    </row>
    <row r="2031" spans="1:4" x14ac:dyDescent="0.2">
      <c r="A2031" s="5">
        <v>1970</v>
      </c>
      <c r="B2031" s="138">
        <f>'Cap Outlay Deprec 26'!F16</f>
        <v>52197308</v>
      </c>
      <c r="C2031" s="2" t="s">
        <v>594</v>
      </c>
      <c r="D2031" s="2" t="str">
        <f t="shared" si="30"/>
        <v>Error?</v>
      </c>
    </row>
    <row r="2032" spans="1:4" x14ac:dyDescent="0.2">
      <c r="A2032" s="10">
        <v>1971</v>
      </c>
      <c r="D2032" s="2" t="str">
        <f t="shared" si="30"/>
        <v>OK</v>
      </c>
    </row>
    <row r="2033" spans="1:4" x14ac:dyDescent="0.2">
      <c r="A2033" s="5">
        <v>1972</v>
      </c>
      <c r="B2033" s="138">
        <f>'Cap Outlay Deprec 26'!H8</f>
        <v>12859660</v>
      </c>
      <c r="D2033" s="2" t="str">
        <f t="shared" si="30"/>
        <v>Error?</v>
      </c>
    </row>
    <row r="2034" spans="1:4" x14ac:dyDescent="0.2">
      <c r="A2034" s="5">
        <v>1973</v>
      </c>
      <c r="B2034" s="138">
        <f>'Cap Outlay Deprec 26'!H10</f>
        <v>1508959</v>
      </c>
      <c r="D2034" s="2" t="str">
        <f t="shared" si="30"/>
        <v>Error?</v>
      </c>
    </row>
    <row r="2035" spans="1:4" x14ac:dyDescent="0.2">
      <c r="A2035" s="5">
        <v>1974</v>
      </c>
      <c r="B2035" s="138">
        <f>'Cap Outlay Deprec 26'!H12</f>
        <v>1245760</v>
      </c>
      <c r="D2035" s="2" t="str">
        <f t="shared" si="30"/>
        <v>Error?</v>
      </c>
    </row>
    <row r="2036" spans="1:4" x14ac:dyDescent="0.2">
      <c r="A2036" s="5">
        <v>1975</v>
      </c>
      <c r="B2036" s="138">
        <f>'Cap Outlay Deprec 26'!H13</f>
        <v>1075684</v>
      </c>
      <c r="D2036" s="2" t="str">
        <f t="shared" si="30"/>
        <v>Error?</v>
      </c>
    </row>
    <row r="2037" spans="1:4" x14ac:dyDescent="0.2">
      <c r="A2037" s="5">
        <v>1976</v>
      </c>
      <c r="B2037" s="138">
        <f>'Cap Outlay Deprec 26'!H16</f>
        <v>16690063</v>
      </c>
      <c r="C2037" s="2" t="s">
        <v>594</v>
      </c>
      <c r="D2037" s="2" t="str">
        <f t="shared" si="30"/>
        <v>Error?</v>
      </c>
    </row>
    <row r="2038" spans="1:4" x14ac:dyDescent="0.2">
      <c r="A2038" s="10">
        <v>1977</v>
      </c>
      <c r="D2038" s="2" t="str">
        <f t="shared" si="30"/>
        <v>OK</v>
      </c>
    </row>
    <row r="2039" spans="1:4" x14ac:dyDescent="0.2">
      <c r="A2039" s="5">
        <v>1978</v>
      </c>
      <c r="B2039" s="138">
        <f>'Cap Outlay Deprec 26'!I8</f>
        <v>874787</v>
      </c>
      <c r="D2039" s="2" t="str">
        <f t="shared" si="30"/>
        <v>Error?</v>
      </c>
    </row>
    <row r="2040" spans="1:4" x14ac:dyDescent="0.2">
      <c r="A2040" s="5">
        <v>1979</v>
      </c>
      <c r="B2040" s="138">
        <f>'Cap Outlay Deprec 26'!I10</f>
        <v>194601</v>
      </c>
      <c r="D2040" s="2" t="str">
        <f t="shared" si="30"/>
        <v>Error?</v>
      </c>
    </row>
    <row r="2041" spans="1:4" x14ac:dyDescent="0.2">
      <c r="A2041" s="5">
        <v>1980</v>
      </c>
      <c r="B2041" s="138">
        <f>'Cap Outlay Deprec 26'!I12</f>
        <v>193619</v>
      </c>
      <c r="D2041" s="2" t="str">
        <f t="shared" si="30"/>
        <v>Error?</v>
      </c>
    </row>
    <row r="2042" spans="1:4" x14ac:dyDescent="0.2">
      <c r="A2042" s="5">
        <v>1981</v>
      </c>
      <c r="B2042" s="138">
        <f>'Cap Outlay Deprec 26'!I13</f>
        <v>230666</v>
      </c>
      <c r="D2042" s="2" t="str">
        <f t="shared" si="30"/>
        <v>Error?</v>
      </c>
    </row>
    <row r="2043" spans="1:4" x14ac:dyDescent="0.2">
      <c r="A2043" s="5">
        <v>1982</v>
      </c>
      <c r="B2043" s="138">
        <f>'Cap Outlay Deprec 26'!I16</f>
        <v>1493673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467385</v>
      </c>
      <c r="D2047" s="2" t="str">
        <f t="shared" ref="D2047:D2110" si="31">IF(ISBLANK(B2047),"OK",IF(A2047-B2047=0,"OK","Error?"))</f>
        <v>Error?</v>
      </c>
    </row>
    <row r="2048" spans="1:4" x14ac:dyDescent="0.2">
      <c r="A2048" s="5">
        <v>1987</v>
      </c>
      <c r="B2048" s="138">
        <f>'Cap Outlay Deprec 26'!J13</f>
        <v>481754</v>
      </c>
      <c r="D2048" s="2" t="str">
        <f t="shared" si="31"/>
        <v>Error?</v>
      </c>
    </row>
    <row r="2049" spans="1:4" x14ac:dyDescent="0.2">
      <c r="A2049" s="5">
        <v>1988</v>
      </c>
      <c r="B2049" s="138">
        <f>'Cap Outlay Deprec 26'!J16</f>
        <v>949139</v>
      </c>
      <c r="C2049" s="2" t="s">
        <v>594</v>
      </c>
      <c r="D2049" s="2" t="str">
        <f t="shared" si="31"/>
        <v>Error?</v>
      </c>
    </row>
    <row r="2050" spans="1:4" x14ac:dyDescent="0.2">
      <c r="A2050" s="10">
        <v>1989</v>
      </c>
      <c r="D2050" s="2" t="str">
        <f t="shared" si="31"/>
        <v>OK</v>
      </c>
    </row>
    <row r="2051" spans="1:4" x14ac:dyDescent="0.2">
      <c r="A2051" s="5">
        <v>1990</v>
      </c>
      <c r="B2051" s="138">
        <f>'Cap Outlay Deprec 26'!K8</f>
        <v>13734447</v>
      </c>
      <c r="C2051" s="2" t="s">
        <v>594</v>
      </c>
      <c r="D2051" s="2" t="str">
        <f t="shared" si="31"/>
        <v>Error?</v>
      </c>
    </row>
    <row r="2052" spans="1:4" x14ac:dyDescent="0.2">
      <c r="A2052" s="5">
        <v>1991</v>
      </c>
      <c r="B2052" s="138">
        <f>'Cap Outlay Deprec 26'!K10</f>
        <v>1703560</v>
      </c>
      <c r="C2052" s="2" t="s">
        <v>594</v>
      </c>
      <c r="D2052" s="2" t="str">
        <f t="shared" si="31"/>
        <v>Error?</v>
      </c>
    </row>
    <row r="2053" spans="1:4" x14ac:dyDescent="0.2">
      <c r="A2053" s="5">
        <v>1992</v>
      </c>
      <c r="B2053" s="138">
        <f>'Cap Outlay Deprec 26'!K12</f>
        <v>971994</v>
      </c>
      <c r="C2053" s="2" t="s">
        <v>594</v>
      </c>
      <c r="D2053" s="2" t="str">
        <f t="shared" si="31"/>
        <v>Error?</v>
      </c>
    </row>
    <row r="2054" spans="1:4" x14ac:dyDescent="0.2">
      <c r="A2054" s="5">
        <v>1993</v>
      </c>
      <c r="B2054" s="138">
        <f>'Cap Outlay Deprec 26'!K13</f>
        <v>824596</v>
      </c>
      <c r="C2054" s="2" t="s">
        <v>594</v>
      </c>
      <c r="D2054" s="2" t="str">
        <f t="shared" si="31"/>
        <v>Error?</v>
      </c>
    </row>
    <row r="2055" spans="1:4" x14ac:dyDescent="0.2">
      <c r="A2055" s="5">
        <v>1994</v>
      </c>
      <c r="B2055" s="138">
        <f>'Cap Outlay Deprec 26'!K16</f>
        <v>17234597</v>
      </c>
      <c r="C2055" s="2" t="s">
        <v>594</v>
      </c>
      <c r="D2055" s="2" t="str">
        <f t="shared" si="31"/>
        <v>Error?</v>
      </c>
    </row>
    <row r="2056" spans="1:4" x14ac:dyDescent="0.2">
      <c r="A2056" s="5">
        <v>1995</v>
      </c>
      <c r="B2056" s="138">
        <f>'Cap Outlay Deprec 26'!L5</f>
        <v>1313712</v>
      </c>
      <c r="C2056" s="2" t="s">
        <v>594</v>
      </c>
      <c r="D2056" s="2" t="str">
        <f t="shared" si="31"/>
        <v>Error?</v>
      </c>
    </row>
    <row r="2057" spans="1:4" x14ac:dyDescent="0.2">
      <c r="A2057" s="5">
        <v>1996</v>
      </c>
      <c r="B2057" s="138">
        <f>'Cap Outlay Deprec 26'!L8</f>
        <v>30004914</v>
      </c>
      <c r="C2057" s="2" t="s">
        <v>594</v>
      </c>
      <c r="D2057" s="2" t="str">
        <f t="shared" si="31"/>
        <v>Error?</v>
      </c>
    </row>
    <row r="2058" spans="1:4" x14ac:dyDescent="0.2">
      <c r="A2058" s="5">
        <v>1997</v>
      </c>
      <c r="B2058" s="138">
        <f>'Cap Outlay Deprec 26'!L10</f>
        <v>2188464</v>
      </c>
      <c r="C2058" s="2" t="s">
        <v>594</v>
      </c>
      <c r="D2058" s="2" t="str">
        <f t="shared" si="31"/>
        <v>Error?</v>
      </c>
    </row>
    <row r="2059" spans="1:4" x14ac:dyDescent="0.2">
      <c r="A2059" s="5">
        <v>1998</v>
      </c>
      <c r="B2059" s="138">
        <f>'Cap Outlay Deprec 26'!L12</f>
        <v>656911</v>
      </c>
      <c r="C2059" s="2" t="s">
        <v>594</v>
      </c>
      <c r="D2059" s="2" t="str">
        <f t="shared" si="31"/>
        <v>Error?</v>
      </c>
    </row>
    <row r="2060" spans="1:4" x14ac:dyDescent="0.2">
      <c r="A2060" s="5">
        <v>1999</v>
      </c>
      <c r="B2060" s="138">
        <f>'Cap Outlay Deprec 26'!L13</f>
        <v>798710</v>
      </c>
      <c r="C2060" s="2" t="s">
        <v>594</v>
      </c>
      <c r="D2060" s="2" t="str">
        <f t="shared" si="31"/>
        <v>Error?</v>
      </c>
    </row>
    <row r="2061" spans="1:4" x14ac:dyDescent="0.2">
      <c r="A2061" s="5">
        <v>2000</v>
      </c>
      <c r="B2061" s="138">
        <f>'Cap Outlay Deprec 26'!L16</f>
        <v>34962711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1107733</v>
      </c>
      <c r="C2088" s="2" t="s">
        <v>594</v>
      </c>
      <c r="D2088" s="2" t="str">
        <f t="shared" si="31"/>
        <v>Error?</v>
      </c>
    </row>
    <row r="2089" spans="1:4" x14ac:dyDescent="0.2">
      <c r="A2089" s="5">
        <v>2028</v>
      </c>
      <c r="B2089" s="138">
        <f>'Expenditures 15-22'!K92</f>
        <v>117037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175000</v>
      </c>
      <c r="C2105" s="2" t="s">
        <v>594</v>
      </c>
      <c r="D2105" s="2" t="str">
        <f t="shared" si="31"/>
        <v>Error?</v>
      </c>
    </row>
    <row r="2106" spans="1:4" x14ac:dyDescent="0.2">
      <c r="A2106" s="5">
        <v>2045</v>
      </c>
      <c r="B2106" s="138">
        <f>'Acct Summary 7-8'!I48</f>
        <v>7500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6875297</v>
      </c>
      <c r="C2551" s="2" t="s">
        <v>594</v>
      </c>
      <c r="D2551" s="2" t="str">
        <f t="shared" si="38"/>
        <v>Error?</v>
      </c>
    </row>
    <row r="2552" spans="1:4" x14ac:dyDescent="0.2">
      <c r="A2552" s="10">
        <v>2491</v>
      </c>
      <c r="D2552" s="2" t="str">
        <f t="shared" si="38"/>
        <v>OK</v>
      </c>
    </row>
    <row r="2553" spans="1:4" x14ac:dyDescent="0.2">
      <c r="A2553" s="5">
        <v>2492</v>
      </c>
      <c r="B2553" s="138">
        <f>'Acct Summary 7-8'!C6</f>
        <v>2242283</v>
      </c>
      <c r="C2553" s="2" t="s">
        <v>594</v>
      </c>
      <c r="D2553" s="2" t="str">
        <f t="shared" si="38"/>
        <v>Error?</v>
      </c>
    </row>
    <row r="2554" spans="1:4" x14ac:dyDescent="0.2">
      <c r="A2554" s="5">
        <v>2493</v>
      </c>
      <c r="B2554" s="138">
        <f>'Acct Summary 7-8'!C7</f>
        <v>444515</v>
      </c>
      <c r="C2554" s="2" t="s">
        <v>594</v>
      </c>
      <c r="D2554" s="2" t="str">
        <f t="shared" si="38"/>
        <v>Error?</v>
      </c>
    </row>
    <row r="2555" spans="1:4" x14ac:dyDescent="0.2">
      <c r="A2555" s="5">
        <v>2494</v>
      </c>
      <c r="B2555" s="138">
        <f>'Acct Summary 7-8'!C8</f>
        <v>9562095</v>
      </c>
      <c r="C2555" s="2" t="s">
        <v>594</v>
      </c>
      <c r="D2555" s="2" t="str">
        <f t="shared" si="38"/>
        <v>Error?</v>
      </c>
    </row>
    <row r="2556" spans="1:4" x14ac:dyDescent="0.2">
      <c r="A2556" s="5">
        <v>2495</v>
      </c>
      <c r="B2556" s="138">
        <f>'Acct Summary 7-8'!C12</f>
        <v>6383689</v>
      </c>
      <c r="C2556" s="2" t="s">
        <v>594</v>
      </c>
      <c r="D2556" s="2" t="str">
        <f t="shared" si="38"/>
        <v>Error?</v>
      </c>
    </row>
    <row r="2557" spans="1:4" x14ac:dyDescent="0.2">
      <c r="A2557" s="5">
        <v>2496</v>
      </c>
      <c r="B2557" s="138">
        <f>'Acct Summary 7-8'!C13</f>
        <v>2052993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1224770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9661452</v>
      </c>
      <c r="C2561" s="2" t="s">
        <v>594</v>
      </c>
      <c r="D2561" s="2" t="str">
        <f t="shared" si="39"/>
        <v>Error?</v>
      </c>
    </row>
    <row r="2562" spans="1:4" x14ac:dyDescent="0.2">
      <c r="A2562" s="5">
        <v>2501</v>
      </c>
      <c r="B2562" s="138">
        <f>'Acct Summary 7-8'!C20</f>
        <v>-99357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1070306</v>
      </c>
      <c r="C2564" s="2" t="s">
        <v>594</v>
      </c>
      <c r="D2564" s="2" t="str">
        <f t="shared" si="39"/>
        <v>Error?</v>
      </c>
    </row>
    <row r="2565" spans="1:4" x14ac:dyDescent="0.2">
      <c r="A2565" s="10">
        <v>2504</v>
      </c>
      <c r="D2565" s="2" t="str">
        <f t="shared" si="39"/>
        <v>OK</v>
      </c>
    </row>
    <row r="2566" spans="1:4" x14ac:dyDescent="0.2">
      <c r="A2566" s="5">
        <v>2505</v>
      </c>
      <c r="B2566" s="138">
        <f>'Acct Summary 7-8'!D6</f>
        <v>122141</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1192447</v>
      </c>
      <c r="C2568" s="2" t="s">
        <v>594</v>
      </c>
      <c r="D2568" s="2" t="str">
        <f t="shared" si="39"/>
        <v>Error?</v>
      </c>
    </row>
    <row r="2569" spans="1:4" x14ac:dyDescent="0.2">
      <c r="A2569" s="5">
        <v>2508</v>
      </c>
      <c r="B2569" s="138">
        <f>'Acct Summary 7-8'!D13</f>
        <v>1127706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1127706</v>
      </c>
      <c r="C2573" s="2" t="s">
        <v>594</v>
      </c>
      <c r="D2573" s="2" t="str">
        <f t="shared" si="39"/>
        <v>Error?</v>
      </c>
    </row>
    <row r="2574" spans="1:4" x14ac:dyDescent="0.2">
      <c r="A2574" s="5">
        <v>2513</v>
      </c>
      <c r="B2574" s="138">
        <f>'Acct Summary 7-8'!D20</f>
        <v>64741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1089783</v>
      </c>
      <c r="C2591" s="2" t="s">
        <v>594</v>
      </c>
      <c r="D2591" s="2" t="str">
        <f t="shared" si="39"/>
        <v>Error?</v>
      </c>
    </row>
    <row r="2592" spans="1:4" x14ac:dyDescent="0.2">
      <c r="A2592" s="10">
        <v>2531</v>
      </c>
      <c r="D2592" s="2" t="str">
        <f t="shared" si="39"/>
        <v>OK</v>
      </c>
    </row>
    <row r="2593" spans="1:4" x14ac:dyDescent="0.2">
      <c r="A2593" s="5">
        <v>2532</v>
      </c>
      <c r="B2593" s="138">
        <f>'Acct Summary 7-8'!F6</f>
        <v>271149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1360932</v>
      </c>
      <c r="C2595" s="2" t="s">
        <v>594</v>
      </c>
      <c r="D2595" s="2" t="str">
        <f t="shared" si="39"/>
        <v>Error?</v>
      </c>
    </row>
    <row r="2596" spans="1:4" x14ac:dyDescent="0.2">
      <c r="A2596" s="5">
        <v>2535</v>
      </c>
      <c r="B2596" s="138">
        <f>'Acct Summary 7-8'!F13</f>
        <v>1250004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20029</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1270033</v>
      </c>
      <c r="C2600" s="2" t="s">
        <v>594</v>
      </c>
      <c r="D2600" s="2" t="str">
        <f t="shared" si="39"/>
        <v>Error?</v>
      </c>
    </row>
    <row r="2601" spans="1:4" x14ac:dyDescent="0.2">
      <c r="A2601" s="5">
        <v>2540</v>
      </c>
      <c r="B2601" s="138">
        <f>'Acct Summary 7-8'!F20</f>
        <v>90899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418255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418255</v>
      </c>
      <c r="C2606" s="2" t="s">
        <v>594</v>
      </c>
      <c r="D2606" s="2" t="str">
        <f t="shared" si="39"/>
        <v>Error?</v>
      </c>
    </row>
    <row r="2607" spans="1:4" x14ac:dyDescent="0.2">
      <c r="A2607" s="5">
        <v>2546</v>
      </c>
      <c r="B2607" s="138">
        <f>'Acct Summary 7-8'!G12</f>
        <v>153120</v>
      </c>
      <c r="C2607" s="2" t="s">
        <v>594</v>
      </c>
      <c r="D2607" s="2" t="str">
        <f t="shared" si="39"/>
        <v>Error?</v>
      </c>
    </row>
    <row r="2608" spans="1:4" x14ac:dyDescent="0.2">
      <c r="A2608" s="5">
        <v>2547</v>
      </c>
      <c r="B2608" s="138">
        <f>'Acct Summary 7-8'!G13</f>
        <v>301224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454344</v>
      </c>
      <c r="C2612" s="2" t="s">
        <v>594</v>
      </c>
      <c r="D2612" s="2" t="str">
        <f t="shared" si="39"/>
        <v>Error?</v>
      </c>
    </row>
    <row r="2613" spans="1:4" x14ac:dyDescent="0.2">
      <c r="A2613" s="5">
        <v>2552</v>
      </c>
      <c r="B2613" s="138">
        <f>'Acct Summary 7-8'!G20</f>
        <v>-36089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1467430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1467430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1455700</v>
      </c>
      <c r="C2634" s="2" t="s">
        <v>594</v>
      </c>
      <c r="D2634" s="2" t="str">
        <f t="shared" si="40"/>
        <v>Error?</v>
      </c>
    </row>
    <row r="2635" spans="1:4" x14ac:dyDescent="0.2">
      <c r="A2635" s="5">
        <v>2574</v>
      </c>
      <c r="B2635" s="138">
        <f>'Acct Summary 7-8'!E17</f>
        <v>1455700</v>
      </c>
      <c r="C2635" s="2" t="s">
        <v>594</v>
      </c>
      <c r="D2635" s="2" t="str">
        <f t="shared" si="40"/>
        <v>Error?</v>
      </c>
    </row>
    <row r="2636" spans="1:4" x14ac:dyDescent="0.2">
      <c r="A2636" s="5">
        <v>2575</v>
      </c>
      <c r="B2636" s="138">
        <f>'Acct Summary 7-8'!E20</f>
        <v>11730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1500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1500</v>
      </c>
      <c r="C2658" s="2" t="s">
        <v>594</v>
      </c>
      <c r="D2658" s="2" t="str">
        <f t="shared" si="40"/>
        <v>Error?</v>
      </c>
    </row>
    <row r="2659" spans="1:4" x14ac:dyDescent="0.2">
      <c r="A2659" s="5">
        <v>2598</v>
      </c>
      <c r="B2659" s="138">
        <f>'Acct Summary 7-8'!H13</f>
        <v>19216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19216</v>
      </c>
      <c r="C2661" s="2" t="s">
        <v>594</v>
      </c>
      <c r="D2661" s="2" t="str">
        <f t="shared" si="40"/>
        <v>Error?</v>
      </c>
    </row>
    <row r="2662" spans="1:4" x14ac:dyDescent="0.2">
      <c r="A2662" s="5">
        <v>2601</v>
      </c>
      <c r="B2662" s="138">
        <f>'Acct Summary 7-8'!H20</f>
        <v>-17716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1107733</v>
      </c>
      <c r="C2789" s="2" t="s">
        <v>594</v>
      </c>
      <c r="D2789" s="2" t="str">
        <f t="shared" si="42"/>
        <v>Error?</v>
      </c>
    </row>
    <row r="2790" spans="1:4" x14ac:dyDescent="0.2">
      <c r="A2790" s="5">
        <v>2729</v>
      </c>
      <c r="B2790" s="138">
        <f>'Expenditures 15-22'!E102</f>
        <v>1107733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20029</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20029</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195235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3315750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220669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3315750</v>
      </c>
      <c r="D2912" s="2" t="str">
        <f t="shared" si="44"/>
        <v>Error?</v>
      </c>
    </row>
    <row r="2913" spans="1:4" x14ac:dyDescent="0.2">
      <c r="A2913" s="5">
        <v>2852</v>
      </c>
      <c r="B2913" s="138">
        <f>'Assets-Liab 5-6'!I41</f>
        <v>3315750</v>
      </c>
      <c r="C2913" s="2" t="s">
        <v>594</v>
      </c>
      <c r="D2913" s="2" t="str">
        <f t="shared" si="44"/>
        <v>Error?</v>
      </c>
    </row>
    <row r="2914" spans="1:4" x14ac:dyDescent="0.2">
      <c r="A2914" s="5">
        <v>2853</v>
      </c>
      <c r="B2914" s="138">
        <f>'Assets-Liab 5-6'!L33</f>
        <v>220669</v>
      </c>
      <c r="D2914" s="2" t="str">
        <f t="shared" si="44"/>
        <v>Error?</v>
      </c>
    </row>
    <row r="2915" spans="1:4" x14ac:dyDescent="0.2">
      <c r="A2915" s="10">
        <v>2854</v>
      </c>
      <c r="D2915" s="2" t="str">
        <f t="shared" si="44"/>
        <v>OK</v>
      </c>
    </row>
    <row r="2916" spans="1:4" x14ac:dyDescent="0.2">
      <c r="A2916" s="5">
        <v>2855</v>
      </c>
      <c r="B2916" s="138">
        <f>'Assets-Liab 5-6'!L34</f>
        <v>220669</v>
      </c>
      <c r="C2916" s="2" t="s">
        <v>594</v>
      </c>
      <c r="D2916" s="2" t="str">
        <f t="shared" si="44"/>
        <v>Error?</v>
      </c>
    </row>
    <row r="2917" spans="1:4" x14ac:dyDescent="0.2">
      <c r="A2917" s="5">
        <v>2856</v>
      </c>
      <c r="B2917" s="138">
        <f>'Assets-Liab 5-6'!L41</f>
        <v>220669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273956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829543</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4234</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273956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829543</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4234</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20029</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20029</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13625</v>
      </c>
      <c r="D3056" s="2" t="str">
        <f t="shared" si="46"/>
        <v>Error?</v>
      </c>
    </row>
    <row r="3057" spans="1:4" x14ac:dyDescent="0.2">
      <c r="A3057" s="5">
        <v>2996</v>
      </c>
      <c r="B3057" s="138">
        <f>'Expenditures 15-22'!E10</f>
        <v>3000</v>
      </c>
      <c r="D3057" s="2" t="str">
        <f t="shared" si="46"/>
        <v>Error?</v>
      </c>
    </row>
    <row r="3058" spans="1:4" x14ac:dyDescent="0.2">
      <c r="A3058" s="5">
        <v>2997</v>
      </c>
      <c r="B3058" s="138">
        <f>'Expenditures 15-22'!F10</f>
        <v>8689</v>
      </c>
      <c r="D3058" s="2" t="str">
        <f t="shared" si="46"/>
        <v>Error?</v>
      </c>
    </row>
    <row r="3059" spans="1:4" x14ac:dyDescent="0.2">
      <c r="A3059" s="5">
        <v>2998</v>
      </c>
      <c r="B3059" s="138">
        <f>'Expenditures 15-22'!G10</f>
        <v>81698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107012</v>
      </c>
      <c r="C3062" s="2" t="s">
        <v>594</v>
      </c>
      <c r="D3062" s="2" t="str">
        <f t="shared" si="46"/>
        <v>Error?</v>
      </c>
    </row>
    <row r="3063" spans="1:4" x14ac:dyDescent="0.2">
      <c r="A3063" s="10">
        <v>3002</v>
      </c>
      <c r="D3063" s="2" t="str">
        <f t="shared" si="46"/>
        <v>OK</v>
      </c>
    </row>
    <row r="3064" spans="1:4" x14ac:dyDescent="0.2">
      <c r="A3064" s="5">
        <v>3003</v>
      </c>
      <c r="B3064" s="138">
        <f>'Expenditures 15-22'!D219</f>
        <v>3306</v>
      </c>
      <c r="D3064" s="2" t="str">
        <f t="shared" si="46"/>
        <v>Error?</v>
      </c>
    </row>
    <row r="3065" spans="1:4" x14ac:dyDescent="0.2">
      <c r="A3065" s="5">
        <v>3004</v>
      </c>
      <c r="B3065" s="138">
        <f>'Expenditures 15-22'!K219</f>
        <v>3306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200100</v>
      </c>
      <c r="C3225" s="2" t="s">
        <v>594</v>
      </c>
      <c r="D3225" s="2" t="str">
        <f t="shared" si="49"/>
        <v>Error?</v>
      </c>
    </row>
    <row r="3226" spans="1:4" x14ac:dyDescent="0.2">
      <c r="A3226" s="5">
        <v>3165</v>
      </c>
      <c r="B3226" s="138">
        <f>'Acct Summary 7-8'!I8</f>
        <v>200100</v>
      </c>
      <c r="C3226" s="2" t="s">
        <v>594</v>
      </c>
      <c r="D3226" s="2" t="str">
        <f t="shared" si="49"/>
        <v>Error?</v>
      </c>
    </row>
    <row r="3227" spans="1:4" x14ac:dyDescent="0.2">
      <c r="A3227" s="5">
        <v>3166</v>
      </c>
      <c r="B3227" s="138">
        <f>'Acct Summary 7-8'!I20</f>
        <v>200100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182500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182500</v>
      </c>
      <c r="C3232" s="2" t="s">
        <v>594</v>
      </c>
      <c r="D3232" s="2" t="str">
        <f t="shared" si="49"/>
        <v>Error?</v>
      </c>
    </row>
    <row r="3233" spans="1:4" x14ac:dyDescent="0.2">
      <c r="A3233" s="5">
        <v>3172</v>
      </c>
      <c r="B3233" s="138">
        <f>'Acct Summary 7-8'!C78</f>
        <v>83143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64741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90899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-36089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11730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-17716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182500</v>
      </c>
      <c r="C3318" s="2" t="s">
        <v>594</v>
      </c>
      <c r="D3318" s="2" t="str">
        <f t="shared" si="50"/>
        <v>Error?</v>
      </c>
    </row>
    <row r="3319" spans="1:4" x14ac:dyDescent="0.2">
      <c r="A3319" s="5">
        <v>3258</v>
      </c>
      <c r="B3319" s="138">
        <f>'Acct Summary 7-8'!I77</f>
        <v>-182500</v>
      </c>
      <c r="C3319" s="2" t="s">
        <v>594</v>
      </c>
      <c r="D3319" s="2" t="str">
        <f t="shared" si="50"/>
        <v>Error?</v>
      </c>
    </row>
    <row r="3320" spans="1:4" x14ac:dyDescent="0.2">
      <c r="A3320" s="5">
        <v>3259</v>
      </c>
      <c r="B3320" s="138">
        <f>'Acct Summary 7-8'!I78</f>
        <v>17600</v>
      </c>
      <c r="C3320" s="2" t="s">
        <v>594</v>
      </c>
      <c r="D3320" s="2" t="str">
        <f t="shared" si="50"/>
        <v>Error?</v>
      </c>
    </row>
    <row r="3321" spans="1:4" x14ac:dyDescent="0.2">
      <c r="A3321" s="5">
        <v>3260</v>
      </c>
      <c r="B3321" s="138">
        <f>'Acct Summary 7-8'!I79</f>
        <v>3298150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3315750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567693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94626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1865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664184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66017</v>
      </c>
      <c r="D3387" s="2" t="str">
        <f t="shared" si="51"/>
        <v>Error?</v>
      </c>
    </row>
    <row r="3388" spans="1:4" x14ac:dyDescent="0.2">
      <c r="A3388" s="5">
        <v>3327</v>
      </c>
      <c r="B3388" s="138">
        <f>'Expenditures 15-22'!D217</f>
        <v>58407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66017</v>
      </c>
      <c r="C3390" s="2" t="s">
        <v>594</v>
      </c>
      <c r="D3390" s="2" t="str">
        <f t="shared" si="51"/>
        <v>Error?</v>
      </c>
    </row>
    <row r="3391" spans="1:4" x14ac:dyDescent="0.2">
      <c r="A3391" s="5">
        <v>3330</v>
      </c>
      <c r="B3391" s="138">
        <f>'Expenditures 15-22'!K217</f>
        <v>58407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836583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176582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1143103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270659</v>
      </c>
      <c r="D3425" s="2" t="str">
        <f t="shared" si="52"/>
        <v>Error?</v>
      </c>
    </row>
    <row r="3426" spans="1:4" x14ac:dyDescent="0.2">
      <c r="A3426" s="10">
        <v>3365</v>
      </c>
      <c r="D3426" s="2" t="str">
        <f t="shared" si="52"/>
        <v>OK</v>
      </c>
    </row>
    <row r="3427" spans="1:4" x14ac:dyDescent="0.2">
      <c r="A3427" s="5">
        <v>3366</v>
      </c>
      <c r="B3427" s="138">
        <f>'Assets-Liab 5-6'!I4</f>
        <v>3120515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220669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221363</v>
      </c>
      <c r="C3446" s="2" t="s">
        <v>594</v>
      </c>
      <c r="D3446" s="2" t="str">
        <f t="shared" si="52"/>
        <v>Error?</v>
      </c>
    </row>
    <row r="3447" spans="1:4" x14ac:dyDescent="0.2">
      <c r="A3447" s="5">
        <v>3386</v>
      </c>
      <c r="B3447" s="138">
        <f>'Tax Sched 23'!D16</f>
        <v>107422</v>
      </c>
      <c r="C3447" s="2" t="s">
        <v>594</v>
      </c>
      <c r="D3447" s="2" t="str">
        <f t="shared" si="52"/>
        <v>Error?</v>
      </c>
    </row>
    <row r="3448" spans="1:4" x14ac:dyDescent="0.2">
      <c r="A3448" s="5">
        <v>3387</v>
      </c>
      <c r="B3448" s="138">
        <f>'Tax Sched 23'!C16</f>
        <v>113941</v>
      </c>
      <c r="D3448" s="2" t="str">
        <f t="shared" si="52"/>
        <v>Error?</v>
      </c>
    </row>
    <row r="3449" spans="1:4" x14ac:dyDescent="0.2">
      <c r="A3449" s="5">
        <v>3388</v>
      </c>
      <c r="B3449" s="138">
        <f>'Tax Sched 23'!F16</f>
        <v>113272</v>
      </c>
      <c r="C3449" s="2" t="s">
        <v>594</v>
      </c>
      <c r="D3449" s="2" t="str">
        <f t="shared" si="52"/>
        <v>Error?</v>
      </c>
    </row>
    <row r="3450" spans="1:4" x14ac:dyDescent="0.2">
      <c r="A3450" s="5">
        <v>3389</v>
      </c>
      <c r="B3450" s="138">
        <f>'Tax Sched 23'!E16</f>
        <v>227213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129789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129789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129789</v>
      </c>
      <c r="D3567" s="2" t="str">
        <f t="shared" si="54"/>
        <v>Error?</v>
      </c>
    </row>
    <row r="3568" spans="1:4" x14ac:dyDescent="0.2">
      <c r="A3568" s="5">
        <v>3507</v>
      </c>
      <c r="B3568" s="138">
        <f>'Assets-Liab 5-6'!K41</f>
        <v>129789</v>
      </c>
      <c r="C3568" s="2" t="s">
        <v>594</v>
      </c>
      <c r="D3568" s="2" t="str">
        <f t="shared" si="54"/>
        <v>Error?</v>
      </c>
    </row>
    <row r="3569" spans="1:4" x14ac:dyDescent="0.2">
      <c r="A3569" s="5">
        <v>3508</v>
      </c>
      <c r="B3569" s="138">
        <f>'Acct Summary 7-8'!K4</f>
        <v>50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50</v>
      </c>
      <c r="C3571" s="2" t="s">
        <v>594</v>
      </c>
      <c r="D3571" s="2" t="str">
        <f t="shared" si="54"/>
        <v>Error?</v>
      </c>
    </row>
    <row r="3572" spans="1:4" x14ac:dyDescent="0.2">
      <c r="A3572" s="5">
        <v>3511</v>
      </c>
      <c r="B3572" s="138">
        <f>'Acct Summary 7-8'!K13</f>
        <v>54660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54660</v>
      </c>
      <c r="C3575" s="2" t="s">
        <v>594</v>
      </c>
      <c r="D3575" s="2" t="str">
        <f t="shared" si="54"/>
        <v>Error?</v>
      </c>
    </row>
    <row r="3576" spans="1:4" x14ac:dyDescent="0.2">
      <c r="A3576" s="5">
        <v>3515</v>
      </c>
      <c r="B3576" s="138">
        <f>'Acct Summary 7-8'!K20</f>
        <v>-54610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-54610</v>
      </c>
      <c r="C3588" s="2" t="s">
        <v>594</v>
      </c>
      <c r="D3588" s="2" t="str">
        <f t="shared" si="55"/>
        <v>Error?</v>
      </c>
    </row>
    <row r="3589" spans="1:4" x14ac:dyDescent="0.2">
      <c r="A3589" s="5">
        <v>3528</v>
      </c>
      <c r="B3589" s="138">
        <f>'Acct Summary 7-8'!K79</f>
        <v>184399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129789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54660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54660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54660</v>
      </c>
      <c r="C3649" s="2" t="s">
        <v>594</v>
      </c>
      <c r="D3649" s="2" t="str">
        <f t="shared" si="56"/>
        <v>Error?</v>
      </c>
    </row>
    <row r="3650" spans="1:4" x14ac:dyDescent="0.2">
      <c r="A3650" s="5">
        <v>3589</v>
      </c>
      <c r="B3650" s="138">
        <f>'Expenditures 15-22'!G367</f>
        <v>54660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54660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54660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54660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54660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-54610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200548</v>
      </c>
      <c r="C3725" s="2" t="s">
        <v>594</v>
      </c>
      <c r="D3725" s="2" t="str">
        <f t="shared" si="57"/>
        <v>Error?</v>
      </c>
    </row>
    <row r="3726" spans="1:4" x14ac:dyDescent="0.2">
      <c r="A3726" s="5">
        <v>3665</v>
      </c>
      <c r="B3726" s="138">
        <f>'Tax Sched 23'!D13</f>
        <v>96848</v>
      </c>
      <c r="C3726" s="2" t="s">
        <v>594</v>
      </c>
      <c r="D3726" s="2" t="str">
        <f t="shared" si="57"/>
        <v>Error?</v>
      </c>
    </row>
    <row r="3727" spans="1:4" x14ac:dyDescent="0.2">
      <c r="A3727" s="5">
        <v>3666</v>
      </c>
      <c r="B3727" s="138">
        <f>'Tax Sched 23'!C13</f>
        <v>103700</v>
      </c>
      <c r="D3727" s="2" t="str">
        <f t="shared" si="57"/>
        <v>Error?</v>
      </c>
    </row>
    <row r="3728" spans="1:4" x14ac:dyDescent="0.2">
      <c r="A3728" s="5">
        <v>3667</v>
      </c>
      <c r="B3728" s="138">
        <f>'Tax Sched 23'!F13</f>
        <v>103045</v>
      </c>
      <c r="C3728" s="2" t="s">
        <v>594</v>
      </c>
      <c r="D3728" s="2" t="str">
        <f t="shared" si="57"/>
        <v>Error?</v>
      </c>
    </row>
    <row r="3729" spans="1:4" x14ac:dyDescent="0.2">
      <c r="A3729" s="5">
        <v>3668</v>
      </c>
      <c r="B3729" s="138">
        <f>'Tax Sched 23'!E13</f>
        <v>206745</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4203568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13765663</v>
      </c>
      <c r="C4122" s="2" t="s">
        <v>594</v>
      </c>
      <c r="D4122" s="2" t="str">
        <f t="shared" si="63"/>
        <v>Error?</v>
      </c>
    </row>
    <row r="4123" spans="1:4" x14ac:dyDescent="0.2">
      <c r="A4123" s="5">
        <v>4062</v>
      </c>
      <c r="B4123" s="138">
        <f>'Acct Summary 7-8'!D10</f>
        <v>1192447</v>
      </c>
      <c r="C4123" s="2" t="s">
        <v>594</v>
      </c>
      <c r="D4123" s="2" t="str">
        <f t="shared" si="63"/>
        <v>Error?</v>
      </c>
    </row>
    <row r="4124" spans="1:4" x14ac:dyDescent="0.2">
      <c r="A4124" s="5">
        <v>4063</v>
      </c>
      <c r="B4124" s="138">
        <f>'Acct Summary 7-8'!E10</f>
        <v>1467430</v>
      </c>
      <c r="C4124" s="2" t="s">
        <v>594</v>
      </c>
      <c r="D4124" s="2" t="str">
        <f t="shared" si="63"/>
        <v>Error?</v>
      </c>
    </row>
    <row r="4125" spans="1:4" x14ac:dyDescent="0.2">
      <c r="A4125" s="5">
        <v>4064</v>
      </c>
      <c r="B4125" s="138">
        <f>'Acct Summary 7-8'!F10</f>
        <v>1360932</v>
      </c>
      <c r="C4125" s="2" t="s">
        <v>594</v>
      </c>
      <c r="D4125" s="2" t="str">
        <f t="shared" si="63"/>
        <v>Error?</v>
      </c>
    </row>
    <row r="4126" spans="1:4" x14ac:dyDescent="0.2">
      <c r="A4126" s="5">
        <v>4065</v>
      </c>
      <c r="B4126" s="138">
        <f>'Acct Summary 7-8'!G10</f>
        <v>418255</v>
      </c>
      <c r="C4126" s="2" t="s">
        <v>594</v>
      </c>
      <c r="D4126" s="2" t="str">
        <f t="shared" si="63"/>
        <v>Error?</v>
      </c>
    </row>
    <row r="4127" spans="1:4" x14ac:dyDescent="0.2">
      <c r="A4127" s="5">
        <v>4066</v>
      </c>
      <c r="B4127" s="138">
        <f>'Acct Summary 7-8'!H10</f>
        <v>1500</v>
      </c>
      <c r="C4127" s="2" t="s">
        <v>594</v>
      </c>
      <c r="D4127" s="2" t="str">
        <f t="shared" si="63"/>
        <v>Error?</v>
      </c>
    </row>
    <row r="4128" spans="1:4" x14ac:dyDescent="0.2">
      <c r="A4128" s="5">
        <v>4067</v>
      </c>
      <c r="B4128" s="138">
        <f>'Acct Summary 7-8'!I10</f>
        <v>200100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50</v>
      </c>
      <c r="C4130" s="2" t="s">
        <v>594</v>
      </c>
      <c r="D4130" s="2" t="str">
        <f t="shared" si="63"/>
        <v>Error?</v>
      </c>
    </row>
    <row r="4131" spans="1:4" x14ac:dyDescent="0.2">
      <c r="A4131" s="5">
        <v>4070</v>
      </c>
      <c r="B4131" s="138">
        <f>'Acct Summary 7-8'!C18</f>
        <v>4203568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13865020</v>
      </c>
      <c r="C4136" s="2" t="s">
        <v>594</v>
      </c>
      <c r="D4136" s="2" t="str">
        <f t="shared" si="63"/>
        <v>Error?</v>
      </c>
    </row>
    <row r="4137" spans="1:4" x14ac:dyDescent="0.2">
      <c r="A4137" s="5">
        <v>4076</v>
      </c>
      <c r="B4137" s="138">
        <f>'Acct Summary 7-8'!D19</f>
        <v>1127706</v>
      </c>
      <c r="C4137" s="2" t="s">
        <v>594</v>
      </c>
      <c r="D4137" s="2" t="str">
        <f t="shared" si="63"/>
        <v>Error?</v>
      </c>
    </row>
    <row r="4138" spans="1:4" x14ac:dyDescent="0.2">
      <c r="A4138" s="5">
        <v>4077</v>
      </c>
      <c r="B4138" s="138">
        <f>'Acct Summary 7-8'!E19</f>
        <v>1455700</v>
      </c>
      <c r="C4138" s="2" t="s">
        <v>594</v>
      </c>
      <c r="D4138" s="2" t="str">
        <f t="shared" si="63"/>
        <v>Error?</v>
      </c>
    </row>
    <row r="4139" spans="1:4" x14ac:dyDescent="0.2">
      <c r="A4139" s="5">
        <v>4078</v>
      </c>
      <c r="B4139" s="138">
        <f>'Acct Summary 7-8'!F19</f>
        <v>1270033</v>
      </c>
      <c r="C4139" s="2" t="s">
        <v>594</v>
      </c>
      <c r="D4139" s="2" t="str">
        <f t="shared" si="63"/>
        <v>Error?</v>
      </c>
    </row>
    <row r="4140" spans="1:4" x14ac:dyDescent="0.2">
      <c r="A4140" s="5">
        <v>4079</v>
      </c>
      <c r="B4140" s="138">
        <f>'Acct Summary 7-8'!G19</f>
        <v>454344</v>
      </c>
      <c r="C4140" s="2" t="s">
        <v>594</v>
      </c>
      <c r="D4140" s="2" t="str">
        <f t="shared" si="63"/>
        <v>Error?</v>
      </c>
    </row>
    <row r="4141" spans="1:4" x14ac:dyDescent="0.2">
      <c r="A4141" s="5">
        <v>4080</v>
      </c>
      <c r="B4141" s="138">
        <f>'Acct Summary 7-8'!H19</f>
        <v>19216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54660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11305000</v>
      </c>
      <c r="C4171" s="2" t="s">
        <v>594</v>
      </c>
      <c r="D4171" s="2" t="str">
        <f t="shared" si="64"/>
        <v>Error?</v>
      </c>
    </row>
    <row r="4172" spans="1:4" x14ac:dyDescent="0.2">
      <c r="A4172" s="5">
        <v>4111</v>
      </c>
      <c r="B4172" s="138">
        <f>'Short-Term Long-Term Debt 24'!J49</f>
        <v>10579873</v>
      </c>
      <c r="C4172" s="2" t="s">
        <v>594</v>
      </c>
      <c r="D4172" s="2" t="str">
        <f t="shared" si="64"/>
        <v>Error?</v>
      </c>
    </row>
    <row r="4173" spans="1:4" x14ac:dyDescent="0.2">
      <c r="A4173" s="5">
        <v>4112</v>
      </c>
      <c r="B4173" s="138">
        <f>'Short-Term Long-Term Debt 24'!H49</f>
        <v>1030000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1300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1670</v>
      </c>
      <c r="C4268" s="2" t="s">
        <v>594</v>
      </c>
      <c r="D4268" s="2" t="str">
        <f t="shared" si="65"/>
        <v>Error?</v>
      </c>
    </row>
    <row r="4269" spans="1:5" x14ac:dyDescent="0.2">
      <c r="A4269" s="12">
        <v>4208</v>
      </c>
      <c r="B4269" s="138">
        <f>'FP Info 3'!J16</f>
        <v>13299639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14173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1500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31099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413490051</v>
      </c>
      <c r="D4995" s="2" t="str">
        <f t="shared" si="77"/>
        <v>Error?</v>
      </c>
    </row>
    <row r="4996" spans="1:4" x14ac:dyDescent="0.2">
      <c r="A4996" s="12">
        <v>4935</v>
      </c>
      <c r="B4996" s="138">
        <f>'FP Info 3'!H31</f>
        <v>28530813.519000001</v>
      </c>
      <c r="D4996" s="2" t="str">
        <f t="shared" si="77"/>
        <v>Error?</v>
      </c>
    </row>
    <row r="4997" spans="1:4" x14ac:dyDescent="0.2">
      <c r="A4997" s="12">
        <v>4936</v>
      </c>
      <c r="B4997" s="138">
        <f>'FP Info 3'!H37</f>
        <v>11305000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200548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5214375</v>
      </c>
      <c r="D5061" s="2" t="str">
        <f t="shared" si="78"/>
        <v>Error?</v>
      </c>
    </row>
    <row r="5062" spans="1:4" x14ac:dyDescent="0.2">
      <c r="A5062" s="10">
        <v>5001</v>
      </c>
      <c r="D5062" s="2" t="str">
        <f t="shared" si="78"/>
        <v>OK</v>
      </c>
    </row>
    <row r="5063" spans="1:4" x14ac:dyDescent="0.2">
      <c r="A5063" s="5">
        <v>5002</v>
      </c>
      <c r="B5063" s="138">
        <f>'Revenues 9-14'!C7</f>
        <v>80221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5495144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634992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634992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65835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65835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412120</v>
      </c>
      <c r="D5095" s="2" t="str">
        <f t="shared" si="78"/>
        <v>Error?</v>
      </c>
    </row>
    <row r="5096" spans="1:4" x14ac:dyDescent="0.2">
      <c r="A5096" s="5">
        <v>5035</v>
      </c>
      <c r="B5096" s="138">
        <f>'Revenues 9-14'!C75</f>
        <v>412120</v>
      </c>
      <c r="C5096" s="2" t="s">
        <v>594</v>
      </c>
      <c r="D5096" s="2" t="str">
        <f t="shared" si="78"/>
        <v>Error?</v>
      </c>
    </row>
    <row r="5097" spans="1:4" x14ac:dyDescent="0.2">
      <c r="A5097" s="5">
        <v>5036</v>
      </c>
      <c r="B5097" s="138">
        <f>'Revenues 9-14'!C77</f>
        <v>41867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5790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47657</v>
      </c>
      <c r="C5102" s="2" t="s">
        <v>594</v>
      </c>
      <c r="D5102" s="2" t="str">
        <f t="shared" si="78"/>
        <v>Error?</v>
      </c>
    </row>
    <row r="5103" spans="1:4" x14ac:dyDescent="0.2">
      <c r="A5103" s="5">
        <v>5042</v>
      </c>
      <c r="B5103" s="138">
        <f>'Revenues 9-14'!C84</f>
        <v>76509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76509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74527</v>
      </c>
      <c r="D5119" s="2" t="str">
        <f t="shared" ref="D5119:D5182" si="79">IF(ISBLANK(B5119),"OK",IF(A5119-B5119=0,"OK","Error?"))</f>
        <v>Error?</v>
      </c>
    </row>
    <row r="5120" spans="1:4" x14ac:dyDescent="0.2">
      <c r="A5120" s="5">
        <v>5059</v>
      </c>
      <c r="B5120" s="138">
        <f>'Revenues 9-14'!C108</f>
        <v>143040</v>
      </c>
      <c r="C5120" s="2" t="s">
        <v>594</v>
      </c>
      <c r="D5120" s="2" t="str">
        <f t="shared" si="79"/>
        <v>Error?</v>
      </c>
    </row>
    <row r="5121" spans="1:4" x14ac:dyDescent="0.2">
      <c r="A5121" s="5">
        <v>5060</v>
      </c>
      <c r="B5121" s="138">
        <f>'Revenues 9-14'!C109</f>
        <v>6875297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1896087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1896087</v>
      </c>
      <c r="C5132" s="2" t="s">
        <v>594</v>
      </c>
      <c r="D5132" s="2" t="str">
        <f t="shared" si="79"/>
        <v>Error?</v>
      </c>
    </row>
    <row r="5133" spans="1:4" x14ac:dyDescent="0.2">
      <c r="A5133" s="5">
        <v>5072</v>
      </c>
      <c r="B5133" s="138">
        <f>'Revenues 9-14'!C124</f>
        <v>72567</v>
      </c>
      <c r="D5133" s="2" t="str">
        <f t="shared" si="79"/>
        <v>Error?</v>
      </c>
    </row>
    <row r="5134" spans="1:4" x14ac:dyDescent="0.2">
      <c r="A5134" s="5">
        <v>5073</v>
      </c>
      <c r="B5134" s="138">
        <f>'Revenues 9-14'!C125</f>
        <v>67918</v>
      </c>
      <c r="D5134" s="2" t="str">
        <f t="shared" si="79"/>
        <v>Error?</v>
      </c>
    </row>
    <row r="5135" spans="1:4" x14ac:dyDescent="0.2">
      <c r="A5135" s="5">
        <v>5074</v>
      </c>
      <c r="B5135" s="138">
        <f>'Revenues 9-14'!C126</f>
        <v>31683</v>
      </c>
      <c r="D5135" s="2" t="str">
        <f t="shared" si="79"/>
        <v>Error?</v>
      </c>
    </row>
    <row r="5136" spans="1:4" x14ac:dyDescent="0.2">
      <c r="A5136" s="10">
        <v>5075</v>
      </c>
      <c r="D5136" s="2" t="str">
        <f t="shared" si="79"/>
        <v>OK</v>
      </c>
    </row>
    <row r="5137" spans="1:4" x14ac:dyDescent="0.2">
      <c r="A5137" s="5">
        <v>5076</v>
      </c>
      <c r="B5137" s="138">
        <f>'Revenues 9-14'!C127</f>
        <v>115789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3054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291011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3934</v>
      </c>
      <c r="C5161" s="2" t="s">
        <v>594</v>
      </c>
      <c r="D5161" s="2" t="str">
        <f t="shared" si="79"/>
        <v>Error?</v>
      </c>
    </row>
    <row r="5162" spans="1:4" x14ac:dyDescent="0.2">
      <c r="A5162" s="10">
        <v>5101</v>
      </c>
      <c r="D5162" s="2" t="str">
        <f t="shared" si="79"/>
        <v>OK</v>
      </c>
    </row>
    <row r="5163" spans="1:4" x14ac:dyDescent="0.2">
      <c r="A5163" s="5">
        <v>5102</v>
      </c>
      <c r="B5163" s="138">
        <f>'Revenues 9-14'!C142</f>
        <v>10372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10372</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40879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346196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2242283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242036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1500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242036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96169</v>
      </c>
      <c r="D5278" s="2" t="str">
        <f t="shared" si="81"/>
        <v>Error?</v>
      </c>
    </row>
    <row r="5279" spans="1:4" x14ac:dyDescent="0.2">
      <c r="A5279" s="5">
        <v>5218</v>
      </c>
      <c r="B5279" s="138">
        <f>'Revenues 9-14'!C221</f>
        <v>53762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149931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5618</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158</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444515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444515</v>
      </c>
      <c r="C5326" s="2" t="s">
        <v>594</v>
      </c>
      <c r="D5326" s="2" t="str">
        <f t="shared" si="82"/>
        <v>Error?</v>
      </c>
    </row>
    <row r="5327" spans="1:4" x14ac:dyDescent="0.2">
      <c r="A5327" s="5">
        <v>5266</v>
      </c>
      <c r="B5327" s="138">
        <f>'Revenues 9-14'!C275</f>
        <v>9562095</v>
      </c>
      <c r="C5327" s="2" t="s">
        <v>594</v>
      </c>
      <c r="D5327" s="2" t="str">
        <f t="shared" si="82"/>
        <v>Error?</v>
      </c>
    </row>
    <row r="5328" spans="1:4" x14ac:dyDescent="0.2">
      <c r="A5328" s="5">
        <v>5267</v>
      </c>
      <c r="B5328" s="138">
        <f>'Revenues 9-14'!D5</f>
        <v>1002759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1002759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38830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38830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13680</v>
      </c>
      <c r="D5354" s="2" t="str">
        <f t="shared" si="82"/>
        <v>Error?</v>
      </c>
    </row>
    <row r="5355" spans="1:4" x14ac:dyDescent="0.2">
      <c r="A5355" s="5">
        <v>5294</v>
      </c>
      <c r="B5355" s="138">
        <f>'Revenues 9-14'!D108</f>
        <v>28717</v>
      </c>
      <c r="C5355" s="2" t="s">
        <v>594</v>
      </c>
      <c r="D5355" s="2" t="str">
        <f t="shared" si="82"/>
        <v>Error?</v>
      </c>
    </row>
    <row r="5356" spans="1:4" x14ac:dyDescent="0.2">
      <c r="A5356" s="5">
        <v>5295</v>
      </c>
      <c r="B5356" s="138">
        <f>'Revenues 9-14'!D109</f>
        <v>1070306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122141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122141</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122141</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1192447</v>
      </c>
      <c r="C5508" s="2" t="s">
        <v>594</v>
      </c>
      <c r="D5508" s="2" t="str">
        <f t="shared" si="85"/>
        <v>Error?</v>
      </c>
    </row>
    <row r="5509" spans="1:4" x14ac:dyDescent="0.2">
      <c r="A5509" s="5">
        <v>5448</v>
      </c>
      <c r="B5509" s="138">
        <f>'Revenues 9-14'!E5</f>
        <v>1467081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1467081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349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349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1467430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1467430</v>
      </c>
      <c r="C5552" s="2" t="s">
        <v>594</v>
      </c>
      <c r="D5552" s="2" t="str">
        <f t="shared" si="85"/>
        <v>Error?</v>
      </c>
    </row>
    <row r="5553" spans="1:4" x14ac:dyDescent="0.2">
      <c r="A5553" s="5">
        <v>5492</v>
      </c>
      <c r="B5553" s="138">
        <f>'Revenues 9-14'!F5</f>
        <v>469130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469130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605393</v>
      </c>
      <c r="D5564" s="2" t="str">
        <f t="shared" si="85"/>
        <v>Error?</v>
      </c>
    </row>
    <row r="5565" spans="1:4" x14ac:dyDescent="0.2">
      <c r="A5565" s="5">
        <v>5504</v>
      </c>
      <c r="B5565" s="138">
        <f>'Revenues 9-14'!F44</f>
        <v>5760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611153</v>
      </c>
      <c r="C5579" s="2" t="s">
        <v>594</v>
      </c>
      <c r="D5579" s="2" t="str">
        <f t="shared" si="86"/>
        <v>Error?</v>
      </c>
    </row>
    <row r="5580" spans="1:4" x14ac:dyDescent="0.2">
      <c r="A5580" s="5">
        <v>5519</v>
      </c>
      <c r="B5580" s="138">
        <f>'Revenues 9-14'!F65</f>
        <v>1000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1000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8500</v>
      </c>
      <c r="D5586" s="2" t="str">
        <f t="shared" si="86"/>
        <v>Error?</v>
      </c>
    </row>
    <row r="5587" spans="1:4" x14ac:dyDescent="0.2">
      <c r="A5587" s="5">
        <v>5526</v>
      </c>
      <c r="B5587" s="138">
        <f>'Revenues 9-14'!F108</f>
        <v>8500</v>
      </c>
      <c r="C5587" s="2" t="s">
        <v>594</v>
      </c>
      <c r="D5587" s="2" t="str">
        <f t="shared" si="86"/>
        <v>Error?</v>
      </c>
    </row>
    <row r="5588" spans="1:4" x14ac:dyDescent="0.2">
      <c r="A5588" s="5">
        <v>5527</v>
      </c>
      <c r="B5588" s="138">
        <f>'Revenues 9-14'!F109</f>
        <v>1089783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81337</v>
      </c>
      <c r="D5615" s="2" t="str">
        <f t="shared" si="86"/>
        <v>Error?</v>
      </c>
    </row>
    <row r="5616" spans="1:4" x14ac:dyDescent="0.2">
      <c r="A5616" s="10">
        <v>5555</v>
      </c>
      <c r="D5616" s="2" t="str">
        <f t="shared" si="86"/>
        <v>OK</v>
      </c>
    </row>
    <row r="5617" spans="1:4" x14ac:dyDescent="0.2">
      <c r="A5617" s="5">
        <v>5556</v>
      </c>
      <c r="B5617" s="138">
        <f>'Revenues 9-14'!F152</f>
        <v>189812</v>
      </c>
      <c r="D5617" s="2" t="str">
        <f t="shared" si="86"/>
        <v>Error?</v>
      </c>
    </row>
    <row r="5618" spans="1:4" x14ac:dyDescent="0.2">
      <c r="A5618" s="5">
        <v>5557</v>
      </c>
      <c r="B5618" s="138">
        <f>'Revenues 9-14'!F154</f>
        <v>271149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271149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271149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1360932</v>
      </c>
      <c r="C5720" s="2" t="s">
        <v>594</v>
      </c>
      <c r="D5720" s="2" t="str">
        <f t="shared" si="88"/>
        <v>Error?</v>
      </c>
    </row>
    <row r="5721" spans="1:4" x14ac:dyDescent="0.2">
      <c r="A5721" s="5">
        <v>5660</v>
      </c>
      <c r="B5721" s="138">
        <f>'Revenues 9-14'!G5</f>
        <v>181792</v>
      </c>
      <c r="D5721" s="2" t="str">
        <f t="shared" si="88"/>
        <v>Error?</v>
      </c>
    </row>
    <row r="5722" spans="1:4" x14ac:dyDescent="0.2">
      <c r="A5722" s="5">
        <v>5661</v>
      </c>
      <c r="B5722" s="138">
        <f>'Revenues 9-14'!G7</f>
        <v>0</v>
      </c>
      <c r="D5722" s="2" t="str">
        <f t="shared" si="88"/>
        <v>Error?</v>
      </c>
    </row>
    <row r="5723" spans="1:4" x14ac:dyDescent="0.2">
      <c r="A5723" s="5">
        <v>5662</v>
      </c>
      <c r="B5723" s="138">
        <f>'Revenues 9-14'!G8</f>
        <v>221363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403155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15000</v>
      </c>
      <c r="C5730" s="2" t="s">
        <v>594</v>
      </c>
      <c r="D5730" s="2" t="str">
        <f t="shared" si="88"/>
        <v>Error?</v>
      </c>
    </row>
    <row r="5731" spans="1:4" x14ac:dyDescent="0.2">
      <c r="A5731" s="5">
        <v>5670</v>
      </c>
      <c r="B5731" s="138">
        <f>'Revenues 9-14'!G65</f>
        <v>100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418255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1500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1500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1500</v>
      </c>
      <c r="C5915" s="2" t="s">
        <v>594</v>
      </c>
      <c r="D5915" s="2" t="str">
        <f t="shared" si="91"/>
        <v>Error?</v>
      </c>
    </row>
    <row r="5916" spans="1:4" x14ac:dyDescent="0.2">
      <c r="A5916" s="5">
        <v>5855</v>
      </c>
      <c r="B5916" s="138">
        <f>'Revenues 9-14'!I5</f>
        <v>192661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192661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7439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7439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200100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50</v>
      </c>
      <c r="C6023" s="2" t="s">
        <v>594</v>
      </c>
      <c r="D6023" s="2" t="str">
        <f t="shared" si="93"/>
        <v>Error?</v>
      </c>
    </row>
    <row r="6024" spans="1:5" x14ac:dyDescent="0.2">
      <c r="A6024" s="5">
        <v>5963</v>
      </c>
      <c r="B6024" s="138">
        <f>'Revenues 9-14'!G109</f>
        <v>418255</v>
      </c>
      <c r="C6024" s="2" t="s">
        <v>594</v>
      </c>
      <c r="D6024" s="2" t="str">
        <f t="shared" si="93"/>
        <v>Error?</v>
      </c>
    </row>
    <row r="6025" spans="1:5" x14ac:dyDescent="0.2">
      <c r="A6025" s="5">
        <v>5964</v>
      </c>
      <c r="B6025" s="138">
        <f>'Revenues 9-14'!H109</f>
        <v>1500</v>
      </c>
      <c r="C6025" s="2" t="s">
        <v>594</v>
      </c>
      <c r="D6025" s="2" t="str">
        <f t="shared" si="93"/>
        <v>Error?</v>
      </c>
    </row>
    <row r="6026" spans="1:5" x14ac:dyDescent="0.2">
      <c r="A6026" s="5">
        <v>5965</v>
      </c>
      <c r="B6026" s="138">
        <f>'Revenues 9-14'!I109</f>
        <v>200100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913.98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1442912</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1197172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762867</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339417</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340628</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728</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341356</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855816</v>
      </c>
      <c r="D6215" s="2" t="str">
        <f t="shared" si="96"/>
        <v>Error?</v>
      </c>
      <c r="E6215" s="2" t="s">
        <v>199</v>
      </c>
    </row>
    <row r="6216" spans="1:5" x14ac:dyDescent="0.2">
      <c r="A6216">
        <v>6155</v>
      </c>
      <c r="B6216" s="138">
        <f>'Assets-Liab 5-6'!J41</f>
        <v>1197172</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1197172</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1187155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1187155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1187155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1111495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1111495</v>
      </c>
      <c r="D6229" s="2" t="str">
        <f t="shared" si="96"/>
        <v>Error?</v>
      </c>
      <c r="E6229" s="2" t="s">
        <v>199</v>
      </c>
    </row>
    <row r="6230" spans="1:5" x14ac:dyDescent="0.2">
      <c r="A6230">
        <v>6169</v>
      </c>
      <c r="B6230" s="138">
        <f>'Acct Summary 7-8'!J20</f>
        <v>75660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75660</v>
      </c>
      <c r="D6263" s="2" t="str">
        <f t="shared" si="96"/>
        <v>Error?</v>
      </c>
      <c r="E6263" s="2" t="s">
        <v>199</v>
      </c>
    </row>
    <row r="6264" spans="1:5" x14ac:dyDescent="0.2">
      <c r="A6264">
        <v>6203</v>
      </c>
      <c r="B6264" s="138">
        <f>'Acct Summary 7-8'!J79</f>
        <v>780156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855816</v>
      </c>
      <c r="D6266" s="2" t="str">
        <f t="shared" si="96"/>
        <v>Error?</v>
      </c>
      <c r="E6266" s="2" t="s">
        <v>199</v>
      </c>
    </row>
    <row r="6267" spans="1:5" x14ac:dyDescent="0.2">
      <c r="A6267">
        <v>6206</v>
      </c>
      <c r="B6267" s="138">
        <f>'Acct Summary 7-8'!C82</f>
        <v>83143</v>
      </c>
      <c r="D6267" s="2" t="str">
        <f t="shared" si="96"/>
        <v>Error?</v>
      </c>
      <c r="E6267" s="2" t="s">
        <v>199</v>
      </c>
    </row>
    <row r="6268" spans="1:5" x14ac:dyDescent="0.2">
      <c r="A6268">
        <v>6207</v>
      </c>
      <c r="B6268" s="138">
        <f>'Acct Summary 7-8'!D82</f>
        <v>64741</v>
      </c>
      <c r="D6268" s="2" t="str">
        <f t="shared" si="96"/>
        <v>Error?</v>
      </c>
      <c r="E6268" s="2" t="s">
        <v>199</v>
      </c>
    </row>
    <row r="6269" spans="1:5" x14ac:dyDescent="0.2">
      <c r="A6269">
        <v>6208</v>
      </c>
      <c r="B6269" s="138">
        <f>'Acct Summary 7-8'!E82</f>
        <v>11730</v>
      </c>
      <c r="D6269" s="2" t="str">
        <f t="shared" si="96"/>
        <v>Error?</v>
      </c>
      <c r="E6269" s="2" t="s">
        <v>199</v>
      </c>
    </row>
    <row r="6270" spans="1:5" x14ac:dyDescent="0.2">
      <c r="A6270">
        <v>6209</v>
      </c>
      <c r="B6270" s="138">
        <f>'Acct Summary 7-8'!F82</f>
        <v>90899</v>
      </c>
      <c r="D6270" s="2" t="str">
        <f t="shared" si="96"/>
        <v>Error?</v>
      </c>
      <c r="E6270" s="2" t="s">
        <v>199</v>
      </c>
    </row>
    <row r="6271" spans="1:5" x14ac:dyDescent="0.2">
      <c r="A6271">
        <v>6210</v>
      </c>
      <c r="B6271" s="138">
        <f>'Acct Summary 7-8'!G82</f>
        <v>-36089</v>
      </c>
      <c r="D6271" s="2" t="str">
        <f t="shared" ref="D6271:D6334" si="97">IF(ISBLANK(B6271),"OK",IF(A6271-B6271=0,"OK","Error?"))</f>
        <v>Error?</v>
      </c>
      <c r="E6271" s="2" t="s">
        <v>199</v>
      </c>
    </row>
    <row r="6272" spans="1:5" x14ac:dyDescent="0.2">
      <c r="A6272">
        <v>6211</v>
      </c>
      <c r="B6272" s="138">
        <f>'Acct Summary 7-8'!H82</f>
        <v>-17716</v>
      </c>
      <c r="D6272" s="2" t="str">
        <f t="shared" si="97"/>
        <v>Error?</v>
      </c>
      <c r="E6272" s="2" t="s">
        <v>199</v>
      </c>
    </row>
    <row r="6273" spans="1:5" x14ac:dyDescent="0.2">
      <c r="A6273">
        <v>6212</v>
      </c>
      <c r="B6273" s="138">
        <f>'Acct Summary 7-8'!I82</f>
        <v>17600</v>
      </c>
      <c r="D6273" s="2" t="str">
        <f t="shared" si="97"/>
        <v>Error?</v>
      </c>
      <c r="E6273" s="2" t="s">
        <v>199</v>
      </c>
    </row>
    <row r="6274" spans="1:5" x14ac:dyDescent="0.2">
      <c r="A6274">
        <v>6213</v>
      </c>
      <c r="B6274" s="138">
        <f>'Acct Summary 7-8'!J82</f>
        <v>75660</v>
      </c>
      <c r="D6274" s="2" t="str">
        <f t="shared" si="97"/>
        <v>Error?</v>
      </c>
      <c r="E6274" s="2" t="s">
        <v>199</v>
      </c>
    </row>
    <row r="6275" spans="1:5" x14ac:dyDescent="0.2">
      <c r="A6275">
        <v>6214</v>
      </c>
      <c r="B6275" s="138">
        <f>'Acct Summary 7-8'!K82</f>
        <v>-54610</v>
      </c>
      <c r="D6275" s="2" t="str">
        <f t="shared" si="97"/>
        <v>Error?</v>
      </c>
      <c r="E6275" s="2" t="s">
        <v>199</v>
      </c>
    </row>
    <row r="6276" spans="1:5" x14ac:dyDescent="0.2">
      <c r="A6276">
        <v>6215</v>
      </c>
      <c r="B6276" s="138">
        <f>'Acct Summary 7-8'!C83</f>
        <v>1.1613751783940049E-2</v>
      </c>
      <c r="D6276" s="2" t="str">
        <f t="shared" si="97"/>
        <v>Error?</v>
      </c>
      <c r="E6276" s="2" t="s">
        <v>199</v>
      </c>
    </row>
    <row r="6277" spans="1:5" x14ac:dyDescent="0.2">
      <c r="A6277">
        <v>6216</v>
      </c>
      <c r="B6277" s="138">
        <f>'Acct Summary 7-8'!D83</f>
        <v>5.3545449658212618E-2</v>
      </c>
      <c r="D6277" s="2" t="str">
        <f t="shared" si="97"/>
        <v>Error?</v>
      </c>
      <c r="E6277" s="2" t="s">
        <v>199</v>
      </c>
    </row>
    <row r="6278" spans="1:5" x14ac:dyDescent="0.2">
      <c r="A6278">
        <v>6217</v>
      </c>
      <c r="B6278" s="138">
        <f>'Acct Summary 7-8'!E83</f>
        <v>1.617647667236222E-2</v>
      </c>
      <c r="D6278" s="2" t="str">
        <f t="shared" si="97"/>
        <v>Error?</v>
      </c>
      <c r="E6278" s="2" t="s">
        <v>199</v>
      </c>
    </row>
    <row r="6279" spans="1:5" x14ac:dyDescent="0.2">
      <c r="A6279">
        <v>6218</v>
      </c>
      <c r="B6279" s="138">
        <f>'Acct Summary 7-8'!F83</f>
        <v>5.6256656956252385E-2</v>
      </c>
      <c r="D6279" s="2" t="str">
        <f t="shared" si="97"/>
        <v>Error?</v>
      </c>
      <c r="E6279" s="2" t="s">
        <v>199</v>
      </c>
    </row>
    <row r="6280" spans="1:5" x14ac:dyDescent="0.2">
      <c r="A6280">
        <v>6219</v>
      </c>
      <c r="B6280" s="138">
        <f>'Acct Summary 7-8'!G83</f>
        <v>-0.54040819993710787</v>
      </c>
      <c r="D6280" s="2" t="str">
        <f t="shared" si="97"/>
        <v>Error?</v>
      </c>
      <c r="E6280" s="2" t="s">
        <v>199</v>
      </c>
    </row>
    <row r="6281" spans="1:5" x14ac:dyDescent="0.2">
      <c r="A6281">
        <v>6220</v>
      </c>
      <c r="B6281" s="138">
        <f>'Acct Summary 7-8'!H83</f>
        <v>-6.5455055992965319E-2</v>
      </c>
      <c r="D6281" s="2" t="str">
        <f t="shared" si="97"/>
        <v>Error?</v>
      </c>
      <c r="E6281" s="2" t="s">
        <v>199</v>
      </c>
    </row>
    <row r="6282" spans="1:5" x14ac:dyDescent="0.2">
      <c r="A6282">
        <v>6221</v>
      </c>
      <c r="B6282" s="138">
        <f>'Acct Summary 7-8'!I83</f>
        <v>5.3079996984091082E-3</v>
      </c>
      <c r="D6282" s="2" t="str">
        <f t="shared" si="97"/>
        <v>Error?</v>
      </c>
      <c r="E6282" s="2" t="s">
        <v>199</v>
      </c>
    </row>
    <row r="6283" spans="1:5" x14ac:dyDescent="0.2">
      <c r="A6283">
        <v>6222</v>
      </c>
      <c r="B6283" s="138">
        <f>'Acct Summary 7-8'!J83</f>
        <v>8.8406853809697414E-2</v>
      </c>
      <c r="D6283" s="2" t="str">
        <f t="shared" si="97"/>
        <v>Error?</v>
      </c>
      <c r="E6283" s="2" t="s">
        <v>199</v>
      </c>
    </row>
    <row r="6284" spans="1:5" x14ac:dyDescent="0.2">
      <c r="A6284">
        <v>6223</v>
      </c>
      <c r="B6284" s="138">
        <f>'Acct Summary 7-8'!K83</f>
        <v>-0.4207598486774688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1176933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1176933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10222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10222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62613</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5900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1187155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3934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125632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117037</v>
      </c>
      <c r="D6983" s="2" t="str">
        <f t="shared" si="108"/>
        <v>Error?</v>
      </c>
    </row>
    <row r="6984" spans="1:4" x14ac:dyDescent="0.2">
      <c r="A6984">
        <v>6923</v>
      </c>
      <c r="B6984" s="138">
        <f>'Expenditures 15-22'!K86</f>
        <v>117037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117037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1111495</v>
      </c>
      <c r="D7042" s="2" t="str">
        <f t="shared" si="109"/>
        <v>Error?</v>
      </c>
    </row>
    <row r="7043" spans="1:5" x14ac:dyDescent="0.2">
      <c r="A7043">
        <v>6982</v>
      </c>
      <c r="B7043" s="138">
        <f>'Revenues 9-14'!H9</f>
        <v>0</v>
      </c>
      <c r="D7043" s="2" t="str">
        <f t="shared" si="109"/>
        <v>Error?</v>
      </c>
    </row>
    <row r="7044" spans="1:5" x14ac:dyDescent="0.2">
      <c r="A7044">
        <v>6983</v>
      </c>
      <c r="B7044" s="138">
        <f>'Revenues 9-14'!D106</f>
        <v>15037</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1187155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1471</v>
      </c>
      <c r="D7079" s="2" t="str">
        <f t="shared" si="109"/>
        <v>Error?</v>
      </c>
    </row>
    <row r="7080" spans="1:4" x14ac:dyDescent="0.2">
      <c r="A7080">
        <v>7019</v>
      </c>
      <c r="B7080" s="138">
        <f>'Expenditures 15-22'!K226</f>
        <v>1471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29686</v>
      </c>
      <c r="D7093" s="2" t="str">
        <f t="shared" si="109"/>
        <v>Error?</v>
      </c>
    </row>
    <row r="7094" spans="1:4" x14ac:dyDescent="0.2">
      <c r="A7094">
        <v>7033</v>
      </c>
      <c r="B7094" s="138">
        <f>'Expenditures 15-22'!K254</f>
        <v>29686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181747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181747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740785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75744</v>
      </c>
      <c r="D7174" s="2" t="str">
        <f t="shared" si="111"/>
        <v>Error?</v>
      </c>
    </row>
    <row r="7175" spans="1:4" x14ac:dyDescent="0.2">
      <c r="A7175">
        <v>7114</v>
      </c>
      <c r="B7175" s="138">
        <f>'Expenditures 15-22'!F325</f>
        <v>13701</v>
      </c>
      <c r="D7175" s="2" t="str">
        <f t="shared" si="111"/>
        <v>Error?</v>
      </c>
    </row>
    <row r="7176" spans="1:4" x14ac:dyDescent="0.2">
      <c r="A7176">
        <v>7115</v>
      </c>
      <c r="B7176" s="138">
        <f>'Expenditures 15-22'!G325</f>
        <v>9474</v>
      </c>
      <c r="D7176" s="2" t="str">
        <f t="shared" si="111"/>
        <v>Error?</v>
      </c>
    </row>
    <row r="7177" spans="1:4" x14ac:dyDescent="0.2">
      <c r="A7177">
        <v>7116</v>
      </c>
      <c r="B7177" s="138">
        <f>'Expenditures 15-22'!H325</f>
        <v>90044</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929748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740785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257491</v>
      </c>
      <c r="D7201" s="2" t="str">
        <f t="shared" si="111"/>
        <v>Error?</v>
      </c>
    </row>
    <row r="7202" spans="1:4" x14ac:dyDescent="0.2">
      <c r="A7202">
        <v>7141</v>
      </c>
      <c r="B7202" s="138">
        <f>'Expenditures 15-22'!F330</f>
        <v>13701</v>
      </c>
      <c r="D7202" s="2" t="str">
        <f t="shared" si="111"/>
        <v>Error?</v>
      </c>
    </row>
    <row r="7203" spans="1:4" x14ac:dyDescent="0.2">
      <c r="A7203">
        <v>7142</v>
      </c>
      <c r="B7203" s="138">
        <f>'Expenditures 15-22'!G330</f>
        <v>9474</v>
      </c>
      <c r="D7203" s="2" t="str">
        <f t="shared" si="111"/>
        <v>Error?</v>
      </c>
    </row>
    <row r="7204" spans="1:4" x14ac:dyDescent="0.2">
      <c r="A7204">
        <v>7143</v>
      </c>
      <c r="B7204" s="138">
        <f>'Expenditures 15-22'!H330</f>
        <v>90044</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1111495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740785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257491</v>
      </c>
      <c r="D7218" s="2" t="str">
        <f t="shared" si="111"/>
        <v>Error?</v>
      </c>
    </row>
    <row r="7219" spans="1:4" x14ac:dyDescent="0.2">
      <c r="A7219">
        <v>7158</v>
      </c>
      <c r="B7219" s="138">
        <f>'Expenditures 15-22'!F342</f>
        <v>13701</v>
      </c>
      <c r="D7219" s="2" t="str">
        <f t="shared" si="111"/>
        <v>Error?</v>
      </c>
    </row>
    <row r="7220" spans="1:4" x14ac:dyDescent="0.2">
      <c r="A7220">
        <v>7159</v>
      </c>
      <c r="B7220" s="138">
        <f>'Expenditures 15-22'!G342</f>
        <v>9474</v>
      </c>
      <c r="D7220" s="2" t="str">
        <f t="shared" si="111"/>
        <v>Error?</v>
      </c>
    </row>
    <row r="7221" spans="1:4" x14ac:dyDescent="0.2">
      <c r="A7221">
        <v>7160</v>
      </c>
      <c r="B7221" s="138">
        <f>'Expenditures 15-22'!H342</f>
        <v>90044</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1111495</v>
      </c>
      <c r="D7224" s="2" t="str">
        <f t="shared" si="111"/>
        <v>Error?</v>
      </c>
    </row>
    <row r="7225" spans="1:4" x14ac:dyDescent="0.2">
      <c r="A7225">
        <v>7164</v>
      </c>
      <c r="B7225" s="138">
        <f>'Expenditures 15-22'!K343</f>
        <v>75660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95162</v>
      </c>
      <c r="D7263" s="2" t="str">
        <f t="shared" si="112"/>
        <v>Error?</v>
      </c>
    </row>
    <row r="7264" spans="1:4" x14ac:dyDescent="0.2">
      <c r="A7264">
        <f t="shared" si="113"/>
        <v>7203</v>
      </c>
      <c r="B7264" s="138">
        <f>'Expenditures 15-22'!D17</f>
        <v>21207</v>
      </c>
      <c r="D7264" s="2" t="str">
        <f t="shared" si="112"/>
        <v>Error?</v>
      </c>
    </row>
    <row r="7265" spans="1:5" x14ac:dyDescent="0.2">
      <c r="A7265">
        <f t="shared" si="113"/>
        <v>7204</v>
      </c>
      <c r="B7265" s="138">
        <f>'Expenditures 15-22'!E17</f>
        <v>9227</v>
      </c>
      <c r="D7265" s="2" t="str">
        <f t="shared" si="112"/>
        <v>Error?</v>
      </c>
    </row>
    <row r="7266" spans="1:5" x14ac:dyDescent="0.2">
      <c r="A7266">
        <f t="shared" si="113"/>
        <v>7205</v>
      </c>
      <c r="B7266" s="138">
        <f>'Expenditures 15-22'!F17</f>
        <v>36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1493673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5900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40879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46779</v>
      </c>
      <c r="D7719" s="2" t="str">
        <f t="shared" si="126"/>
        <v>Error?</v>
      </c>
      <c r="E7719" s="2" t="s">
        <v>881</v>
      </c>
    </row>
    <row r="7720" spans="1:6" x14ac:dyDescent="0.2">
      <c r="A7720">
        <v>7659</v>
      </c>
      <c r="B7720" s="138">
        <f>'Rest Tax Levies-Tort Im 25'!H14</f>
        <v>80221</v>
      </c>
      <c r="D7720" s="2" t="str">
        <f t="shared" si="126"/>
        <v>Error?</v>
      </c>
      <c r="E7720" s="2" t="s">
        <v>881</v>
      </c>
    </row>
    <row r="7721" spans="1:6" x14ac:dyDescent="0.2">
      <c r="A7721">
        <v>7660</v>
      </c>
      <c r="B7721" s="138">
        <f>'Rest Tax Levies-Tort Im 25'!K14</f>
        <v>46779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0.1</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M22" sqref="M2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2" t="str">
        <f>COVER!A17</f>
        <v>Rochelle Twp HSD 212</v>
      </c>
      <c r="B7" s="2423"/>
      <c r="C7" s="2423"/>
      <c r="D7" s="2424"/>
      <c r="E7" s="2425">
        <f>COVER!A13</f>
        <v>47071212017</v>
      </c>
      <c r="F7" s="2426"/>
      <c r="G7" s="2432" t="str">
        <f>COVER!T23</f>
        <v>066-004023</v>
      </c>
      <c r="H7" s="2433"/>
      <c r="I7" s="2433"/>
      <c r="J7" s="2433"/>
      <c r="K7" s="2433"/>
      <c r="L7" s="243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5"/>
      <c r="B9" s="2436"/>
      <c r="C9" s="2436"/>
      <c r="D9" s="2436"/>
      <c r="E9" s="2436"/>
      <c r="F9" s="2437"/>
      <c r="G9" s="2406" t="str">
        <f>COVER!T13</f>
        <v>Wipfli LLP</v>
      </c>
      <c r="H9" s="2438"/>
      <c r="I9" s="2438"/>
      <c r="J9" s="2438"/>
      <c r="K9" s="2438"/>
      <c r="L9" s="2439"/>
    </row>
    <row r="10" spans="1:29" ht="13.5" customHeight="1" x14ac:dyDescent="0.2">
      <c r="A10" s="2412" t="str">
        <f>COVER!A38</f>
        <v>Jason Harper</v>
      </c>
      <c r="B10" s="2413"/>
      <c r="C10" s="2413"/>
      <c r="D10" s="2413"/>
      <c r="E10" s="2413"/>
      <c r="F10" s="2414"/>
      <c r="G10" s="2406" t="str">
        <f>COVER!T17</f>
        <v>215 East First Street, Suite 200</v>
      </c>
      <c r="H10" s="2407"/>
      <c r="I10" s="2407"/>
      <c r="J10" s="2407"/>
      <c r="K10" s="2407"/>
      <c r="L10" s="2408"/>
    </row>
    <row r="11" spans="1:29" ht="13.5" customHeight="1" x14ac:dyDescent="0.2">
      <c r="A11" s="1185" t="s">
        <v>1599</v>
      </c>
      <c r="B11" s="1186"/>
      <c r="C11" s="1187"/>
      <c r="D11" s="1192"/>
      <c r="E11" s="1187"/>
      <c r="F11" s="1191"/>
      <c r="G11" s="2406" t="str">
        <f>COVER!T19</f>
        <v>Dixon</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f>COVER!T25</f>
        <v>0</v>
      </c>
      <c r="J13" s="2419"/>
      <c r="K13" s="2419"/>
      <c r="L13" s="2420"/>
    </row>
    <row r="14" spans="1:29" ht="13.5" customHeight="1" x14ac:dyDescent="0.2">
      <c r="A14" s="2406" t="str">
        <f>COVER!A19</f>
        <v>1401 Flagg Road</v>
      </c>
      <c r="B14" s="2407"/>
      <c r="C14" s="2407"/>
      <c r="D14" s="2407"/>
      <c r="E14" s="2407"/>
      <c r="F14" s="2408"/>
      <c r="G14" s="1196" t="s">
        <v>1247</v>
      </c>
      <c r="H14" s="1194"/>
      <c r="I14" s="1194"/>
      <c r="J14" s="1194"/>
      <c r="K14" s="1194"/>
      <c r="L14" s="1195"/>
    </row>
    <row r="15" spans="1:29" ht="13.5" customHeight="1" x14ac:dyDescent="0.2">
      <c r="A15" s="2406" t="str">
        <f>COVER!A21</f>
        <v>Rochelle</v>
      </c>
      <c r="B15" s="2407"/>
      <c r="C15" s="2407"/>
      <c r="D15" s="2407"/>
      <c r="E15" s="2407"/>
      <c r="F15" s="2408"/>
      <c r="G15" s="2403" t="str">
        <f>COVER!T15</f>
        <v>Rory Sohn</v>
      </c>
      <c r="H15" s="2404"/>
      <c r="I15" s="2404"/>
      <c r="J15" s="2404"/>
      <c r="K15" s="2404"/>
      <c r="L15" s="2405"/>
    </row>
    <row r="16" spans="1:29" ht="12.2" customHeight="1" x14ac:dyDescent="0.2">
      <c r="A16" s="2428">
        <f>COVER!A25</f>
        <v>61068</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1246</v>
      </c>
      <c r="H17" s="1194"/>
      <c r="I17" s="1194"/>
      <c r="J17" s="1194"/>
      <c r="K17" s="1198" t="s">
        <v>1245</v>
      </c>
      <c r="L17" s="1191"/>
      <c r="M17" s="1184"/>
    </row>
    <row r="18" spans="1:13" ht="12.2" customHeight="1" x14ac:dyDescent="0.2">
      <c r="A18" s="2412"/>
      <c r="B18" s="2413"/>
      <c r="C18" s="2413"/>
      <c r="D18" s="2413"/>
      <c r="E18" s="2413"/>
      <c r="F18" s="2414"/>
      <c r="G18" s="2422" t="str">
        <f>COVER!T21</f>
        <v>815-284-3331</v>
      </c>
      <c r="H18" s="2423"/>
      <c r="I18" s="2423"/>
      <c r="J18" s="2423"/>
      <c r="K18" s="2422" t="str">
        <f>COVER!X21</f>
        <v>815-284-9480</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Rochelle Twp HSD 212</v>
      </c>
      <c r="B1" s="2421"/>
      <c r="C1" s="2421"/>
      <c r="D1" s="2421"/>
    </row>
    <row r="2" spans="1:11" s="1215" customFormat="1" ht="12.75" x14ac:dyDescent="0.2">
      <c r="A2" s="2445">
        <f>'Single Audit Cover'!E7</f>
        <v>47071212017</v>
      </c>
      <c r="B2" s="2446"/>
      <c r="C2" s="2446"/>
      <c r="D2" s="2446"/>
    </row>
    <row r="3" spans="1:11" s="1215" customFormat="1" ht="12.75" x14ac:dyDescent="0.2">
      <c r="A3" s="2444" t="s">
        <v>1593</v>
      </c>
      <c r="B3" s="2421"/>
      <c r="C3" s="2421"/>
      <c r="D3" s="242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Rochelle Twp HSD 212</v>
      </c>
      <c r="B1" s="2448"/>
      <c r="C1" s="2448"/>
      <c r="D1" s="2448"/>
      <c r="E1" s="2448"/>
    </row>
    <row r="2" spans="1:5" x14ac:dyDescent="0.2">
      <c r="A2" s="2449">
        <f>'Single Audit Cover'!E7</f>
        <v>47071212017</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444515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-14173</v>
      </c>
    </row>
    <row r="19" spans="1:4" ht="13.5" thickBot="1" x14ac:dyDescent="0.25">
      <c r="A19" s="1265" t="s">
        <v>1297</v>
      </c>
      <c r="D19" s="1266">
        <f>SUM(D10:D17)</f>
        <v>430342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430342</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430342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Rochelle Twp HSD 212</v>
      </c>
      <c r="B1" s="2461"/>
      <c r="C1" s="2461"/>
      <c r="D1" s="2461"/>
      <c r="E1" s="2461"/>
      <c r="F1" s="2461"/>
    </row>
    <row r="2" spans="1:7" ht="13.5" customHeight="1" x14ac:dyDescent="0.2">
      <c r="A2" s="2462">
        <f>'Single Audit Cover'!E7</f>
        <v>47071212017</v>
      </c>
      <c r="B2" s="2462"/>
      <c r="C2" s="2462"/>
      <c r="D2" s="2462"/>
      <c r="E2" s="2462"/>
      <c r="F2" s="2462"/>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0" t="s">
        <v>1832</v>
      </c>
      <c r="B7" s="2460"/>
      <c r="C7" s="2460"/>
      <c r="D7" s="2460"/>
      <c r="E7" s="2460"/>
      <c r="F7" s="246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0" t="s">
        <v>1834</v>
      </c>
      <c r="B13" s="2460"/>
      <c r="C13" s="2460"/>
      <c r="D13" s="2460"/>
      <c r="E13" s="2460"/>
      <c r="F13" s="2460"/>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4" t="s">
        <v>1835</v>
      </c>
      <c r="B32" s="2454"/>
      <c r="C32" s="2454"/>
      <c r="D32" s="2454"/>
      <c r="E32" s="2454"/>
      <c r="F32" s="2454"/>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5">
        <f>+C33+C34</f>
        <v>0</v>
      </c>
      <c r="F34" s="2456"/>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1672</v>
      </c>
      <c r="C49" s="2457"/>
      <c r="D49" s="2457"/>
      <c r="E49" s="1399"/>
    </row>
    <row r="50" spans="1:5" s="1300" customFormat="1" ht="3.75" customHeight="1" x14ac:dyDescent="0.2">
      <c r="A50" s="1299"/>
      <c r="B50" s="1870"/>
      <c r="C50" s="1870"/>
      <c r="D50" s="1870"/>
      <c r="E50" s="1399"/>
    </row>
    <row r="51" spans="1:5" s="1300" customFormat="1" ht="20.25" customHeight="1" x14ac:dyDescent="0.2">
      <c r="A51" s="1301">
        <v>6</v>
      </c>
      <c r="B51" s="2452" t="s">
        <v>1632</v>
      </c>
      <c r="C51" s="2452"/>
      <c r="D51" s="2452"/>
    </row>
    <row r="52" spans="1:5" ht="14.25" customHeight="1" x14ac:dyDescent="0.2">
      <c r="A52" s="1301"/>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Rochelle Twp HSD 212</v>
      </c>
      <c r="C1" s="2465"/>
      <c r="D1" s="2465"/>
      <c r="E1" s="2465"/>
      <c r="F1" s="2465"/>
      <c r="G1" s="2465"/>
      <c r="H1" s="2465"/>
      <c r="I1" s="2465"/>
      <c r="J1" s="2465"/>
      <c r="K1" s="2465"/>
      <c r="L1" s="2465"/>
      <c r="M1" s="2465"/>
    </row>
    <row r="2" spans="2:14" ht="15" x14ac:dyDescent="0.2">
      <c r="B2" s="2462">
        <f>'Single Audit Cover'!E7</f>
        <v>47071212017</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2077</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2107</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2085</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t="s">
        <v>2108</v>
      </c>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7" orientation="portrait" useFirstPageNumber="1" r:id="rId1"/>
  <headerFooter alignWithMargins="0">
    <oddHeader xml:space="preserve">&amp;C </oddHeader>
    <oddFooter>&amp;R&amp;P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Rochelle Twp HSD 212</v>
      </c>
      <c r="C1" s="2480"/>
      <c r="D1" s="2480"/>
      <c r="E1" s="2480"/>
      <c r="F1" s="2480"/>
      <c r="G1" s="2480"/>
      <c r="H1" s="2480"/>
      <c r="I1" s="2480"/>
      <c r="J1" s="1422"/>
    </row>
    <row r="2" spans="2:10" s="317" customFormat="1" ht="12.75" customHeight="1" x14ac:dyDescent="0.2">
      <c r="B2" s="2481">
        <f>'Single Audit Cover'!E7</f>
        <v>47071212017</v>
      </c>
      <c r="C2" s="2482"/>
      <c r="D2" s="2482"/>
      <c r="E2" s="2482"/>
      <c r="F2" s="2482"/>
      <c r="G2" s="2482"/>
      <c r="H2" s="2482"/>
      <c r="I2" s="2482"/>
      <c r="J2" s="1422"/>
    </row>
    <row r="3" spans="2:10" s="317" customFormat="1" ht="12.75" customHeight="1" x14ac:dyDescent="0.2">
      <c r="B3" s="2483" t="s">
        <v>1347</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1346</v>
      </c>
      <c r="C7" s="2484"/>
      <c r="D7" s="2484"/>
      <c r="E7" s="2484"/>
      <c r="F7" s="2484"/>
      <c r="G7" s="2484"/>
      <c r="H7" s="2484"/>
      <c r="I7" s="248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5"/>
      <c r="D11" s="248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6"/>
      <c r="E29" s="2486"/>
      <c r="F29" s="2486"/>
      <c r="G29" s="2486"/>
      <c r="H29" s="2486"/>
      <c r="I29" s="248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7" t="s">
        <v>1854</v>
      </c>
      <c r="D37" s="2488"/>
      <c r="E37" s="2488"/>
      <c r="F37" s="2489"/>
      <c r="G37" s="2487" t="s">
        <v>1674</v>
      </c>
      <c r="H37" s="2488"/>
      <c r="I37" s="2489"/>
    </row>
    <row r="38" spans="2:9" ht="16.5" customHeight="1" x14ac:dyDescent="0.2">
      <c r="B38" s="1444"/>
      <c r="C38" s="2475"/>
      <c r="D38" s="2476"/>
      <c r="E38" s="2476"/>
      <c r="F38" s="2477"/>
      <c r="G38" s="2490"/>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1675</v>
      </c>
      <c r="D43" s="2469"/>
      <c r="E43" s="2469"/>
      <c r="F43" s="2470"/>
      <c r="G43" s="2471">
        <f>SUM(G38:I42)</f>
        <v>0</v>
      </c>
      <c r="H43" s="2471"/>
      <c r="I43" s="2471"/>
    </row>
    <row r="44" spans="2:9" ht="12.75" customHeight="1" x14ac:dyDescent="0.2"/>
    <row r="45" spans="2:9" ht="12.75" customHeight="1" x14ac:dyDescent="0.2">
      <c r="B45" s="1435" t="s">
        <v>1952</v>
      </c>
      <c r="D45" s="2472">
        <v>0</v>
      </c>
      <c r="E45" s="2473"/>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4"/>
      <c r="F49" s="2474"/>
      <c r="G49" s="2474"/>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Rochelle Twp HSD 212</v>
      </c>
      <c r="C1" s="2479"/>
      <c r="D1" s="2479"/>
      <c r="E1" s="2479"/>
      <c r="F1" s="2479"/>
      <c r="G1" s="2479"/>
      <c r="H1" s="2479"/>
      <c r="I1" s="2479"/>
      <c r="J1" s="2479"/>
      <c r="K1" s="2479"/>
      <c r="L1" s="1374"/>
      <c r="M1" s="1374"/>
    </row>
    <row r="2" spans="1:13" ht="12" customHeight="1" x14ac:dyDescent="0.2">
      <c r="B2" s="2481">
        <f>'Single Audit Cover'!E7</f>
        <v>47071212017</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Rochelle Twp HSD 212</v>
      </c>
      <c r="C1" s="2502"/>
      <c r="D1" s="2502"/>
      <c r="E1" s="2502"/>
      <c r="F1" s="2502"/>
      <c r="G1" s="2502"/>
      <c r="H1" s="2502"/>
      <c r="I1" s="2502"/>
      <c r="J1" s="2502"/>
      <c r="K1" s="2502"/>
      <c r="L1" s="1465"/>
    </row>
    <row r="2" spans="1:12" ht="12.75" customHeight="1" x14ac:dyDescent="0.2">
      <c r="B2" s="2503">
        <f>'Single Audit Cover'!E7</f>
        <v>47071212017</v>
      </c>
      <c r="C2" s="2503"/>
      <c r="D2" s="2503"/>
      <c r="E2" s="2503"/>
      <c r="F2" s="2503"/>
      <c r="G2" s="2503"/>
      <c r="H2" s="2503"/>
      <c r="I2" s="2503"/>
      <c r="J2" s="2503"/>
      <c r="K2" s="2503"/>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Rochelle Twp HSD 212</v>
      </c>
      <c r="C1" s="2479"/>
      <c r="D1" s="2479"/>
      <c r="E1" s="1491"/>
    </row>
    <row r="2" spans="2:5" s="1282" customFormat="1" ht="12.75" customHeight="1" x14ac:dyDescent="0.2">
      <c r="B2" s="2481">
        <f>'Single Audit Cover'!E7</f>
        <v>47071212017</v>
      </c>
      <c r="C2" s="2481"/>
      <c r="D2" s="2481"/>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413490051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1.2999999999999999E-2</v>
      </c>
      <c r="E10" s="356" t="s">
        <v>1062</v>
      </c>
      <c r="F10" s="355">
        <v>2.5000000000000001E-3</v>
      </c>
      <c r="G10" s="356" t="s">
        <v>1062</v>
      </c>
      <c r="H10" s="355">
        <v>1.1999999999999999E-3</v>
      </c>
      <c r="I10" s="356" t="s">
        <v>1063</v>
      </c>
      <c r="J10" s="1754">
        <f>ROUND(D10+F10+H10,5)</f>
        <v>1.67E-2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12315574</v>
      </c>
      <c r="E16" s="356"/>
      <c r="F16" s="1755">
        <f>SUM('Acct Summary 7-8'!C17,'Acct Summary 7-8'!D17,'Acct Summary 7-8'!F17)</f>
        <v>12059191</v>
      </c>
      <c r="G16" s="356"/>
      <c r="H16" s="1755">
        <f>SUM(D16-F16)</f>
        <v>256383</v>
      </c>
      <c r="I16" s="222"/>
      <c r="J16" s="1755">
        <f>SUM('Acct Summary 7-8'!C81,'Acct Summary 7-8'!D81,'Acct Summary 7-8'!F81,'Acct Summary 7-8'!I81)</f>
        <v>13299639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2093</v>
      </c>
      <c r="C31" s="367" t="s">
        <v>607</v>
      </c>
      <c r="D31" s="237" t="s">
        <v>1132</v>
      </c>
      <c r="E31" s="222"/>
      <c r="F31" s="222"/>
      <c r="G31" s="363"/>
      <c r="H31" s="1757">
        <f>IF(B31="X",(J7*0.069),IF(B32="X",(J7*0.138),"Enter x in a.or b."))</f>
        <v>28530813.519000001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11305000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Footer>&amp;R9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Rochelle Twp HSD 212</v>
      </c>
      <c r="E7" s="391"/>
      <c r="G7" s="252"/>
      <c r="H7" s="387"/>
      <c r="I7" s="387"/>
      <c r="J7" s="387"/>
      <c r="K7" s="387"/>
      <c r="L7" s="329"/>
      <c r="M7" s="329"/>
      <c r="N7" s="329"/>
      <c r="O7" s="329"/>
      <c r="P7" s="329"/>
    </row>
    <row r="8" spans="1:18" ht="12.75" x14ac:dyDescent="0.2">
      <c r="A8" s="329"/>
      <c r="B8" s="329"/>
      <c r="C8" s="389" t="s">
        <v>1187</v>
      </c>
      <c r="D8" s="392">
        <f>COVER!A13</f>
        <v>47071212017</v>
      </c>
      <c r="E8" s="393"/>
      <c r="G8" s="329"/>
      <c r="H8" s="329"/>
      <c r="I8" s="329"/>
      <c r="J8" s="329"/>
      <c r="K8" s="329"/>
      <c r="L8" s="329"/>
      <c r="M8" s="329"/>
      <c r="N8" s="329"/>
      <c r="O8" s="329"/>
      <c r="P8" s="329"/>
    </row>
    <row r="9" spans="1:18" ht="12.75" x14ac:dyDescent="0.2">
      <c r="A9" s="329"/>
      <c r="B9" s="329"/>
      <c r="C9" s="389" t="s">
        <v>737</v>
      </c>
      <c r="D9" s="394" t="str">
        <f>COVER!A15</f>
        <v>Ogle-Lee-DeKalb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13299639</v>
      </c>
      <c r="I12" s="404"/>
      <c r="J12" s="404"/>
      <c r="K12" s="405">
        <f>TRUNC((H12/H13*100000),5)/100000</f>
        <v>1.0799041116000001</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12315574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12059191</v>
      </c>
      <c r="I17" s="404"/>
      <c r="J17" s="416"/>
      <c r="K17" s="405">
        <f>TRUNC((H17/H18*100000),5)/100000</f>
        <v>0.97918221269999994</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12315574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11859262</v>
      </c>
      <c r="I24" s="422"/>
      <c r="J24" s="422"/>
      <c r="K24" s="423">
        <f>TRUNC(((H24/H25*100000)/100000),2)</f>
        <v>354.03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33497.752780000003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5869491.2739500003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11305000</v>
      </c>
      <c r="I32" s="420"/>
      <c r="J32" s="420"/>
      <c r="K32" s="423">
        <f>TRUNC(100-((((H32/H33*100))*100)/100),2)</f>
        <v>60.37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28530813.519000001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Footer>&amp;R10</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pane="bottomLeft"/>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836583</v>
      </c>
      <c r="D4" s="466">
        <v>176582</v>
      </c>
      <c r="E4" s="466"/>
      <c r="F4" s="466">
        <v>1143103</v>
      </c>
      <c r="G4" s="466"/>
      <c r="H4" s="466">
        <v>270659</v>
      </c>
      <c r="I4" s="466">
        <v>3120515</v>
      </c>
      <c r="J4" s="467"/>
      <c r="K4" s="466">
        <v>129789</v>
      </c>
      <c r="L4" s="466">
        <v>220669</v>
      </c>
      <c r="M4" s="468"/>
      <c r="N4" s="469"/>
    </row>
    <row r="5" spans="1:14" x14ac:dyDescent="0.2">
      <c r="A5" s="463" t="s">
        <v>1049</v>
      </c>
      <c r="B5" s="470">
        <v>120</v>
      </c>
      <c r="C5" s="465">
        <v>4877068</v>
      </c>
      <c r="D5" s="466">
        <v>1034262</v>
      </c>
      <c r="E5" s="466">
        <v>1487994</v>
      </c>
      <c r="F5" s="466">
        <v>475914</v>
      </c>
      <c r="G5" s="466">
        <v>406198</v>
      </c>
      <c r="H5" s="466"/>
      <c r="I5" s="466">
        <v>195235</v>
      </c>
      <c r="J5" s="467">
        <v>1197172</v>
      </c>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1442912</v>
      </c>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7156563</v>
      </c>
      <c r="D13" s="1759">
        <f t="shared" ref="D13:L13" si="0">SUM(D4:D12)</f>
        <v>1210844</v>
      </c>
      <c r="E13" s="1759">
        <f t="shared" si="0"/>
        <v>1487994</v>
      </c>
      <c r="F13" s="1759">
        <f t="shared" si="0"/>
        <v>1619017</v>
      </c>
      <c r="G13" s="1759">
        <f t="shared" si="0"/>
        <v>406198</v>
      </c>
      <c r="H13" s="1759">
        <f t="shared" si="0"/>
        <v>270659</v>
      </c>
      <c r="I13" s="1759">
        <f t="shared" si="0"/>
        <v>3315750</v>
      </c>
      <c r="J13" s="1759">
        <f t="shared" si="0"/>
        <v>1197172</v>
      </c>
      <c r="K13" s="1759">
        <f t="shared" si="0"/>
        <v>129789</v>
      </c>
      <c r="L13" s="1759">
        <f t="shared" si="0"/>
        <v>220669</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1313712</v>
      </c>
      <c r="N16" s="484"/>
    </row>
    <row r="17" spans="1:14" s="485" customFormat="1" ht="12.75" customHeight="1" x14ac:dyDescent="0.2">
      <c r="A17" s="482" t="s">
        <v>1470</v>
      </c>
      <c r="B17" s="483">
        <v>230</v>
      </c>
      <c r="C17" s="477"/>
      <c r="D17" s="477"/>
      <c r="E17" s="477"/>
      <c r="F17" s="477"/>
      <c r="G17" s="477"/>
      <c r="H17" s="477"/>
      <c r="I17" s="477"/>
      <c r="J17" s="477"/>
      <c r="K17" s="477"/>
      <c r="L17" s="477"/>
      <c r="M17" s="467">
        <v>30004914</v>
      </c>
      <c r="N17" s="484"/>
    </row>
    <row r="18" spans="1:14" s="485" customFormat="1" ht="12.75" customHeight="1" x14ac:dyDescent="0.2">
      <c r="A18" s="482" t="s">
        <v>1471</v>
      </c>
      <c r="B18" s="483">
        <v>240</v>
      </c>
      <c r="C18" s="477"/>
      <c r="D18" s="477"/>
      <c r="E18" s="477"/>
      <c r="F18" s="477"/>
      <c r="G18" s="477"/>
      <c r="H18" s="477"/>
      <c r="I18" s="477"/>
      <c r="J18" s="477"/>
      <c r="K18" s="477"/>
      <c r="L18" s="477"/>
      <c r="M18" s="467">
        <v>2188464</v>
      </c>
      <c r="N18" s="484"/>
    </row>
    <row r="19" spans="1:14" s="485" customFormat="1" ht="12.75" customHeight="1" x14ac:dyDescent="0.2">
      <c r="A19" s="482" t="s">
        <v>1472</v>
      </c>
      <c r="B19" s="483">
        <v>250</v>
      </c>
      <c r="C19" s="477"/>
      <c r="D19" s="477"/>
      <c r="E19" s="477"/>
      <c r="F19" s="477"/>
      <c r="G19" s="477"/>
      <c r="H19" s="477"/>
      <c r="I19" s="477"/>
      <c r="J19" s="477"/>
      <c r="K19" s="477"/>
      <c r="L19" s="477"/>
      <c r="M19" s="467">
        <v>1455621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725127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10579873</v>
      </c>
    </row>
    <row r="23" spans="1:14" ht="13.5" customHeight="1" thickBot="1" x14ac:dyDescent="0.25">
      <c r="A23" s="1758" t="s">
        <v>664</v>
      </c>
      <c r="B23" s="1763"/>
      <c r="C23" s="468"/>
      <c r="D23" s="468"/>
      <c r="E23" s="468"/>
      <c r="F23" s="468"/>
      <c r="G23" s="468"/>
      <c r="H23" s="468"/>
      <c r="I23" s="468"/>
      <c r="J23" s="468"/>
      <c r="K23" s="468"/>
      <c r="L23" s="468"/>
      <c r="M23" s="1710">
        <f>SUM(M15:M22)</f>
        <v>34962711</v>
      </c>
      <c r="N23" s="1710">
        <f>SUM(N21:N22)</f>
        <v>11305000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v>762867</v>
      </c>
      <c r="F25" s="478"/>
      <c r="G25" s="478">
        <v>339417</v>
      </c>
      <c r="H25" s="479"/>
      <c r="I25" s="468"/>
      <c r="J25" s="478">
        <v>340628</v>
      </c>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-2450</v>
      </c>
      <c r="D31" s="467">
        <v>1759</v>
      </c>
      <c r="E31" s="467"/>
      <c r="F31" s="466">
        <v>3226</v>
      </c>
      <c r="G31" s="467"/>
      <c r="H31" s="467"/>
      <c r="I31" s="467"/>
      <c r="J31" s="467">
        <v>728</v>
      </c>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220669</v>
      </c>
      <c r="M33" s="468"/>
      <c r="N33" s="469"/>
    </row>
    <row r="34" spans="1:14" ht="13.5" customHeight="1" thickBot="1" x14ac:dyDescent="0.25">
      <c r="A34" s="1760" t="s">
        <v>675</v>
      </c>
      <c r="B34" s="1761"/>
      <c r="C34" s="1762">
        <f>SUM(C25:C33)</f>
        <v>-2450</v>
      </c>
      <c r="D34" s="1762">
        <f t="shared" ref="D34:K34" si="1">SUM(D25:D33)</f>
        <v>1759</v>
      </c>
      <c r="E34" s="1762">
        <f t="shared" si="1"/>
        <v>762867</v>
      </c>
      <c r="F34" s="1762">
        <f t="shared" si="1"/>
        <v>3226</v>
      </c>
      <c r="G34" s="1762">
        <f t="shared" si="1"/>
        <v>339417</v>
      </c>
      <c r="H34" s="1762">
        <f t="shared" si="1"/>
        <v>0</v>
      </c>
      <c r="I34" s="1762">
        <f t="shared" si="1"/>
        <v>0</v>
      </c>
      <c r="J34" s="1762">
        <f t="shared" si="1"/>
        <v>341356</v>
      </c>
      <c r="K34" s="1762">
        <f t="shared" si="1"/>
        <v>0</v>
      </c>
      <c r="L34" s="1743">
        <f>SUM(L33)</f>
        <v>220669</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11305000</v>
      </c>
    </row>
    <row r="37" spans="1:14" ht="13.5" thickBot="1" x14ac:dyDescent="0.25">
      <c r="A37" s="1758" t="s">
        <v>674</v>
      </c>
      <c r="B37" s="1763"/>
      <c r="C37" s="477"/>
      <c r="D37" s="477"/>
      <c r="E37" s="477"/>
      <c r="F37" s="477"/>
      <c r="G37" s="477"/>
      <c r="H37" s="477"/>
      <c r="I37" s="477"/>
      <c r="J37" s="477"/>
      <c r="K37" s="477"/>
      <c r="L37" s="480"/>
      <c r="M37" s="468"/>
      <c r="N37" s="1710">
        <f>SUM(N36:N36)</f>
        <v>11305000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7159013</v>
      </c>
      <c r="D39" s="466">
        <v>1209085</v>
      </c>
      <c r="E39" s="466">
        <v>725127</v>
      </c>
      <c r="F39" s="466">
        <v>1615791</v>
      </c>
      <c r="G39" s="466">
        <v>66781</v>
      </c>
      <c r="H39" s="466">
        <v>270659</v>
      </c>
      <c r="I39" s="466">
        <v>3315750</v>
      </c>
      <c r="J39" s="467">
        <v>855816</v>
      </c>
      <c r="K39" s="466">
        <v>129789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34962711</v>
      </c>
      <c r="N40" s="497"/>
    </row>
    <row r="41" spans="1:14" ht="13.5" customHeight="1" thickBot="1" x14ac:dyDescent="0.25">
      <c r="A41" s="1758" t="s">
        <v>676</v>
      </c>
      <c r="B41" s="1728"/>
      <c r="C41" s="1710">
        <f>(SUM(C34,C37,C38,C39))</f>
        <v>7156563</v>
      </c>
      <c r="D41" s="1710">
        <f t="shared" ref="D41:L41" si="2">SUM(D34,D37,D38:D39)</f>
        <v>1210844</v>
      </c>
      <c r="E41" s="1710">
        <f t="shared" si="2"/>
        <v>1487994</v>
      </c>
      <c r="F41" s="1710">
        <f t="shared" si="2"/>
        <v>1619017</v>
      </c>
      <c r="G41" s="1710">
        <f t="shared" si="2"/>
        <v>406198</v>
      </c>
      <c r="H41" s="1710">
        <f t="shared" si="2"/>
        <v>270659</v>
      </c>
      <c r="I41" s="1710">
        <f t="shared" si="2"/>
        <v>3315750</v>
      </c>
      <c r="J41" s="1710">
        <f t="shared" si="2"/>
        <v>1197172</v>
      </c>
      <c r="K41" s="1710">
        <f t="shared" si="2"/>
        <v>129789</v>
      </c>
      <c r="L41" s="1710">
        <f t="shared" si="2"/>
        <v>220669</v>
      </c>
      <c r="M41" s="1710">
        <f>SUM(M40)</f>
        <v>34962711</v>
      </c>
      <c r="N41" s="1710">
        <f>SUM(N37)</f>
        <v>11305000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11" orientation="landscape" useFirstPageNumber="1" r:id="rId1"/>
  <headerFooter alignWithMargins="0">
    <oddHeader>&amp;C&amp;"Arial,Bold"&amp;9BASIC FINANCIAL STATEMENTS
STATEMENT OF ASSETS AND LIABILITIES ARISING FROM CASH TRANSACTIONS
STATEMENT OF POSITION AS OF JUNE 30, 2018</oddHeader>
    <oddFooter>&amp;CSee Accompanying Notes to Financial Statements.&amp;R&amp;P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pane="bottomLeft"/>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1" t="s">
        <v>1237</v>
      </c>
      <c r="B3" s="2152"/>
      <c r="C3" s="1595"/>
      <c r="D3" s="1596"/>
      <c r="E3" s="1596"/>
      <c r="F3" s="1596"/>
      <c r="G3" s="1596"/>
      <c r="H3" s="1596"/>
      <c r="I3" s="1596"/>
      <c r="J3" s="1596"/>
      <c r="K3" s="1597"/>
      <c r="L3" s="506"/>
    </row>
    <row r="4" spans="1:13" ht="15.75" customHeight="1" x14ac:dyDescent="0.2">
      <c r="A4" s="2153" t="s">
        <v>1579</v>
      </c>
      <c r="B4" s="2154"/>
      <c r="C4" s="1764">
        <f>'Revenues 9-14'!C109</f>
        <v>6875297</v>
      </c>
      <c r="D4" s="1764">
        <f>'Revenues 9-14'!D109</f>
        <v>1070306</v>
      </c>
      <c r="E4" s="1764">
        <f>'Revenues 9-14'!E109</f>
        <v>1467430</v>
      </c>
      <c r="F4" s="1764">
        <f>'Revenues 9-14'!F109</f>
        <v>1089783</v>
      </c>
      <c r="G4" s="1764">
        <f>'Revenues 9-14'!G109</f>
        <v>418255</v>
      </c>
      <c r="H4" s="1764">
        <f>'Revenues 9-14'!H109</f>
        <v>1500</v>
      </c>
      <c r="I4" s="1764">
        <f>'Revenues 9-14'!I109</f>
        <v>200100</v>
      </c>
      <c r="J4" s="1764">
        <f>'Revenues 9-14'!J109</f>
        <v>1187155</v>
      </c>
      <c r="K4" s="1764">
        <f>'Revenues 9-14'!K109</f>
        <v>50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2242283</v>
      </c>
      <c r="D6" s="1765">
        <f>'Revenues 9-14'!D173</f>
        <v>122141</v>
      </c>
      <c r="E6" s="1765">
        <f>'Revenues 9-14'!E173</f>
        <v>0</v>
      </c>
      <c r="F6" s="1765">
        <f>'Revenues 9-14'!F173</f>
        <v>271149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444515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9562095</v>
      </c>
      <c r="D8" s="1710">
        <f t="shared" ref="D8:K8" si="0">SUM(D4:D7)</f>
        <v>1192447</v>
      </c>
      <c r="E8" s="1710">
        <f t="shared" si="0"/>
        <v>1467430</v>
      </c>
      <c r="F8" s="1710">
        <f t="shared" si="0"/>
        <v>1360932</v>
      </c>
      <c r="G8" s="1710">
        <f t="shared" si="0"/>
        <v>418255</v>
      </c>
      <c r="H8" s="1710">
        <f t="shared" si="0"/>
        <v>1500</v>
      </c>
      <c r="I8" s="1710">
        <f t="shared" si="0"/>
        <v>200100</v>
      </c>
      <c r="J8" s="1710">
        <f t="shared" si="0"/>
        <v>1187155</v>
      </c>
      <c r="K8" s="1710">
        <f t="shared" si="0"/>
        <v>50</v>
      </c>
      <c r="L8" s="347"/>
    </row>
    <row r="9" spans="1:13" ht="15.75" thickTop="1" x14ac:dyDescent="0.2">
      <c r="A9" s="514" t="s">
        <v>1752</v>
      </c>
      <c r="B9" s="515">
        <v>3998</v>
      </c>
      <c r="C9" s="481">
        <v>4203568</v>
      </c>
      <c r="D9" s="516"/>
      <c r="E9" s="481"/>
      <c r="F9" s="481"/>
      <c r="G9" s="517"/>
      <c r="H9" s="481"/>
      <c r="I9" s="509" t="s">
        <v>1231</v>
      </c>
      <c r="J9" s="478"/>
      <c r="K9" s="481"/>
      <c r="L9" s="347"/>
    </row>
    <row r="10" spans="1:13" s="519" customFormat="1" ht="13.5" thickBot="1" x14ac:dyDescent="0.25">
      <c r="A10" s="1758" t="s">
        <v>1235</v>
      </c>
      <c r="B10" s="1731"/>
      <c r="C10" s="1710">
        <f>SUM(C8:C9)</f>
        <v>13765663</v>
      </c>
      <c r="D10" s="1710">
        <f t="shared" ref="D10:K10" si="1">SUM(D8:D9)</f>
        <v>1192447</v>
      </c>
      <c r="E10" s="1710">
        <f t="shared" si="1"/>
        <v>1467430</v>
      </c>
      <c r="F10" s="1710">
        <f t="shared" si="1"/>
        <v>1360932</v>
      </c>
      <c r="G10" s="1710">
        <f t="shared" si="1"/>
        <v>418255</v>
      </c>
      <c r="H10" s="1710">
        <f t="shared" si="1"/>
        <v>1500</v>
      </c>
      <c r="I10" s="1710">
        <f t="shared" si="1"/>
        <v>200100</v>
      </c>
      <c r="J10" s="1710">
        <f t="shared" si="1"/>
        <v>1187155</v>
      </c>
      <c r="K10" s="1710">
        <f t="shared" si="1"/>
        <v>50</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6383689</v>
      </c>
      <c r="D12" s="520" t="s">
        <v>1231</v>
      </c>
      <c r="E12" s="468" t="s">
        <v>1231</v>
      </c>
      <c r="F12" s="468" t="s">
        <v>1231</v>
      </c>
      <c r="G12" s="1764">
        <f>'Expenditures 15-22'!K229</f>
        <v>153120</v>
      </c>
      <c r="H12" s="521"/>
      <c r="I12" s="468" t="s">
        <v>1231</v>
      </c>
      <c r="J12" s="468" t="s">
        <v>1231</v>
      </c>
      <c r="K12" s="521" t="s">
        <v>1231</v>
      </c>
      <c r="L12" s="347"/>
    </row>
    <row r="13" spans="1:13" ht="15.75" customHeight="1" x14ac:dyDescent="0.2">
      <c r="A13" s="1598" t="s">
        <v>477</v>
      </c>
      <c r="B13" s="1600">
        <v>2000</v>
      </c>
      <c r="C13" s="1765">
        <f>'Expenditures 15-22'!K74</f>
        <v>2052993</v>
      </c>
      <c r="D13" s="1765">
        <f>'Expenditures 15-22'!K129</f>
        <v>1127706</v>
      </c>
      <c r="E13" s="469" t="s">
        <v>1231</v>
      </c>
      <c r="F13" s="1765">
        <f>'Expenditures 15-22'!K184</f>
        <v>1250004</v>
      </c>
      <c r="G13" s="1765">
        <f>'Expenditures 15-22'!K279</f>
        <v>301224</v>
      </c>
      <c r="H13" s="1765">
        <f>'Expenditures 15-22'!K303</f>
        <v>19216</v>
      </c>
      <c r="I13" s="468" t="s">
        <v>1231</v>
      </c>
      <c r="J13" s="1765">
        <f>'Expenditures 15-22'!K330</f>
        <v>1111495</v>
      </c>
      <c r="K13" s="1769">
        <f>'Expenditures 15-22'!K352</f>
        <v>54660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1224770</v>
      </c>
      <c r="D15" s="1765">
        <f>'Expenditures 15-22'!K139</f>
        <v>0</v>
      </c>
      <c r="E15" s="1765">
        <f>'Expenditures 15-22'!K160</f>
        <v>0</v>
      </c>
      <c r="F15" s="1765">
        <f>'Expenditures 15-22'!K196</f>
        <v>20029</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1455700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9661452</v>
      </c>
      <c r="D17" s="1710">
        <f t="shared" si="2"/>
        <v>1127706</v>
      </c>
      <c r="E17" s="1710">
        <f t="shared" si="2"/>
        <v>1455700</v>
      </c>
      <c r="F17" s="1710">
        <f t="shared" si="2"/>
        <v>1270033</v>
      </c>
      <c r="G17" s="1710">
        <f t="shared" si="2"/>
        <v>454344</v>
      </c>
      <c r="H17" s="1710">
        <f t="shared" si="2"/>
        <v>19216</v>
      </c>
      <c r="I17" s="468"/>
      <c r="J17" s="1710">
        <f>SUM(J12:J16)</f>
        <v>1111495</v>
      </c>
      <c r="K17" s="1710">
        <f>SUM(K12:K16)</f>
        <v>54660</v>
      </c>
      <c r="L17" s="347"/>
    </row>
    <row r="18" spans="1:12" ht="15" customHeight="1" thickTop="1" x14ac:dyDescent="0.2">
      <c r="A18" s="1766" t="s">
        <v>1753</v>
      </c>
      <c r="B18" s="1767">
        <v>4180</v>
      </c>
      <c r="C18" s="1764">
        <f t="shared" ref="C18:H18" si="3">C9</f>
        <v>4203568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13865020</v>
      </c>
      <c r="D19" s="1710">
        <f t="shared" si="4"/>
        <v>1127706</v>
      </c>
      <c r="E19" s="1710">
        <f t="shared" si="4"/>
        <v>1455700</v>
      </c>
      <c r="F19" s="1710">
        <f t="shared" si="4"/>
        <v>1270033</v>
      </c>
      <c r="G19" s="1710">
        <f t="shared" si="4"/>
        <v>454344</v>
      </c>
      <c r="H19" s="1710">
        <f t="shared" si="4"/>
        <v>19216</v>
      </c>
      <c r="I19" s="468"/>
      <c r="J19" s="1710">
        <f>SUM(J17:J18)</f>
        <v>1111495</v>
      </c>
      <c r="K19" s="1710">
        <f>SUM(K17:K18)</f>
        <v>54660</v>
      </c>
      <c r="L19" s="347"/>
    </row>
    <row r="20" spans="1:12" ht="16.5" thickTop="1" thickBot="1" x14ac:dyDescent="0.25">
      <c r="A20" s="2141" t="s">
        <v>1754</v>
      </c>
      <c r="B20" s="2142"/>
      <c r="C20" s="1768">
        <f>C8-C17</f>
        <v>-99357</v>
      </c>
      <c r="D20" s="1768">
        <f t="shared" ref="D20:K20" si="5">D8-D17</f>
        <v>64741</v>
      </c>
      <c r="E20" s="1768">
        <f t="shared" si="5"/>
        <v>11730</v>
      </c>
      <c r="F20" s="1768">
        <f t="shared" si="5"/>
        <v>90899</v>
      </c>
      <c r="G20" s="1768">
        <f t="shared" si="5"/>
        <v>-36089</v>
      </c>
      <c r="H20" s="1768">
        <f t="shared" si="5"/>
        <v>-17716</v>
      </c>
      <c r="I20" s="1768">
        <f t="shared" si="5"/>
        <v>200100</v>
      </c>
      <c r="J20" s="1768">
        <f t="shared" si="5"/>
        <v>75660</v>
      </c>
      <c r="K20" s="1768">
        <f t="shared" si="5"/>
        <v>-54610</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49" t="s">
        <v>617</v>
      </c>
      <c r="B22" s="2150"/>
      <c r="C22" s="477"/>
      <c r="D22" s="477"/>
      <c r="E22" s="477"/>
      <c r="F22" s="477"/>
      <c r="G22" s="477"/>
      <c r="H22" s="477"/>
      <c r="I22" s="477"/>
      <c r="J22" s="477"/>
      <c r="K22" s="477"/>
      <c r="L22" s="347"/>
    </row>
    <row r="23" spans="1:12" s="485" customFormat="1" ht="15.75" customHeight="1" x14ac:dyDescent="0.2">
      <c r="A23" s="2145" t="s">
        <v>311</v>
      </c>
      <c r="B23" s="2146"/>
      <c r="C23" s="480"/>
      <c r="D23" s="477"/>
      <c r="E23" s="477"/>
      <c r="F23" s="477"/>
      <c r="G23" s="477"/>
      <c r="H23" s="477"/>
      <c r="I23" s="477"/>
      <c r="J23" s="477"/>
      <c r="K23" s="477"/>
      <c r="L23" s="524"/>
    </row>
    <row r="24" spans="1:12" s="485" customFormat="1" ht="13.5" customHeight="1" x14ac:dyDescent="0.2">
      <c r="A24" s="1511" t="s">
        <v>1755</v>
      </c>
      <c r="B24" s="525">
        <v>7110</v>
      </c>
      <c r="C24" s="467">
        <v>175000</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v>7500</v>
      </c>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7" t="s">
        <v>1038</v>
      </c>
      <c r="B32" s="214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182500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49" t="s">
        <v>110</v>
      </c>
      <c r="B45" s="2150"/>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175000</v>
      </c>
      <c r="J47" s="477"/>
      <c r="K47" s="477"/>
      <c r="L47" s="529"/>
    </row>
    <row r="48" spans="1:12" s="485" customFormat="1" ht="15" x14ac:dyDescent="0.2">
      <c r="A48" s="1512" t="s">
        <v>1759</v>
      </c>
      <c r="B48" s="483">
        <v>8120</v>
      </c>
      <c r="C48" s="480"/>
      <c r="D48" s="480"/>
      <c r="E48" s="477"/>
      <c r="F48" s="480"/>
      <c r="G48" s="477"/>
      <c r="H48" s="477"/>
      <c r="I48" s="1765">
        <f>SUM(C26:H26,J26,K26)</f>
        <v>7500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61" t="s">
        <v>460</v>
      </c>
      <c r="B76" s="2162"/>
      <c r="C76" s="1725">
        <f t="shared" ref="C76:K76" si="7">SUM(C47:C75)</f>
        <v>0</v>
      </c>
      <c r="D76" s="1725">
        <f t="shared" si="7"/>
        <v>0</v>
      </c>
      <c r="E76" s="1725">
        <f t="shared" si="7"/>
        <v>0</v>
      </c>
      <c r="F76" s="1725">
        <f t="shared" si="7"/>
        <v>0</v>
      </c>
      <c r="G76" s="1725">
        <f t="shared" si="7"/>
        <v>0</v>
      </c>
      <c r="H76" s="1725">
        <f t="shared" si="7"/>
        <v>0</v>
      </c>
      <c r="I76" s="1725">
        <f t="shared" si="7"/>
        <v>182500</v>
      </c>
      <c r="J76" s="1725">
        <f t="shared" si="7"/>
        <v>0</v>
      </c>
      <c r="K76" s="1725">
        <f t="shared" si="7"/>
        <v>0</v>
      </c>
      <c r="L76" s="524"/>
    </row>
    <row r="77" spans="1:12" ht="14.25" thickTop="1" thickBot="1" x14ac:dyDescent="0.25">
      <c r="A77" s="2133" t="s">
        <v>1239</v>
      </c>
      <c r="B77" s="2134"/>
      <c r="C77" s="1725">
        <f t="shared" ref="C77:K77" si="8">C44-C76</f>
        <v>182500</v>
      </c>
      <c r="D77" s="1725">
        <f t="shared" si="8"/>
        <v>0</v>
      </c>
      <c r="E77" s="1725">
        <f t="shared" si="8"/>
        <v>0</v>
      </c>
      <c r="F77" s="1725">
        <f t="shared" si="8"/>
        <v>0</v>
      </c>
      <c r="G77" s="1725">
        <f t="shared" si="8"/>
        <v>0</v>
      </c>
      <c r="H77" s="1725">
        <f t="shared" si="8"/>
        <v>0</v>
      </c>
      <c r="I77" s="1725">
        <f t="shared" si="8"/>
        <v>-182500</v>
      </c>
      <c r="J77" s="1725">
        <f t="shared" si="8"/>
        <v>0</v>
      </c>
      <c r="K77" s="1725">
        <f t="shared" si="8"/>
        <v>0</v>
      </c>
      <c r="L77" s="347"/>
    </row>
    <row r="78" spans="1:12" ht="21.75" customHeight="1" thickTop="1" thickBot="1" x14ac:dyDescent="0.25">
      <c r="A78" s="2137" t="s">
        <v>618</v>
      </c>
      <c r="B78" s="2138"/>
      <c r="C78" s="1724">
        <f t="shared" ref="C78:K78" si="9">C20+C77</f>
        <v>83143</v>
      </c>
      <c r="D78" s="1724">
        <f t="shared" si="9"/>
        <v>64741</v>
      </c>
      <c r="E78" s="1724">
        <f t="shared" si="9"/>
        <v>11730</v>
      </c>
      <c r="F78" s="1724">
        <f t="shared" si="9"/>
        <v>90899</v>
      </c>
      <c r="G78" s="1724">
        <f t="shared" si="9"/>
        <v>-36089</v>
      </c>
      <c r="H78" s="1724">
        <f t="shared" si="9"/>
        <v>-17716</v>
      </c>
      <c r="I78" s="1724">
        <f t="shared" si="9"/>
        <v>17600</v>
      </c>
      <c r="J78" s="1724">
        <f t="shared" si="9"/>
        <v>75660</v>
      </c>
      <c r="K78" s="1724">
        <f t="shared" si="9"/>
        <v>-54610</v>
      </c>
      <c r="L78" s="533"/>
    </row>
    <row r="79" spans="1:12" ht="13.5" thickTop="1" x14ac:dyDescent="0.2">
      <c r="A79" s="1516" t="s">
        <v>2073</v>
      </c>
      <c r="B79" s="534"/>
      <c r="C79" s="478">
        <v>7075870</v>
      </c>
      <c r="D79" s="535">
        <v>1144344</v>
      </c>
      <c r="E79" s="535">
        <v>713397</v>
      </c>
      <c r="F79" s="535">
        <v>1524892</v>
      </c>
      <c r="G79" s="535">
        <v>102870</v>
      </c>
      <c r="H79" s="535">
        <v>288375</v>
      </c>
      <c r="I79" s="535">
        <v>3298150</v>
      </c>
      <c r="J79" s="535">
        <v>780156</v>
      </c>
      <c r="K79" s="535">
        <v>184399</v>
      </c>
      <c r="L79" s="347"/>
    </row>
    <row r="80" spans="1:12" x14ac:dyDescent="0.2">
      <c r="A80" s="2143" t="s">
        <v>1898</v>
      </c>
      <c r="B80" s="2144"/>
      <c r="C80" s="467"/>
      <c r="D80" s="467"/>
      <c r="E80" s="467"/>
      <c r="F80" s="467"/>
      <c r="G80" s="467"/>
      <c r="H80" s="467"/>
      <c r="I80" s="467"/>
      <c r="J80" s="467"/>
      <c r="K80" s="467"/>
      <c r="L80" s="347"/>
    </row>
    <row r="81" spans="1:12" ht="13.5" thickBot="1" x14ac:dyDescent="0.25">
      <c r="A81" s="2135" t="s">
        <v>2074</v>
      </c>
      <c r="B81" s="2136"/>
      <c r="C81" s="1710">
        <f>(SUM(C78:C80))</f>
        <v>7159013</v>
      </c>
      <c r="D81" s="1710">
        <f>SUM(D78:D80)</f>
        <v>1209085</v>
      </c>
      <c r="E81" s="1710">
        <f t="shared" ref="E81:K81" si="10">SUM(E78:E80)</f>
        <v>725127</v>
      </c>
      <c r="F81" s="1710">
        <f t="shared" si="10"/>
        <v>1615791</v>
      </c>
      <c r="G81" s="1710">
        <f t="shared" si="10"/>
        <v>66781</v>
      </c>
      <c r="H81" s="1710">
        <f t="shared" si="10"/>
        <v>270659</v>
      </c>
      <c r="I81" s="1710">
        <f t="shared" si="10"/>
        <v>3315750</v>
      </c>
      <c r="J81" s="1710">
        <f t="shared" si="10"/>
        <v>855816</v>
      </c>
      <c r="K81" s="1710">
        <f t="shared" si="10"/>
        <v>129789</v>
      </c>
      <c r="L81" s="347"/>
    </row>
    <row r="82" spans="1:12" ht="0.75" customHeight="1" thickTop="1" thickBot="1" x14ac:dyDescent="0.25">
      <c r="A82" s="536" t="s">
        <v>361</v>
      </c>
      <c r="B82" s="537"/>
      <c r="C82" s="538">
        <f>(C81-C79)</f>
        <v>83143</v>
      </c>
      <c r="D82" s="538">
        <f t="shared" ref="D82:K82" si="11">(D81-D79)</f>
        <v>64741</v>
      </c>
      <c r="E82" s="538">
        <f t="shared" si="11"/>
        <v>11730</v>
      </c>
      <c r="F82" s="538">
        <f t="shared" si="11"/>
        <v>90899</v>
      </c>
      <c r="G82" s="538">
        <f t="shared" si="11"/>
        <v>-36089</v>
      </c>
      <c r="H82" s="538">
        <f t="shared" si="11"/>
        <v>-17716</v>
      </c>
      <c r="I82" s="538">
        <f t="shared" si="11"/>
        <v>17600</v>
      </c>
      <c r="J82" s="538">
        <f t="shared" si="11"/>
        <v>75660</v>
      </c>
      <c r="K82" s="538">
        <f t="shared" si="11"/>
        <v>-54610</v>
      </c>
    </row>
    <row r="83" spans="1:12" ht="14.25" hidden="1" thickTop="1" thickBot="1" x14ac:dyDescent="0.25">
      <c r="A83" s="539" t="s">
        <v>362</v>
      </c>
      <c r="B83" s="464"/>
      <c r="C83" s="540">
        <f>C82/C81</f>
        <v>1.1613751783940049E-2</v>
      </c>
      <c r="D83" s="540">
        <f t="shared" ref="D83:K83" si="12">D82/D81</f>
        <v>5.3545449658212618E-2</v>
      </c>
      <c r="E83" s="540">
        <f t="shared" si="12"/>
        <v>1.617647667236222E-2</v>
      </c>
      <c r="F83" s="540">
        <f t="shared" si="12"/>
        <v>5.6256656956252385E-2</v>
      </c>
      <c r="G83" s="540">
        <f t="shared" si="12"/>
        <v>-0.54040819993710787</v>
      </c>
      <c r="H83" s="540">
        <f t="shared" si="12"/>
        <v>-6.5455055992965319E-2</v>
      </c>
      <c r="I83" s="540">
        <f t="shared" si="12"/>
        <v>5.3079996984091082E-3</v>
      </c>
      <c r="J83" s="540">
        <f t="shared" si="12"/>
        <v>8.8406853809697414E-2</v>
      </c>
      <c r="K83" s="540">
        <f t="shared" si="12"/>
        <v>-0.4207598486774688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3" type="noConversion"/>
  <printOptions headings="1"/>
  <pageMargins left="0.21" right="0" top="0.8" bottom="0.48" header="0.19" footer="0.19"/>
  <pageSetup scale="73" firstPageNumber="13" orientation="landscape" useFirstPageNumber="1" r:id="rId1"/>
  <headerFooter alignWithMargins="0">
    <oddHeader xml:space="preserve">&amp;C&amp;"Arial,Bold"&amp;9BASIC FINANCIAL STATEMENT
STATEMENT OF REVENUES RECEIVED/REVENUES, EXPENDITURES/DISBURSED/EXPENDITURES, OTHER 
SOURCES (USES) AND CHANGES IN FUND BALANCE
ALL FUNDS - FOR THE YEAR ENDING JUNE 30, 2018
 </oddHeader>
    <oddFooter>&amp;CSee Accompanying Notes to Financial Statements.&amp;R&amp;P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5214375</v>
      </c>
      <c r="D5" s="481">
        <v>1002759</v>
      </c>
      <c r="E5" s="466">
        <v>1467081</v>
      </c>
      <c r="F5" s="548">
        <v>469130</v>
      </c>
      <c r="G5" s="466">
        <v>181792</v>
      </c>
      <c r="H5" s="466"/>
      <c r="I5" s="466">
        <v>192661</v>
      </c>
      <c r="J5" s="467">
        <v>1176933</v>
      </c>
      <c r="K5" s="466"/>
    </row>
    <row r="6" spans="1:12" ht="15" x14ac:dyDescent="0.2">
      <c r="A6" s="463" t="s">
        <v>1761</v>
      </c>
      <c r="B6" s="470">
        <v>1130</v>
      </c>
      <c r="C6" s="466">
        <v>200548</v>
      </c>
      <c r="D6" s="466"/>
      <c r="E6" s="475"/>
      <c r="F6" s="475"/>
      <c r="G6" s="468"/>
      <c r="H6" s="468"/>
      <c r="I6" s="468"/>
      <c r="J6" s="468"/>
      <c r="K6" s="468"/>
    </row>
    <row r="7" spans="1:12" x14ac:dyDescent="0.2">
      <c r="A7" s="463" t="s">
        <v>112</v>
      </c>
      <c r="B7" s="549">
        <v>1140</v>
      </c>
      <c r="C7" s="466">
        <v>80221</v>
      </c>
      <c r="D7" s="466"/>
      <c r="E7" s="468"/>
      <c r="F7" s="467"/>
      <c r="G7" s="467"/>
      <c r="H7" s="467"/>
      <c r="I7" s="468"/>
      <c r="J7" s="468"/>
      <c r="K7" s="468"/>
    </row>
    <row r="8" spans="1:12" x14ac:dyDescent="0.2">
      <c r="A8" s="463" t="s">
        <v>433</v>
      </c>
      <c r="B8" s="470">
        <v>1150</v>
      </c>
      <c r="C8" s="475"/>
      <c r="D8" s="475"/>
      <c r="E8" s="477"/>
      <c r="F8" s="477"/>
      <c r="G8" s="481">
        <v>221363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5495144</v>
      </c>
      <c r="D12" s="1729">
        <f t="shared" si="0"/>
        <v>1002759</v>
      </c>
      <c r="E12" s="1729">
        <f t="shared" si="0"/>
        <v>1467081</v>
      </c>
      <c r="F12" s="1729">
        <f t="shared" si="0"/>
        <v>469130</v>
      </c>
      <c r="G12" s="1729">
        <f t="shared" si="0"/>
        <v>403155</v>
      </c>
      <c r="H12" s="1729">
        <f t="shared" si="0"/>
        <v>0</v>
      </c>
      <c r="I12" s="1729">
        <f t="shared" si="0"/>
        <v>192661</v>
      </c>
      <c r="J12" s="1729">
        <f t="shared" si="0"/>
        <v>1176933</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634992</v>
      </c>
      <c r="D16" s="466"/>
      <c r="E16" s="466"/>
      <c r="F16" s="466"/>
      <c r="G16" s="466">
        <v>15000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634992</v>
      </c>
      <c r="D18" s="1732">
        <f t="shared" ref="D18:K18" si="1">SUM(D14:D17)</f>
        <v>0</v>
      </c>
      <c r="E18" s="1732">
        <f t="shared" si="1"/>
        <v>0</v>
      </c>
      <c r="F18" s="1732">
        <f t="shared" si="1"/>
        <v>0</v>
      </c>
      <c r="G18" s="1732">
        <f t="shared" si="1"/>
        <v>15000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605393</v>
      </c>
      <c r="G43" s="468"/>
      <c r="H43" s="468"/>
      <c r="I43" s="468"/>
      <c r="J43" s="468"/>
      <c r="K43" s="468"/>
    </row>
    <row r="44" spans="1:11" ht="12.75" customHeight="1" x14ac:dyDescent="0.2">
      <c r="A44" s="463" t="s">
        <v>402</v>
      </c>
      <c r="B44" s="470">
        <v>1413</v>
      </c>
      <c r="C44" s="468"/>
      <c r="D44" s="468"/>
      <c r="E44" s="468"/>
      <c r="F44" s="466">
        <v>5760</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611153</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65835</v>
      </c>
      <c r="D65" s="466">
        <v>38830</v>
      </c>
      <c r="E65" s="466">
        <v>349</v>
      </c>
      <c r="F65" s="467">
        <v>1000</v>
      </c>
      <c r="G65" s="466">
        <v>100</v>
      </c>
      <c r="H65" s="466">
        <v>1500</v>
      </c>
      <c r="I65" s="466">
        <v>7439</v>
      </c>
      <c r="J65" s="467">
        <v>10222</v>
      </c>
      <c r="K65" s="466">
        <v>50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65835</v>
      </c>
      <c r="D67" s="1710">
        <f t="shared" ref="D67:K67" si="2">SUM(D65:D66)</f>
        <v>38830</v>
      </c>
      <c r="E67" s="1710">
        <f t="shared" si="2"/>
        <v>349</v>
      </c>
      <c r="F67" s="1710">
        <f t="shared" si="2"/>
        <v>1000</v>
      </c>
      <c r="G67" s="1710">
        <f t="shared" si="2"/>
        <v>100</v>
      </c>
      <c r="H67" s="1710">
        <f t="shared" si="2"/>
        <v>1500</v>
      </c>
      <c r="I67" s="1710">
        <f t="shared" si="2"/>
        <v>7439</v>
      </c>
      <c r="J67" s="1710">
        <f t="shared" si="2"/>
        <v>10222</v>
      </c>
      <c r="K67" s="1710">
        <f t="shared" si="2"/>
        <v>50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412120</v>
      </c>
      <c r="D74" s="468"/>
      <c r="E74" s="468"/>
      <c r="F74" s="468"/>
      <c r="G74" s="468"/>
      <c r="H74" s="468"/>
      <c r="I74" s="468"/>
      <c r="J74" s="468"/>
      <c r="K74" s="468"/>
    </row>
    <row r="75" spans="1:11" ht="12.75" customHeight="1" thickBot="1" x14ac:dyDescent="0.25">
      <c r="A75" s="1730" t="s">
        <v>569</v>
      </c>
      <c r="B75" s="1731"/>
      <c r="C75" s="1710">
        <f>SUM(C69:C74)</f>
        <v>412120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41867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v>5790</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47657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76509</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76509</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62613</v>
      </c>
      <c r="D100" s="489"/>
      <c r="E100" s="489"/>
      <c r="F100" s="489"/>
      <c r="G100" s="489"/>
      <c r="H100" s="489"/>
      <c r="I100" s="467"/>
      <c r="J100" s="489"/>
      <c r="K100" s="467"/>
    </row>
    <row r="101" spans="1:12" ht="12.75" customHeight="1" x14ac:dyDescent="0.2">
      <c r="A101" s="463" t="s">
        <v>264</v>
      </c>
      <c r="B101" s="470">
        <v>1970</v>
      </c>
      <c r="C101" s="489">
        <v>5900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v>15037</v>
      </c>
      <c r="E106" s="467"/>
      <c r="F106" s="467"/>
      <c r="G106" s="467"/>
      <c r="H106" s="467"/>
      <c r="I106" s="521"/>
      <c r="J106" s="467"/>
      <c r="K106" s="467"/>
    </row>
    <row r="107" spans="1:12" ht="12.75" customHeight="1" x14ac:dyDescent="0.2">
      <c r="A107" s="463" t="s">
        <v>80</v>
      </c>
      <c r="B107" s="470">
        <v>1999</v>
      </c>
      <c r="C107" s="551">
        <v>74527</v>
      </c>
      <c r="D107" s="466">
        <v>13680</v>
      </c>
      <c r="E107" s="466"/>
      <c r="F107" s="466">
        <v>8500</v>
      </c>
      <c r="G107" s="466"/>
      <c r="H107" s="466"/>
      <c r="I107" s="466"/>
      <c r="J107" s="467"/>
      <c r="K107" s="466"/>
    </row>
    <row r="108" spans="1:12" ht="12.75" customHeight="1" thickBot="1" x14ac:dyDescent="0.25">
      <c r="A108" s="1730" t="s">
        <v>508</v>
      </c>
      <c r="B108" s="1734"/>
      <c r="C108" s="1729">
        <f>SUM(C95:C107)</f>
        <v>143040</v>
      </c>
      <c r="D108" s="1729">
        <f t="shared" ref="D108:K108" si="3">SUM(D95:D107)</f>
        <v>28717</v>
      </c>
      <c r="E108" s="1729">
        <f t="shared" si="3"/>
        <v>0</v>
      </c>
      <c r="F108" s="1729">
        <f t="shared" si="3"/>
        <v>8500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6875297</v>
      </c>
      <c r="D109" s="1737">
        <f t="shared" si="4"/>
        <v>1070306</v>
      </c>
      <c r="E109" s="1737">
        <f t="shared" si="4"/>
        <v>1467430</v>
      </c>
      <c r="F109" s="1737">
        <f t="shared" si="4"/>
        <v>1089783</v>
      </c>
      <c r="G109" s="1737">
        <f t="shared" si="4"/>
        <v>418255</v>
      </c>
      <c r="H109" s="1737">
        <f t="shared" si="4"/>
        <v>1500</v>
      </c>
      <c r="I109" s="1737">
        <f t="shared" si="4"/>
        <v>200100</v>
      </c>
      <c r="J109" s="1737">
        <f t="shared" si="4"/>
        <v>1187155</v>
      </c>
      <c r="K109" s="1724">
        <f t="shared" si="4"/>
        <v>50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1896087</v>
      </c>
      <c r="D117" s="481">
        <v>122141</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1896087</v>
      </c>
      <c r="D121" s="1729">
        <f t="shared" si="5"/>
        <v>122141</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72567</v>
      </c>
      <c r="D124" s="561"/>
      <c r="E124" s="468"/>
      <c r="F124" s="548"/>
      <c r="G124" s="468"/>
      <c r="H124" s="468"/>
      <c r="I124" s="468"/>
      <c r="J124" s="468"/>
      <c r="K124" s="468"/>
    </row>
    <row r="125" spans="1:11" ht="12.75" customHeight="1" x14ac:dyDescent="0.2">
      <c r="A125" s="463" t="s">
        <v>1521</v>
      </c>
      <c r="B125" s="562">
        <v>3105</v>
      </c>
      <c r="C125" s="466">
        <v>67918</v>
      </c>
      <c r="D125" s="561"/>
      <c r="E125" s="468"/>
      <c r="F125" s="466"/>
      <c r="G125" s="468"/>
      <c r="H125" s="468"/>
      <c r="I125" s="468"/>
      <c r="J125" s="468"/>
      <c r="K125" s="468"/>
    </row>
    <row r="126" spans="1:11" ht="12.75" customHeight="1" x14ac:dyDescent="0.2">
      <c r="A126" s="463" t="s">
        <v>922</v>
      </c>
      <c r="B126" s="562">
        <v>3110</v>
      </c>
      <c r="C126" s="551">
        <v>31683</v>
      </c>
      <c r="D126" s="466"/>
      <c r="E126" s="468"/>
      <c r="F126" s="466"/>
      <c r="G126" s="468"/>
      <c r="H126" s="468"/>
      <c r="I126" s="468"/>
      <c r="J126" s="468"/>
      <c r="K126" s="468"/>
    </row>
    <row r="127" spans="1:11" ht="12.75" customHeight="1" x14ac:dyDescent="0.2">
      <c r="A127" s="463" t="s">
        <v>107</v>
      </c>
      <c r="B127" s="562">
        <v>3120</v>
      </c>
      <c r="C127" s="466">
        <v>115789</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3054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291011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3934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3934</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10372</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10372</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40879</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81337</v>
      </c>
      <c r="G151" s="467"/>
      <c r="H151" s="468"/>
      <c r="I151" s="468"/>
      <c r="J151" s="468"/>
      <c r="K151" s="468"/>
    </row>
    <row r="152" spans="1:11" ht="12.75" customHeight="1" x14ac:dyDescent="0.2">
      <c r="A152" s="463" t="s">
        <v>1117</v>
      </c>
      <c r="B152" s="562">
        <v>3510</v>
      </c>
      <c r="C152" s="551"/>
      <c r="D152" s="466"/>
      <c r="E152" s="561"/>
      <c r="F152" s="466">
        <v>189812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271149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346196</v>
      </c>
      <c r="D172" s="1744">
        <f t="shared" si="6"/>
        <v>0</v>
      </c>
      <c r="E172" s="1744">
        <f t="shared" si="6"/>
        <v>0</v>
      </c>
      <c r="F172" s="1744">
        <f t="shared" si="6"/>
        <v>271149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2242283</v>
      </c>
      <c r="D173" s="1737">
        <f>SUM(D121,D172)</f>
        <v>122141</v>
      </c>
      <c r="E173" s="1737">
        <f>SUM(E121,E172)</f>
        <v>0</v>
      </c>
      <c r="F173" s="1737">
        <f t="shared" ref="F173:K173" si="7">SUM(F121,F172)</f>
        <v>271149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242036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242036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1500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1500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96169</v>
      </c>
      <c r="D220" s="466"/>
      <c r="E220" s="468"/>
      <c r="F220" s="466"/>
      <c r="G220" s="466"/>
      <c r="H220" s="468"/>
      <c r="I220" s="468"/>
      <c r="J220" s="468"/>
      <c r="K220" s="468"/>
    </row>
    <row r="221" spans="1:11" ht="12.75" customHeight="1" x14ac:dyDescent="0.2">
      <c r="A221" s="463" t="s">
        <v>1114</v>
      </c>
      <c r="B221" s="470">
        <v>4625</v>
      </c>
      <c r="C221" s="551">
        <v>53762</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149931</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5618</v>
      </c>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v>158</v>
      </c>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31099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14173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444515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444515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9562095</v>
      </c>
      <c r="D275" s="1737">
        <f t="shared" si="12"/>
        <v>1192447</v>
      </c>
      <c r="E275" s="1737">
        <f t="shared" si="12"/>
        <v>1467430</v>
      </c>
      <c r="F275" s="1737">
        <f t="shared" si="12"/>
        <v>1360932</v>
      </c>
      <c r="G275" s="1737">
        <f t="shared" si="12"/>
        <v>418255</v>
      </c>
      <c r="H275" s="1737">
        <f t="shared" si="12"/>
        <v>1500</v>
      </c>
      <c r="I275" s="1737">
        <f t="shared" si="12"/>
        <v>200100</v>
      </c>
      <c r="J275" s="1737">
        <f t="shared" si="12"/>
        <v>1187155</v>
      </c>
      <c r="K275" s="1724">
        <f t="shared" si="12"/>
        <v>50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15" orientation="landscape" useFirstPageNumber="1" r:id="rId1"/>
  <headerFooter alignWithMargins="0">
    <oddHeader>&amp;C&amp;"Arial,Bold"&amp;9STATEMENT OF REVENUES RECEIVED/REVENUES
FOR THE YEAR ENDING JUNE 30, 2018</oddHeader>
    <oddFooter>&amp;CSee Accompanying Notes to Financial Statements.&amp;R&amp;P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04" activePane="bottomLeft" state="frozen"/>
      <selection pane="bottomLeft"/>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3501458</v>
      </c>
      <c r="D5" s="466">
        <v>985539</v>
      </c>
      <c r="E5" s="466">
        <v>2726</v>
      </c>
      <c r="F5" s="466">
        <v>180977</v>
      </c>
      <c r="G5" s="466">
        <v>77667</v>
      </c>
      <c r="H5" s="466">
        <v>23777</v>
      </c>
      <c r="I5" s="467"/>
      <c r="J5" s="467"/>
      <c r="K5" s="1693">
        <f>SUM(C5:J5)</f>
        <v>4772144</v>
      </c>
      <c r="L5" s="466">
        <v>4687194</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v>567693</v>
      </c>
      <c r="D8" s="466">
        <v>94626</v>
      </c>
      <c r="E8" s="466"/>
      <c r="F8" s="466">
        <v>1865</v>
      </c>
      <c r="G8" s="466"/>
      <c r="H8" s="466"/>
      <c r="I8" s="467"/>
      <c r="J8" s="467"/>
      <c r="K8" s="1693">
        <f t="shared" si="0"/>
        <v>664184</v>
      </c>
      <c r="L8" s="466">
        <v>1374880</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c r="D10" s="466">
        <v>13625</v>
      </c>
      <c r="E10" s="466">
        <v>3000</v>
      </c>
      <c r="F10" s="466">
        <v>8689</v>
      </c>
      <c r="G10" s="466">
        <v>81698</v>
      </c>
      <c r="H10" s="466"/>
      <c r="I10" s="467"/>
      <c r="J10" s="467"/>
      <c r="K10" s="1693">
        <f t="shared" si="0"/>
        <v>107012</v>
      </c>
      <c r="L10" s="466">
        <v>174350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v>443308</v>
      </c>
      <c r="D14" s="466">
        <v>74683</v>
      </c>
      <c r="E14" s="466">
        <v>65789</v>
      </c>
      <c r="F14" s="466">
        <v>51526</v>
      </c>
      <c r="G14" s="466"/>
      <c r="H14" s="466">
        <v>46038</v>
      </c>
      <c r="I14" s="467"/>
      <c r="J14" s="467"/>
      <c r="K14" s="1693">
        <f t="shared" si="0"/>
        <v>681344</v>
      </c>
      <c r="L14" s="466">
        <v>715485</v>
      </c>
    </row>
    <row r="15" spans="1:14" x14ac:dyDescent="0.2">
      <c r="A15" s="1526" t="s">
        <v>1021</v>
      </c>
      <c r="B15" s="615">
        <v>1600</v>
      </c>
      <c r="C15" s="466"/>
      <c r="D15" s="466">
        <v>1198</v>
      </c>
      <c r="E15" s="466">
        <v>32175</v>
      </c>
      <c r="F15" s="466"/>
      <c r="G15" s="466"/>
      <c r="H15" s="466"/>
      <c r="I15" s="467"/>
      <c r="J15" s="467"/>
      <c r="K15" s="1693">
        <f t="shared" si="0"/>
        <v>33373</v>
      </c>
      <c r="L15" s="466">
        <v>52450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v>95162</v>
      </c>
      <c r="D17" s="467">
        <v>21207</v>
      </c>
      <c r="E17" s="467">
        <v>9227</v>
      </c>
      <c r="F17" s="467">
        <v>36</v>
      </c>
      <c r="G17" s="467"/>
      <c r="H17" s="467"/>
      <c r="I17" s="467"/>
      <c r="J17" s="467"/>
      <c r="K17" s="1693">
        <f t="shared" si="0"/>
        <v>125632</v>
      </c>
      <c r="L17" s="466">
        <v>123650</v>
      </c>
    </row>
    <row r="18" spans="1:12" x14ac:dyDescent="0.2">
      <c r="A18" s="1526" t="s">
        <v>1148</v>
      </c>
      <c r="B18" s="615">
        <v>1800</v>
      </c>
      <c r="C18" s="466"/>
      <c r="D18" s="466"/>
      <c r="E18" s="466"/>
      <c r="F18" s="466"/>
      <c r="G18" s="466"/>
      <c r="H18" s="466"/>
      <c r="I18" s="467"/>
      <c r="J18" s="467"/>
      <c r="K18" s="1693">
        <f t="shared" si="0"/>
        <v>0</v>
      </c>
      <c r="L18" s="466">
        <v>750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4607621</v>
      </c>
      <c r="D33" s="1692">
        <f t="shared" ref="D33:L33" si="1">SUM(D5:D32)</f>
        <v>1190878</v>
      </c>
      <c r="E33" s="1692">
        <f t="shared" si="1"/>
        <v>112917</v>
      </c>
      <c r="F33" s="1692">
        <f t="shared" si="1"/>
        <v>243093</v>
      </c>
      <c r="G33" s="1692">
        <f t="shared" si="1"/>
        <v>159365</v>
      </c>
      <c r="H33" s="1692">
        <f t="shared" si="1"/>
        <v>69815</v>
      </c>
      <c r="I33" s="1692">
        <f t="shared" si="1"/>
        <v>0</v>
      </c>
      <c r="J33" s="1692">
        <f t="shared" si="1"/>
        <v>0</v>
      </c>
      <c r="K33" s="1692">
        <f t="shared" si="1"/>
        <v>6383689</v>
      </c>
      <c r="L33" s="1692">
        <f t="shared" si="1"/>
        <v>7128759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v>9504</v>
      </c>
      <c r="F36" s="481">
        <v>6116</v>
      </c>
      <c r="G36" s="481"/>
      <c r="H36" s="481"/>
      <c r="I36" s="467"/>
      <c r="J36" s="467"/>
      <c r="K36" s="1693">
        <f t="shared" ref="K36:K41" si="2">SUM(C36:J36)</f>
        <v>15620</v>
      </c>
      <c r="L36" s="466">
        <v>23900</v>
      </c>
    </row>
    <row r="37" spans="1:14" x14ac:dyDescent="0.2">
      <c r="A37" s="1526" t="s">
        <v>1151</v>
      </c>
      <c r="B37" s="615">
        <v>2120</v>
      </c>
      <c r="C37" s="466">
        <v>338308</v>
      </c>
      <c r="D37" s="466">
        <v>76966</v>
      </c>
      <c r="E37" s="466"/>
      <c r="F37" s="466">
        <v>621</v>
      </c>
      <c r="G37" s="466"/>
      <c r="H37" s="466"/>
      <c r="I37" s="467"/>
      <c r="J37" s="467"/>
      <c r="K37" s="1693">
        <f t="shared" si="2"/>
        <v>415895</v>
      </c>
      <c r="L37" s="466">
        <v>476900</v>
      </c>
    </row>
    <row r="38" spans="1:14" x14ac:dyDescent="0.2">
      <c r="A38" s="1526" t="s">
        <v>207</v>
      </c>
      <c r="B38" s="615">
        <v>2130</v>
      </c>
      <c r="C38" s="466"/>
      <c r="D38" s="466"/>
      <c r="E38" s="466">
        <v>3264</v>
      </c>
      <c r="F38" s="466"/>
      <c r="G38" s="466"/>
      <c r="H38" s="466"/>
      <c r="I38" s="467"/>
      <c r="J38" s="467"/>
      <c r="K38" s="1693">
        <f t="shared" si="2"/>
        <v>3264</v>
      </c>
      <c r="L38" s="466">
        <v>36050</v>
      </c>
    </row>
    <row r="39" spans="1:14" x14ac:dyDescent="0.2">
      <c r="A39" s="1526" t="s">
        <v>208</v>
      </c>
      <c r="B39" s="615">
        <v>2140</v>
      </c>
      <c r="C39" s="466"/>
      <c r="D39" s="466"/>
      <c r="E39" s="466"/>
      <c r="F39" s="466"/>
      <c r="G39" s="466"/>
      <c r="H39" s="466"/>
      <c r="I39" s="467"/>
      <c r="J39" s="467"/>
      <c r="K39" s="1693">
        <f t="shared" si="2"/>
        <v>0</v>
      </c>
      <c r="L39" s="466">
        <v>19000</v>
      </c>
    </row>
    <row r="40" spans="1:14" x14ac:dyDescent="0.2">
      <c r="A40" s="1526" t="s">
        <v>209</v>
      </c>
      <c r="B40" s="615">
        <v>2150</v>
      </c>
      <c r="C40" s="466"/>
      <c r="D40" s="466"/>
      <c r="E40" s="466"/>
      <c r="F40" s="466"/>
      <c r="G40" s="466"/>
      <c r="H40" s="466"/>
      <c r="I40" s="467"/>
      <c r="J40" s="467"/>
      <c r="K40" s="1693">
        <f t="shared" si="2"/>
        <v>0</v>
      </c>
      <c r="L40" s="466">
        <v>0</v>
      </c>
    </row>
    <row r="41" spans="1:14" x14ac:dyDescent="0.2">
      <c r="A41" s="1526" t="s">
        <v>1768</v>
      </c>
      <c r="B41" s="615">
        <v>2190</v>
      </c>
      <c r="C41" s="466"/>
      <c r="D41" s="466"/>
      <c r="E41" s="466"/>
      <c r="F41" s="466"/>
      <c r="G41" s="466"/>
      <c r="H41" s="466"/>
      <c r="I41" s="467"/>
      <c r="J41" s="467"/>
      <c r="K41" s="1693">
        <f t="shared" si="2"/>
        <v>0</v>
      </c>
      <c r="L41" s="466">
        <v>0</v>
      </c>
    </row>
    <row r="42" spans="1:14" ht="12.75" customHeight="1" thickBot="1" x14ac:dyDescent="0.25">
      <c r="A42" s="1690" t="s">
        <v>581</v>
      </c>
      <c r="B42" s="1691" t="s">
        <v>740</v>
      </c>
      <c r="C42" s="1692">
        <f>SUM(C36:C41)</f>
        <v>338308</v>
      </c>
      <c r="D42" s="1692">
        <f t="shared" ref="D42:L42" si="3">SUM(D36:D41)</f>
        <v>76966</v>
      </c>
      <c r="E42" s="1692">
        <f t="shared" si="3"/>
        <v>12768</v>
      </c>
      <c r="F42" s="1692">
        <f t="shared" si="3"/>
        <v>6737</v>
      </c>
      <c r="G42" s="1692">
        <f t="shared" si="3"/>
        <v>0</v>
      </c>
      <c r="H42" s="1692">
        <f t="shared" si="3"/>
        <v>0</v>
      </c>
      <c r="I42" s="1692">
        <f t="shared" si="3"/>
        <v>0</v>
      </c>
      <c r="J42" s="1692">
        <f t="shared" si="3"/>
        <v>0</v>
      </c>
      <c r="K42" s="1692">
        <f t="shared" si="3"/>
        <v>434779</v>
      </c>
      <c r="L42" s="1692">
        <f t="shared" si="3"/>
        <v>555850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8843</v>
      </c>
      <c r="F44" s="481"/>
      <c r="G44" s="481"/>
      <c r="H44" s="481"/>
      <c r="I44" s="467"/>
      <c r="J44" s="467"/>
      <c r="K44" s="1694">
        <f>SUM(C44:J44)</f>
        <v>8843</v>
      </c>
      <c r="L44" s="481">
        <v>26179</v>
      </c>
    </row>
    <row r="45" spans="1:14" x14ac:dyDescent="0.2">
      <c r="A45" s="1526" t="s">
        <v>869</v>
      </c>
      <c r="B45" s="615">
        <v>2220</v>
      </c>
      <c r="C45" s="466">
        <v>121036</v>
      </c>
      <c r="D45" s="466">
        <v>30076</v>
      </c>
      <c r="E45" s="466"/>
      <c r="F45" s="466">
        <v>19894</v>
      </c>
      <c r="G45" s="466">
        <v>729</v>
      </c>
      <c r="H45" s="466">
        <v>14</v>
      </c>
      <c r="I45" s="467"/>
      <c r="J45" s="467"/>
      <c r="K45" s="1694">
        <f>SUM(C45:J45)</f>
        <v>171749</v>
      </c>
      <c r="L45" s="466">
        <v>174740</v>
      </c>
    </row>
    <row r="46" spans="1:14" x14ac:dyDescent="0.2">
      <c r="A46" s="1526" t="s">
        <v>870</v>
      </c>
      <c r="B46" s="615">
        <v>2230</v>
      </c>
      <c r="C46" s="466"/>
      <c r="D46" s="466"/>
      <c r="E46" s="466">
        <v>10209</v>
      </c>
      <c r="F46" s="466"/>
      <c r="G46" s="466"/>
      <c r="H46" s="466"/>
      <c r="I46" s="467"/>
      <c r="J46" s="467"/>
      <c r="K46" s="1694">
        <f>SUM(C46:J46)</f>
        <v>10209</v>
      </c>
      <c r="L46" s="466">
        <v>21833</v>
      </c>
    </row>
    <row r="47" spans="1:14" ht="12.75" customHeight="1" thickBot="1" x14ac:dyDescent="0.25">
      <c r="A47" s="1690" t="s">
        <v>582</v>
      </c>
      <c r="B47" s="1691" t="s">
        <v>32</v>
      </c>
      <c r="C47" s="1692">
        <f>SUM(C44:C46)</f>
        <v>121036</v>
      </c>
      <c r="D47" s="1692">
        <f t="shared" ref="D47:K47" si="4">SUM(D44:D46)</f>
        <v>30076</v>
      </c>
      <c r="E47" s="1692">
        <f t="shared" si="4"/>
        <v>19052</v>
      </c>
      <c r="F47" s="1692">
        <f t="shared" si="4"/>
        <v>19894</v>
      </c>
      <c r="G47" s="1692">
        <f t="shared" si="4"/>
        <v>729</v>
      </c>
      <c r="H47" s="1692">
        <f t="shared" si="4"/>
        <v>14</v>
      </c>
      <c r="I47" s="1692">
        <f t="shared" si="4"/>
        <v>0</v>
      </c>
      <c r="J47" s="1692">
        <f t="shared" si="4"/>
        <v>0</v>
      </c>
      <c r="K47" s="1692">
        <f t="shared" si="4"/>
        <v>190801</v>
      </c>
      <c r="L47" s="1692">
        <f>SUM(L44:L46)</f>
        <v>222752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54432</v>
      </c>
      <c r="F49" s="481">
        <v>40</v>
      </c>
      <c r="G49" s="481"/>
      <c r="H49" s="481">
        <v>13050</v>
      </c>
      <c r="I49" s="467"/>
      <c r="J49" s="467"/>
      <c r="K49" s="1694">
        <f>SUM(C49:J49)</f>
        <v>67522</v>
      </c>
      <c r="L49" s="481">
        <v>71400</v>
      </c>
    </row>
    <row r="50" spans="1:14" x14ac:dyDescent="0.2">
      <c r="A50" s="1526" t="s">
        <v>872</v>
      </c>
      <c r="B50" s="615">
        <v>2320</v>
      </c>
      <c r="C50" s="466">
        <v>144909</v>
      </c>
      <c r="D50" s="466">
        <v>49762</v>
      </c>
      <c r="E50" s="466">
        <v>5475</v>
      </c>
      <c r="F50" s="466">
        <v>41</v>
      </c>
      <c r="G50" s="466"/>
      <c r="H50" s="466">
        <v>3930</v>
      </c>
      <c r="I50" s="467"/>
      <c r="J50" s="467"/>
      <c r="K50" s="1694">
        <f>SUM(C50:J50)</f>
        <v>204117</v>
      </c>
      <c r="L50" s="466">
        <v>206900</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144909</v>
      </c>
      <c r="D53" s="1692">
        <f t="shared" ref="D53:L53" si="5">SUM(D49:D52)</f>
        <v>49762</v>
      </c>
      <c r="E53" s="1692">
        <f t="shared" si="5"/>
        <v>59907</v>
      </c>
      <c r="F53" s="1692">
        <f t="shared" si="5"/>
        <v>81</v>
      </c>
      <c r="G53" s="1692">
        <f t="shared" si="5"/>
        <v>0</v>
      </c>
      <c r="H53" s="1692">
        <f t="shared" si="5"/>
        <v>16980</v>
      </c>
      <c r="I53" s="1692">
        <f t="shared" si="5"/>
        <v>0</v>
      </c>
      <c r="J53" s="1692">
        <f t="shared" si="5"/>
        <v>0</v>
      </c>
      <c r="K53" s="1692">
        <f t="shared" si="5"/>
        <v>271639</v>
      </c>
      <c r="L53" s="1692">
        <f t="shared" si="5"/>
        <v>278300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353120</v>
      </c>
      <c r="D55" s="481">
        <v>115887</v>
      </c>
      <c r="E55" s="481">
        <v>2295</v>
      </c>
      <c r="F55" s="481">
        <v>333</v>
      </c>
      <c r="G55" s="481"/>
      <c r="H55" s="481">
        <v>6564</v>
      </c>
      <c r="I55" s="467"/>
      <c r="J55" s="467"/>
      <c r="K55" s="1694">
        <f>SUM(C55:J55)</f>
        <v>478199</v>
      </c>
      <c r="L55" s="481">
        <v>516344</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353120</v>
      </c>
      <c r="D57" s="1696">
        <f t="shared" ref="D57:K57" si="6">SUM(D55:D56)</f>
        <v>115887</v>
      </c>
      <c r="E57" s="1696">
        <f t="shared" si="6"/>
        <v>2295</v>
      </c>
      <c r="F57" s="1696">
        <f t="shared" si="6"/>
        <v>333</v>
      </c>
      <c r="G57" s="1696">
        <f t="shared" si="6"/>
        <v>0</v>
      </c>
      <c r="H57" s="1696">
        <f t="shared" si="6"/>
        <v>6564</v>
      </c>
      <c r="I57" s="1696">
        <f t="shared" si="6"/>
        <v>0</v>
      </c>
      <c r="J57" s="1696">
        <f t="shared" si="6"/>
        <v>0</v>
      </c>
      <c r="K57" s="1696">
        <f t="shared" si="6"/>
        <v>478199</v>
      </c>
      <c r="L57" s="1692">
        <f>SUM(L55:L56)</f>
        <v>516344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95099</v>
      </c>
      <c r="D60" s="466">
        <v>36628</v>
      </c>
      <c r="E60" s="466">
        <v>35808</v>
      </c>
      <c r="F60" s="466">
        <v>1309</v>
      </c>
      <c r="G60" s="466"/>
      <c r="H60" s="466">
        <v>4864</v>
      </c>
      <c r="I60" s="467"/>
      <c r="J60" s="467"/>
      <c r="K60" s="1694">
        <f t="shared" si="7"/>
        <v>173708</v>
      </c>
      <c r="L60" s="466">
        <v>213950</v>
      </c>
      <c r="M60" s="610"/>
      <c r="N60" s="610"/>
    </row>
    <row r="61" spans="1:14" s="343" customFormat="1" x14ac:dyDescent="0.2">
      <c r="A61" s="1526" t="s">
        <v>206</v>
      </c>
      <c r="B61" s="615">
        <v>2540</v>
      </c>
      <c r="C61" s="466"/>
      <c r="D61" s="466"/>
      <c r="E61" s="466">
        <v>64563</v>
      </c>
      <c r="F61" s="466"/>
      <c r="G61" s="466"/>
      <c r="H61" s="466"/>
      <c r="I61" s="467"/>
      <c r="J61" s="467"/>
      <c r="K61" s="1694">
        <f t="shared" si="7"/>
        <v>64563</v>
      </c>
      <c r="L61" s="466">
        <v>105100</v>
      </c>
      <c r="M61" s="610"/>
      <c r="N61" s="610"/>
    </row>
    <row r="62" spans="1:14" s="343" customFormat="1" x14ac:dyDescent="0.2">
      <c r="A62" s="1526" t="s">
        <v>1010</v>
      </c>
      <c r="B62" s="615">
        <v>2550</v>
      </c>
      <c r="C62" s="466"/>
      <c r="D62" s="466"/>
      <c r="E62" s="466"/>
      <c r="F62" s="466"/>
      <c r="G62" s="466"/>
      <c r="H62" s="466"/>
      <c r="I62" s="467"/>
      <c r="J62" s="467"/>
      <c r="K62" s="1694">
        <f t="shared" si="7"/>
        <v>0</v>
      </c>
      <c r="L62" s="466">
        <v>20000</v>
      </c>
      <c r="M62" s="610"/>
      <c r="N62" s="610"/>
    </row>
    <row r="63" spans="1:14" s="610" customFormat="1" x14ac:dyDescent="0.2">
      <c r="A63" s="1526" t="s">
        <v>102</v>
      </c>
      <c r="B63" s="615">
        <v>2560</v>
      </c>
      <c r="C63" s="466"/>
      <c r="D63" s="466"/>
      <c r="E63" s="466">
        <v>410573</v>
      </c>
      <c r="F63" s="466">
        <v>9313</v>
      </c>
      <c r="G63" s="466"/>
      <c r="H63" s="466"/>
      <c r="I63" s="467"/>
      <c r="J63" s="467"/>
      <c r="K63" s="1694">
        <f t="shared" si="7"/>
        <v>419886</v>
      </c>
      <c r="L63" s="466">
        <v>426100</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95099</v>
      </c>
      <c r="D65" s="1692">
        <f t="shared" ref="D65:L65" si="8">SUM(D59:D64)</f>
        <v>36628</v>
      </c>
      <c r="E65" s="1692">
        <f t="shared" si="8"/>
        <v>510944</v>
      </c>
      <c r="F65" s="1692">
        <f t="shared" si="8"/>
        <v>10622</v>
      </c>
      <c r="G65" s="1692">
        <f t="shared" si="8"/>
        <v>0</v>
      </c>
      <c r="H65" s="1692">
        <f t="shared" si="8"/>
        <v>4864</v>
      </c>
      <c r="I65" s="1692">
        <f t="shared" si="8"/>
        <v>0</v>
      </c>
      <c r="J65" s="1692">
        <f t="shared" si="8"/>
        <v>0</v>
      </c>
      <c r="K65" s="1692">
        <f t="shared" si="8"/>
        <v>658157</v>
      </c>
      <c r="L65" s="1692">
        <f t="shared" si="8"/>
        <v>765150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v>19418</v>
      </c>
      <c r="D73" s="573"/>
      <c r="E73" s="573"/>
      <c r="F73" s="573"/>
      <c r="G73" s="573"/>
      <c r="H73" s="573"/>
      <c r="I73" s="531"/>
      <c r="J73" s="531"/>
      <c r="K73" s="1692">
        <f>SUM(C73:J73)</f>
        <v>19418</v>
      </c>
      <c r="L73" s="576">
        <v>20250</v>
      </c>
      <c r="M73" s="610"/>
      <c r="N73" s="610"/>
    </row>
    <row r="74" spans="1:14" ht="12.75" customHeight="1" thickTop="1" thickBot="1" x14ac:dyDescent="0.25">
      <c r="A74" s="1690" t="s">
        <v>865</v>
      </c>
      <c r="B74" s="1698">
        <v>2000</v>
      </c>
      <c r="C74" s="1699">
        <f>SUM(C42,C47,C53,C57,C65,C72,C73)</f>
        <v>1071890</v>
      </c>
      <c r="D74" s="1699">
        <f t="shared" ref="D74:K74" si="10">SUM(D42,D47,D53,D57,D65,D72,D73)</f>
        <v>309319</v>
      </c>
      <c r="E74" s="1699">
        <f t="shared" si="10"/>
        <v>604966</v>
      </c>
      <c r="F74" s="1699">
        <f t="shared" si="10"/>
        <v>37667</v>
      </c>
      <c r="G74" s="1699">
        <f t="shared" si="10"/>
        <v>729</v>
      </c>
      <c r="H74" s="1699">
        <f t="shared" si="10"/>
        <v>28422</v>
      </c>
      <c r="I74" s="1699">
        <f t="shared" si="10"/>
        <v>0</v>
      </c>
      <c r="J74" s="1699">
        <f t="shared" si="10"/>
        <v>0</v>
      </c>
      <c r="K74" s="1699">
        <f t="shared" si="10"/>
        <v>2052993</v>
      </c>
      <c r="L74" s="1699">
        <f>SUM(L42,L47,L53,L57,L65,L72,L73)</f>
        <v>2358646</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1000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v>273956</v>
      </c>
      <c r="F79" s="617"/>
      <c r="G79" s="617"/>
      <c r="H79" s="466"/>
      <c r="I79" s="477"/>
      <c r="J79" s="477"/>
      <c r="K79" s="1693">
        <f t="shared" si="11"/>
        <v>273956</v>
      </c>
      <c r="L79" s="466">
        <v>351743</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v>829543</v>
      </c>
      <c r="F81" s="617"/>
      <c r="G81" s="617"/>
      <c r="H81" s="466"/>
      <c r="I81" s="477"/>
      <c r="J81" s="477"/>
      <c r="K81" s="1693">
        <f t="shared" si="11"/>
        <v>829543</v>
      </c>
      <c r="L81" s="466">
        <v>836010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v>4234</v>
      </c>
      <c r="F83" s="617"/>
      <c r="G83" s="617"/>
      <c r="H83" s="466"/>
      <c r="I83" s="477"/>
      <c r="J83" s="477"/>
      <c r="K83" s="1693">
        <f t="shared" si="11"/>
        <v>4234</v>
      </c>
      <c r="L83" s="466">
        <v>57934</v>
      </c>
    </row>
    <row r="84" spans="1:12" ht="13.5" thickBot="1" x14ac:dyDescent="0.25">
      <c r="A84" s="1690" t="s">
        <v>1565</v>
      </c>
      <c r="B84" s="1700">
        <v>4100</v>
      </c>
      <c r="C84" s="617"/>
      <c r="D84" s="617"/>
      <c r="E84" s="1692">
        <f>SUM(E78:E83)</f>
        <v>1107733</v>
      </c>
      <c r="F84" s="617"/>
      <c r="G84" s="617"/>
      <c r="H84" s="1692">
        <f>SUM(H78:H83)</f>
        <v>0</v>
      </c>
      <c r="I84" s="477"/>
      <c r="J84" s="477"/>
      <c r="K84" s="1692">
        <f>SUM(K78:K83)</f>
        <v>1107733</v>
      </c>
      <c r="L84" s="1692">
        <f>SUM(L78:L83)</f>
        <v>1245687</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v>117037</v>
      </c>
      <c r="I86" s="477"/>
      <c r="J86" s="477"/>
      <c r="K86" s="1699">
        <f t="shared" ref="K86:K98" si="12">H86</f>
        <v>117037</v>
      </c>
      <c r="L86" s="530">
        <v>66000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117037</v>
      </c>
      <c r="I92" s="477"/>
      <c r="J92" s="477"/>
      <c r="K92" s="1699">
        <f t="shared" si="12"/>
        <v>117037</v>
      </c>
      <c r="L92" s="1692">
        <f>SUM(L85:L91)</f>
        <v>66000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1107733</v>
      </c>
      <c r="F102" s="617"/>
      <c r="G102" s="617"/>
      <c r="H102" s="1699">
        <f>SUM(H84,H92,H100,H101)</f>
        <v>117037</v>
      </c>
      <c r="I102" s="477"/>
      <c r="J102" s="477"/>
      <c r="K102" s="1699">
        <f>SUM(K84,K92,K100,K101)</f>
        <v>1224770</v>
      </c>
      <c r="L102" s="1699">
        <f>SUM(L84,L92,L100,L101)</f>
        <v>1311687</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5679511</v>
      </c>
      <c r="D114" s="1692">
        <f t="shared" ref="D114:K114" si="13">SUM(D33,D74,D75,D102,D112,D113)</f>
        <v>1500197</v>
      </c>
      <c r="E114" s="1692">
        <f t="shared" si="13"/>
        <v>1825616</v>
      </c>
      <c r="F114" s="1692">
        <f t="shared" si="13"/>
        <v>280760</v>
      </c>
      <c r="G114" s="1692">
        <f t="shared" si="13"/>
        <v>160094</v>
      </c>
      <c r="H114" s="1692">
        <f>SUM(H33,H74,H75,H102,H112,H113)</f>
        <v>215274</v>
      </c>
      <c r="I114" s="1692">
        <f t="shared" si="13"/>
        <v>0</v>
      </c>
      <c r="J114" s="1692">
        <f t="shared" si="13"/>
        <v>0</v>
      </c>
      <c r="K114" s="1692">
        <f t="shared" si="13"/>
        <v>9661452</v>
      </c>
      <c r="L114" s="1692">
        <f>SUM(L33,L74,L75,L102,L112,L113)</f>
        <v>10800092</v>
      </c>
    </row>
    <row r="115" spans="1:14" ht="13.5" thickTop="1" x14ac:dyDescent="0.2">
      <c r="A115" s="2200" t="s">
        <v>1053</v>
      </c>
      <c r="B115" s="2201"/>
      <c r="C115" s="619"/>
      <c r="D115" s="619"/>
      <c r="E115" s="619"/>
      <c r="F115" s="619"/>
      <c r="G115" s="619"/>
      <c r="H115" s="619"/>
      <c r="I115" s="619"/>
      <c r="J115" s="619"/>
      <c r="K115" s="1706">
        <f>'Revenues 9-14'!C275-'Expenditures 15-22'!K114</f>
        <v>-99357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v>5930</v>
      </c>
      <c r="G123" s="466">
        <v>36753</v>
      </c>
      <c r="H123" s="466">
        <v>19254</v>
      </c>
      <c r="I123" s="467"/>
      <c r="J123" s="467"/>
      <c r="K123" s="1692">
        <f>SUM(C123:J123)</f>
        <v>61937</v>
      </c>
      <c r="L123" s="466">
        <v>65000</v>
      </c>
    </row>
    <row r="124" spans="1:14" ht="14.25" thickTop="1" thickBot="1" x14ac:dyDescent="0.25">
      <c r="A124" s="1526" t="s">
        <v>206</v>
      </c>
      <c r="B124" s="615">
        <v>2540</v>
      </c>
      <c r="C124" s="466">
        <v>336263</v>
      </c>
      <c r="D124" s="466">
        <v>105582</v>
      </c>
      <c r="E124" s="466">
        <v>94620</v>
      </c>
      <c r="F124" s="466">
        <v>473605</v>
      </c>
      <c r="G124" s="466">
        <v>48527</v>
      </c>
      <c r="H124" s="466">
        <v>7172</v>
      </c>
      <c r="I124" s="467"/>
      <c r="J124" s="467"/>
      <c r="K124" s="1692">
        <f>SUM(C124:J124)</f>
        <v>1065769</v>
      </c>
      <c r="L124" s="466">
        <v>1150000</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336263</v>
      </c>
      <c r="D127" s="1692">
        <f t="shared" ref="D127:L127" si="14">SUM(D122:D126)</f>
        <v>105582</v>
      </c>
      <c r="E127" s="1692">
        <f t="shared" si="14"/>
        <v>94620</v>
      </c>
      <c r="F127" s="1692">
        <f t="shared" si="14"/>
        <v>479535</v>
      </c>
      <c r="G127" s="1692">
        <f t="shared" si="14"/>
        <v>85280</v>
      </c>
      <c r="H127" s="1692">
        <f t="shared" si="14"/>
        <v>26426</v>
      </c>
      <c r="I127" s="1692">
        <f t="shared" si="14"/>
        <v>0</v>
      </c>
      <c r="J127" s="1692">
        <f t="shared" si="14"/>
        <v>0</v>
      </c>
      <c r="K127" s="1692">
        <f t="shared" si="14"/>
        <v>1127706</v>
      </c>
      <c r="L127" s="1692">
        <f t="shared" si="14"/>
        <v>1215000</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336263</v>
      </c>
      <c r="D129" s="1699">
        <f t="shared" ref="D129:L129" si="15">SUM(D120,D127,D128)</f>
        <v>105582</v>
      </c>
      <c r="E129" s="1699">
        <f t="shared" si="15"/>
        <v>94620</v>
      </c>
      <c r="F129" s="1699">
        <f t="shared" si="15"/>
        <v>479535</v>
      </c>
      <c r="G129" s="1699">
        <f t="shared" si="15"/>
        <v>85280</v>
      </c>
      <c r="H129" s="1699">
        <f t="shared" si="15"/>
        <v>26426</v>
      </c>
      <c r="I129" s="1699">
        <f t="shared" si="15"/>
        <v>0</v>
      </c>
      <c r="J129" s="1699">
        <f t="shared" si="15"/>
        <v>0</v>
      </c>
      <c r="K129" s="1699">
        <f t="shared" si="15"/>
        <v>1127706</v>
      </c>
      <c r="L129" s="1699">
        <f t="shared" si="15"/>
        <v>1215000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0" t="s">
        <v>641</v>
      </c>
      <c r="B151" s="2172"/>
      <c r="C151" s="1692">
        <f>SUM(C129,C130,C139,C149,C150)</f>
        <v>336263</v>
      </c>
      <c r="D151" s="1692">
        <f t="shared" ref="D151:K151" si="16">SUM(D129,D130,D139,D149,D150)</f>
        <v>105582</v>
      </c>
      <c r="E151" s="1692">
        <f t="shared" si="16"/>
        <v>94620</v>
      </c>
      <c r="F151" s="1692">
        <f t="shared" si="16"/>
        <v>479535</v>
      </c>
      <c r="G151" s="1692">
        <f t="shared" si="16"/>
        <v>85280</v>
      </c>
      <c r="H151" s="1692">
        <f t="shared" si="16"/>
        <v>26426</v>
      </c>
      <c r="I151" s="1692">
        <f t="shared" si="16"/>
        <v>0</v>
      </c>
      <c r="J151" s="1692">
        <f t="shared" si="16"/>
        <v>0</v>
      </c>
      <c r="K151" s="1692">
        <f t="shared" si="16"/>
        <v>1127706</v>
      </c>
      <c r="L151" s="1692">
        <f>SUM(L129,L130,L139,L149,L150)</f>
        <v>1215000</v>
      </c>
    </row>
    <row r="152" spans="1:14" ht="12.75" customHeight="1" thickTop="1" x14ac:dyDescent="0.2">
      <c r="A152" s="2193" t="s">
        <v>1240</v>
      </c>
      <c r="B152" s="2194"/>
      <c r="C152" s="619"/>
      <c r="D152" s="619"/>
      <c r="E152" s="619"/>
      <c r="F152" s="619"/>
      <c r="G152" s="619"/>
      <c r="H152" s="619"/>
      <c r="I152" s="619"/>
      <c r="J152" s="617"/>
      <c r="K152" s="1706">
        <f>'Revenues 9-14'!D275-'Expenditures 15-22'!K151</f>
        <v>64741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425000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425000</v>
      </c>
    </row>
    <row r="169" spans="1:14" ht="15.75" customHeight="1" thickTop="1" x14ac:dyDescent="0.2">
      <c r="A169" s="670" t="s">
        <v>85</v>
      </c>
      <c r="B169" s="671" t="s">
        <v>38</v>
      </c>
      <c r="C169" s="617"/>
      <c r="D169" s="617"/>
      <c r="E169" s="617"/>
      <c r="F169" s="617"/>
      <c r="G169" s="617"/>
      <c r="H169" s="657">
        <v>425700</v>
      </c>
      <c r="I169" s="617"/>
      <c r="J169" s="617"/>
      <c r="K169" s="1693">
        <f>SUM(C169:H169)</f>
        <v>425700</v>
      </c>
      <c r="L169" s="657">
        <v>0</v>
      </c>
    </row>
    <row r="170" spans="1:14" ht="33.75" customHeight="1" x14ac:dyDescent="0.2">
      <c r="A170" s="670" t="s">
        <v>1769</v>
      </c>
      <c r="B170" s="672" t="s">
        <v>31</v>
      </c>
      <c r="C170" s="617"/>
      <c r="D170" s="617"/>
      <c r="E170" s="617"/>
      <c r="F170" s="617"/>
      <c r="G170" s="617"/>
      <c r="H170" s="569">
        <v>1030000</v>
      </c>
      <c r="I170" s="617"/>
      <c r="J170" s="617"/>
      <c r="K170" s="1693">
        <f>SUM(C170:J170)</f>
        <v>1030000</v>
      </c>
      <c r="L170" s="569">
        <v>1030000</v>
      </c>
    </row>
    <row r="171" spans="1:14" ht="15.75" customHeight="1" x14ac:dyDescent="0.2">
      <c r="A171" s="622" t="s">
        <v>790</v>
      </c>
      <c r="B171" s="673" t="s">
        <v>86</v>
      </c>
      <c r="C171" s="617"/>
      <c r="D171" s="617"/>
      <c r="E171" s="466"/>
      <c r="F171" s="617"/>
      <c r="G171" s="617"/>
      <c r="H171" s="569"/>
      <c r="I171" s="477"/>
      <c r="J171" s="617"/>
      <c r="K171" s="1693">
        <f>SUM(C171:J171)</f>
        <v>0</v>
      </c>
      <c r="L171" s="569">
        <v>2900</v>
      </c>
    </row>
    <row r="172" spans="1:14" ht="12.75" customHeight="1" thickBot="1" x14ac:dyDescent="0.25">
      <c r="A172" s="1690" t="s">
        <v>659</v>
      </c>
      <c r="B172" s="1691" t="s">
        <v>513</v>
      </c>
      <c r="C172" s="617"/>
      <c r="D172" s="617"/>
      <c r="E172" s="1699">
        <f>SUM(E168,E169,E170,E171)</f>
        <v>0</v>
      </c>
      <c r="F172" s="617"/>
      <c r="G172" s="617"/>
      <c r="H172" s="1699">
        <f>SUM(H168,H169,H170,H171)</f>
        <v>1455700</v>
      </c>
      <c r="I172" s="639"/>
      <c r="J172" s="617"/>
      <c r="K172" s="1699">
        <f>SUM(K168,K169,K170,K171)</f>
        <v>1455700</v>
      </c>
      <c r="L172" s="1699">
        <f>SUM(L168,L169,L170,L171)</f>
        <v>1457900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1455700</v>
      </c>
      <c r="I174" s="639"/>
      <c r="J174" s="617"/>
      <c r="K174" s="1699">
        <f>SUM(K160,K172,K173)</f>
        <v>1455700</v>
      </c>
      <c r="L174" s="1699">
        <f>SUM(L160,L172,L173)</f>
        <v>1457900</v>
      </c>
    </row>
    <row r="175" spans="1:14" ht="13.5" thickTop="1" x14ac:dyDescent="0.2">
      <c r="A175" s="2200" t="s">
        <v>1053</v>
      </c>
      <c r="B175" s="2201"/>
      <c r="C175" s="617"/>
      <c r="D175" s="617"/>
      <c r="E175" s="617"/>
      <c r="F175" s="617"/>
      <c r="G175" s="617"/>
      <c r="H175" s="619"/>
      <c r="I175" s="617"/>
      <c r="J175" s="617"/>
      <c r="K175" s="1706">
        <f>'Revenues 9-14'!E275-'Expenditures 15-22'!K174</f>
        <v>11730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799286</v>
      </c>
      <c r="D182" s="466">
        <v>23161</v>
      </c>
      <c r="E182" s="466">
        <v>25233</v>
      </c>
      <c r="F182" s="466">
        <v>132340</v>
      </c>
      <c r="G182" s="466">
        <v>233318</v>
      </c>
      <c r="H182" s="466">
        <v>36666</v>
      </c>
      <c r="I182" s="467"/>
      <c r="J182" s="467"/>
      <c r="K182" s="1693">
        <f>SUM(C182:J182)</f>
        <v>1250004</v>
      </c>
      <c r="L182" s="466">
        <v>1275950</v>
      </c>
    </row>
    <row r="183" spans="1:14" ht="12.75" customHeight="1" thickBot="1" x14ac:dyDescent="0.25">
      <c r="A183" s="1531" t="s">
        <v>1037</v>
      </c>
      <c r="B183" s="678">
        <v>2900</v>
      </c>
      <c r="C183" s="573"/>
      <c r="D183" s="573"/>
      <c r="E183" s="573"/>
      <c r="F183" s="573"/>
      <c r="G183" s="573"/>
      <c r="H183" s="573"/>
      <c r="I183" s="532"/>
      <c r="J183" s="532"/>
      <c r="K183" s="1699">
        <f>SUM(C183:J183)</f>
        <v>0</v>
      </c>
      <c r="L183" s="573">
        <v>45000</v>
      </c>
    </row>
    <row r="184" spans="1:14" ht="12.75" customHeight="1" thickTop="1" thickBot="1" x14ac:dyDescent="0.25">
      <c r="A184" s="1713" t="s">
        <v>865</v>
      </c>
      <c r="B184" s="1691" t="s">
        <v>590</v>
      </c>
      <c r="C184" s="1699">
        <f>SUM(C180,C182,C183)</f>
        <v>799286</v>
      </c>
      <c r="D184" s="1699">
        <f t="shared" ref="D184:J184" si="17">SUM(D180,D182,D183)</f>
        <v>23161</v>
      </c>
      <c r="E184" s="1699">
        <f t="shared" si="17"/>
        <v>25233</v>
      </c>
      <c r="F184" s="1699">
        <f t="shared" si="17"/>
        <v>132340</v>
      </c>
      <c r="G184" s="1699">
        <f t="shared" si="17"/>
        <v>233318</v>
      </c>
      <c r="H184" s="1699">
        <f t="shared" si="17"/>
        <v>36666</v>
      </c>
      <c r="I184" s="1699">
        <f t="shared" si="17"/>
        <v>0</v>
      </c>
      <c r="J184" s="1699">
        <f t="shared" si="17"/>
        <v>0</v>
      </c>
      <c r="K184" s="1699">
        <f>SUM(K180,K182,K183)</f>
        <v>1250004</v>
      </c>
      <c r="L184" s="1699">
        <f>SUM(L180, L182:L183)</f>
        <v>1320950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v>20029</v>
      </c>
      <c r="F189" s="617"/>
      <c r="G189" s="617"/>
      <c r="H189" s="466"/>
      <c r="I189" s="477"/>
      <c r="J189" s="617"/>
      <c r="K189" s="1693">
        <f t="shared" si="18"/>
        <v>20029</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20029</v>
      </c>
      <c r="F194" s="617"/>
      <c r="G194" s="617"/>
      <c r="H194" s="1692">
        <f>SUM(H188:H193)</f>
        <v>0</v>
      </c>
      <c r="I194" s="477"/>
      <c r="J194" s="617"/>
      <c r="K194" s="1692">
        <f>SUM(K188:K193)</f>
        <v>20029</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20029</v>
      </c>
      <c r="F196" s="617"/>
      <c r="G196" s="617"/>
      <c r="H196" s="1699">
        <f>SUM(H194,H195)</f>
        <v>0</v>
      </c>
      <c r="I196" s="477"/>
      <c r="J196" s="617"/>
      <c r="K196" s="1699">
        <f>SUM(K194,K195)</f>
        <v>20029</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799286</v>
      </c>
      <c r="D210" s="1692">
        <f>SUM(D184,D185)</f>
        <v>23161</v>
      </c>
      <c r="E210" s="1692">
        <f>SUM(E184,E185,E196)</f>
        <v>45262</v>
      </c>
      <c r="F210" s="1692">
        <f>SUM(F184,F185)</f>
        <v>132340</v>
      </c>
      <c r="G210" s="1692">
        <f>SUM(G184,G185)</f>
        <v>233318</v>
      </c>
      <c r="H210" s="1692">
        <f>SUM(H184,H185,H196,H208,H209)</f>
        <v>36666</v>
      </c>
      <c r="I210" s="1692">
        <f>SUM(I184,I185)</f>
        <v>0</v>
      </c>
      <c r="J210" s="1692">
        <f>SUM(J184,J185)</f>
        <v>0</v>
      </c>
      <c r="K210" s="1693">
        <f>SUM(K184,K185,K196,K208,K209)</f>
        <v>1270033</v>
      </c>
      <c r="L210" s="1692">
        <f>SUM(L184,L185,L196,L208,L209)</f>
        <v>1320950</v>
      </c>
    </row>
    <row r="211" spans="1:14" ht="13.5" thickTop="1" x14ac:dyDescent="0.2">
      <c r="A211" s="2200" t="s">
        <v>1053</v>
      </c>
      <c r="B211" s="2201"/>
      <c r="C211" s="619"/>
      <c r="D211" s="619"/>
      <c r="E211" s="619"/>
      <c r="F211" s="619"/>
      <c r="G211" s="619"/>
      <c r="H211" s="619"/>
      <c r="I211" s="617"/>
      <c r="J211" s="617"/>
      <c r="K211" s="1706">
        <f>'Revenues 9-14'!F275-'Expenditures 15-22'!K210</f>
        <v>90899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66017</v>
      </c>
      <c r="E215" s="617"/>
      <c r="F215" s="617"/>
      <c r="G215" s="617"/>
      <c r="H215" s="617"/>
      <c r="I215" s="617"/>
      <c r="J215" s="617"/>
      <c r="K215" s="1693">
        <f>D215</f>
        <v>66017</v>
      </c>
      <c r="L215" s="466">
        <v>66400</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v>58407</v>
      </c>
      <c r="E217" s="617"/>
      <c r="F217" s="617"/>
      <c r="G217" s="617"/>
      <c r="H217" s="617"/>
      <c r="I217" s="617"/>
      <c r="J217" s="617"/>
      <c r="K217" s="1693">
        <f t="shared" si="19"/>
        <v>58407</v>
      </c>
      <c r="L217" s="466">
        <v>62300</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v>3306</v>
      </c>
      <c r="E219" s="617"/>
      <c r="F219" s="617"/>
      <c r="G219" s="617"/>
      <c r="H219" s="617"/>
      <c r="I219" s="617"/>
      <c r="J219" s="617"/>
      <c r="K219" s="1693">
        <f t="shared" si="19"/>
        <v>3306</v>
      </c>
      <c r="L219" s="466">
        <v>5700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v>23160</v>
      </c>
      <c r="E223" s="617"/>
      <c r="F223" s="617"/>
      <c r="G223" s="617"/>
      <c r="H223" s="617"/>
      <c r="I223" s="617"/>
      <c r="J223" s="617"/>
      <c r="K223" s="1693">
        <f t="shared" si="19"/>
        <v>23160</v>
      </c>
      <c r="L223" s="466">
        <v>26325</v>
      </c>
    </row>
    <row r="224" spans="1:14" x14ac:dyDescent="0.2">
      <c r="A224" s="1526" t="s">
        <v>1021</v>
      </c>
      <c r="B224" s="615">
        <v>1600</v>
      </c>
      <c r="C224" s="617"/>
      <c r="D224" s="466">
        <v>759</v>
      </c>
      <c r="E224" s="617"/>
      <c r="F224" s="617"/>
      <c r="G224" s="617"/>
      <c r="H224" s="617"/>
      <c r="I224" s="617"/>
      <c r="J224" s="617"/>
      <c r="K224" s="1693">
        <f t="shared" si="19"/>
        <v>759</v>
      </c>
      <c r="L224" s="466">
        <v>1350</v>
      </c>
    </row>
    <row r="225" spans="1:12" x14ac:dyDescent="0.2">
      <c r="A225" s="1526" t="s">
        <v>1044</v>
      </c>
      <c r="B225" s="615">
        <v>1650</v>
      </c>
      <c r="C225" s="617"/>
      <c r="D225" s="466"/>
      <c r="E225" s="617"/>
      <c r="F225" s="617"/>
      <c r="G225" s="617"/>
      <c r="H225" s="617"/>
      <c r="I225" s="617"/>
      <c r="J225" s="617"/>
      <c r="K225" s="1693">
        <f t="shared" si="19"/>
        <v>0</v>
      </c>
      <c r="L225" s="466">
        <v>1300</v>
      </c>
    </row>
    <row r="226" spans="1:12" x14ac:dyDescent="0.2">
      <c r="A226" s="1526" t="s">
        <v>748</v>
      </c>
      <c r="B226" s="615" t="s">
        <v>164</v>
      </c>
      <c r="C226" s="617"/>
      <c r="D226" s="467">
        <v>1471</v>
      </c>
      <c r="E226" s="617"/>
      <c r="F226" s="617"/>
      <c r="G226" s="617"/>
      <c r="H226" s="617"/>
      <c r="I226" s="617"/>
      <c r="J226" s="617"/>
      <c r="K226" s="1693">
        <f t="shared" si="19"/>
        <v>1471</v>
      </c>
      <c r="L226" s="466">
        <v>0</v>
      </c>
    </row>
    <row r="227" spans="1:12" x14ac:dyDescent="0.2">
      <c r="A227" s="1526" t="s">
        <v>1148</v>
      </c>
      <c r="B227" s="615">
        <v>1800</v>
      </c>
      <c r="C227" s="617"/>
      <c r="D227" s="466"/>
      <c r="E227" s="617"/>
      <c r="F227" s="617"/>
      <c r="G227" s="617"/>
      <c r="H227" s="617"/>
      <c r="I227" s="617"/>
      <c r="J227" s="617"/>
      <c r="K227" s="1693">
        <f t="shared" si="19"/>
        <v>0</v>
      </c>
      <c r="L227" s="466">
        <v>350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153120</v>
      </c>
      <c r="E229" s="617"/>
      <c r="F229" s="617"/>
      <c r="G229" s="617"/>
      <c r="H229" s="617"/>
      <c r="I229" s="617"/>
      <c r="J229" s="617"/>
      <c r="K229" s="1692">
        <f>SUM(K215:K228)</f>
        <v>153120</v>
      </c>
      <c r="L229" s="1692">
        <f>SUM(L215:L228)</f>
        <v>163725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v>15332</v>
      </c>
      <c r="E233" s="617"/>
      <c r="F233" s="617"/>
      <c r="G233" s="617"/>
      <c r="H233" s="617"/>
      <c r="I233" s="617"/>
      <c r="J233" s="617"/>
      <c r="K233" s="1693">
        <f t="shared" si="20"/>
        <v>15332</v>
      </c>
      <c r="L233" s="466">
        <v>16500</v>
      </c>
    </row>
    <row r="234" spans="1:12" x14ac:dyDescent="0.2">
      <c r="A234" s="1526" t="s">
        <v>207</v>
      </c>
      <c r="B234" s="615">
        <v>2130</v>
      </c>
      <c r="C234" s="617"/>
      <c r="D234" s="466">
        <v>1267</v>
      </c>
      <c r="E234" s="617"/>
      <c r="F234" s="617"/>
      <c r="G234" s="617"/>
      <c r="H234" s="617"/>
      <c r="I234" s="617"/>
      <c r="J234" s="617"/>
      <c r="K234" s="1693">
        <f t="shared" si="20"/>
        <v>1267</v>
      </c>
      <c r="L234" s="466">
        <v>1650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16599</v>
      </c>
      <c r="E238" s="617"/>
      <c r="F238" s="617"/>
      <c r="G238" s="617"/>
      <c r="H238" s="617"/>
      <c r="I238" s="617"/>
      <c r="J238" s="617"/>
      <c r="K238" s="1692">
        <f>SUM(K232:K237)</f>
        <v>16599</v>
      </c>
      <c r="L238" s="1692">
        <f>SUM(L232:L237)</f>
        <v>18150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0</v>
      </c>
    </row>
    <row r="241" spans="1:12" x14ac:dyDescent="0.2">
      <c r="A241" s="1526" t="s">
        <v>869</v>
      </c>
      <c r="B241" s="615">
        <v>2220</v>
      </c>
      <c r="C241" s="617"/>
      <c r="D241" s="466">
        <v>5578</v>
      </c>
      <c r="E241" s="617"/>
      <c r="F241" s="617"/>
      <c r="G241" s="617"/>
      <c r="H241" s="617"/>
      <c r="I241" s="617"/>
      <c r="J241" s="617"/>
      <c r="K241" s="1694">
        <f>D241</f>
        <v>5578</v>
      </c>
      <c r="L241" s="466">
        <v>7000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5578</v>
      </c>
      <c r="E243" s="617"/>
      <c r="F243" s="617"/>
      <c r="G243" s="617"/>
      <c r="H243" s="617"/>
      <c r="I243" s="617"/>
      <c r="J243" s="617"/>
      <c r="K243" s="1692">
        <f>SUM(K240:K242)</f>
        <v>5578</v>
      </c>
      <c r="L243" s="1692">
        <f>SUM(L240:L242)</f>
        <v>7000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356</v>
      </c>
      <c r="E245" s="617"/>
      <c r="F245" s="617"/>
      <c r="G245" s="617"/>
      <c r="H245" s="617"/>
      <c r="I245" s="617"/>
      <c r="J245" s="617"/>
      <c r="K245" s="1694">
        <f>D245</f>
        <v>356</v>
      </c>
      <c r="L245" s="481">
        <v>405</v>
      </c>
    </row>
    <row r="246" spans="1:12" x14ac:dyDescent="0.2">
      <c r="A246" s="1526" t="s">
        <v>872</v>
      </c>
      <c r="B246" s="615">
        <v>2320</v>
      </c>
      <c r="C246" s="617"/>
      <c r="D246" s="466">
        <v>9740</v>
      </c>
      <c r="E246" s="617"/>
      <c r="F246" s="617"/>
      <c r="G246" s="617"/>
      <c r="H246" s="617"/>
      <c r="I246" s="617"/>
      <c r="J246" s="617"/>
      <c r="K246" s="1694">
        <f t="shared" ref="K246:K256" si="21">D246</f>
        <v>9740</v>
      </c>
      <c r="L246" s="466">
        <v>11700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v>29686</v>
      </c>
      <c r="E254" s="617"/>
      <c r="F254" s="617"/>
      <c r="G254" s="617"/>
      <c r="H254" s="617"/>
      <c r="I254" s="617"/>
      <c r="J254" s="617"/>
      <c r="K254" s="1694">
        <f t="shared" si="21"/>
        <v>29686</v>
      </c>
      <c r="L254" s="466">
        <v>36200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39782</v>
      </c>
      <c r="E257" s="617"/>
      <c r="F257" s="617"/>
      <c r="G257" s="617"/>
      <c r="H257" s="617"/>
      <c r="I257" s="617"/>
      <c r="J257" s="617"/>
      <c r="K257" s="1692">
        <f>SUM(K245:K256)</f>
        <v>39782</v>
      </c>
      <c r="L257" s="1692">
        <f>SUM(L245:L256)</f>
        <v>48305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24554</v>
      </c>
      <c r="E259" s="617"/>
      <c r="F259" s="617"/>
      <c r="G259" s="617"/>
      <c r="H259" s="617"/>
      <c r="I259" s="617"/>
      <c r="J259" s="617"/>
      <c r="K259" s="1694">
        <f>D259</f>
        <v>24554</v>
      </c>
      <c r="L259" s="481">
        <v>28750</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24554</v>
      </c>
      <c r="E261" s="617"/>
      <c r="F261" s="617"/>
      <c r="G261" s="617"/>
      <c r="H261" s="617"/>
      <c r="I261" s="617"/>
      <c r="J261" s="617"/>
      <c r="K261" s="1692">
        <f>SUM(K259:K260)</f>
        <v>24554</v>
      </c>
      <c r="L261" s="1692">
        <f>SUM(L259:L260)</f>
        <v>28750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v>3352</v>
      </c>
      <c r="E264" s="617"/>
      <c r="F264" s="617"/>
      <c r="G264" s="617"/>
      <c r="H264" s="617"/>
      <c r="I264" s="617"/>
      <c r="J264" s="617"/>
      <c r="K264" s="1694">
        <f t="shared" ref="K264:K269" si="22">D264</f>
        <v>3352</v>
      </c>
      <c r="L264" s="466">
        <v>3675</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85491</v>
      </c>
      <c r="E266" s="617"/>
      <c r="F266" s="617"/>
      <c r="G266" s="617"/>
      <c r="H266" s="617"/>
      <c r="I266" s="617"/>
      <c r="J266" s="617"/>
      <c r="K266" s="1694">
        <f t="shared" si="22"/>
        <v>85491</v>
      </c>
      <c r="L266" s="466">
        <v>95500</v>
      </c>
    </row>
    <row r="267" spans="1:14" x14ac:dyDescent="0.2">
      <c r="A267" s="1526" t="s">
        <v>1010</v>
      </c>
      <c r="B267" s="615">
        <v>2550</v>
      </c>
      <c r="C267" s="617"/>
      <c r="D267" s="466">
        <v>124386</v>
      </c>
      <c r="E267" s="617"/>
      <c r="F267" s="617"/>
      <c r="G267" s="617"/>
      <c r="H267" s="617"/>
      <c r="I267" s="617"/>
      <c r="J267" s="617"/>
      <c r="K267" s="1694">
        <f t="shared" si="22"/>
        <v>124386</v>
      </c>
      <c r="L267" s="466">
        <v>119000</v>
      </c>
    </row>
    <row r="268" spans="1:14" x14ac:dyDescent="0.2">
      <c r="A268" s="1526" t="s">
        <v>102</v>
      </c>
      <c r="B268" s="615">
        <v>2560</v>
      </c>
      <c r="C268" s="617"/>
      <c r="D268" s="466"/>
      <c r="E268" s="617"/>
      <c r="F268" s="617"/>
      <c r="G268" s="617"/>
      <c r="H268" s="617"/>
      <c r="I268" s="617"/>
      <c r="J268" s="617"/>
      <c r="K268" s="1694">
        <f t="shared" si="22"/>
        <v>0</v>
      </c>
      <c r="L268" s="466">
        <v>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213229</v>
      </c>
      <c r="E270" s="617"/>
      <c r="F270" s="617"/>
      <c r="G270" s="617"/>
      <c r="H270" s="617"/>
      <c r="I270" s="617"/>
      <c r="J270" s="617"/>
      <c r="K270" s="1692">
        <f>SUM(K263:K269)</f>
        <v>213229</v>
      </c>
      <c r="L270" s="1692">
        <f>SUM(L263:L269)</f>
        <v>218175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v>1482</v>
      </c>
      <c r="E278" s="617"/>
      <c r="F278" s="617"/>
      <c r="G278" s="617"/>
      <c r="H278" s="617"/>
      <c r="I278" s="617"/>
      <c r="J278" s="617"/>
      <c r="K278" s="1707">
        <f>D278</f>
        <v>1482</v>
      </c>
      <c r="L278" s="657">
        <v>1850</v>
      </c>
    </row>
    <row r="279" spans="1:12" ht="12.75" customHeight="1" thickBot="1" x14ac:dyDescent="0.25">
      <c r="A279" s="1720" t="s">
        <v>865</v>
      </c>
      <c r="B279" s="1703">
        <v>2000</v>
      </c>
      <c r="C279" s="617"/>
      <c r="D279" s="1699">
        <f>SUM(D238,D243,D257,D261,D270,D277,D278)</f>
        <v>301224</v>
      </c>
      <c r="E279" s="617"/>
      <c r="F279" s="617"/>
      <c r="G279" s="617"/>
      <c r="H279" s="617"/>
      <c r="I279" s="617"/>
      <c r="J279" s="617"/>
      <c r="K279" s="1699">
        <f>SUM(K238,K243,K257,K261,K270,K277,K278)</f>
        <v>301224</v>
      </c>
      <c r="L279" s="1699">
        <f>SUM(L238,L243,L257,L261,L270,L277,L278)</f>
        <v>322230</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1" t="s">
        <v>526</v>
      </c>
      <c r="B295" s="2192"/>
      <c r="C295" s="617"/>
      <c r="D295" s="1692">
        <f>SUM(D229,D279,D280,D285)</f>
        <v>454344</v>
      </c>
      <c r="E295" s="617"/>
      <c r="F295" s="617"/>
      <c r="G295" s="617"/>
      <c r="H295" s="1692">
        <f>H293</f>
        <v>0</v>
      </c>
      <c r="I295" s="617"/>
      <c r="J295" s="617"/>
      <c r="K295" s="1692">
        <f>SUM(K229,K279,K280,K285,K293,K294)</f>
        <v>454344</v>
      </c>
      <c r="L295" s="1692">
        <f>SUM(L229,L279,L280,L285,L293,L294)</f>
        <v>485955</v>
      </c>
    </row>
    <row r="296" spans="1:14" ht="13.5" thickTop="1" x14ac:dyDescent="0.2">
      <c r="A296" s="2200" t="s">
        <v>1053</v>
      </c>
      <c r="B296" s="2201"/>
      <c r="C296" s="617"/>
      <c r="D296" s="619"/>
      <c r="E296" s="617"/>
      <c r="F296" s="617"/>
      <c r="G296" s="617"/>
      <c r="H296" s="688"/>
      <c r="I296" s="617"/>
      <c r="J296" s="617"/>
      <c r="K296" s="1706">
        <f>'Revenues 9-14'!G275-'Expenditures 15-22'!K295</f>
        <v>-36089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4629</v>
      </c>
      <c r="F301" s="466"/>
      <c r="G301" s="466">
        <v>14587</v>
      </c>
      <c r="H301" s="466"/>
      <c r="I301" s="467"/>
      <c r="J301" s="467"/>
      <c r="K301" s="1693">
        <f>SUM(C301:J301)</f>
        <v>19216</v>
      </c>
      <c r="L301" s="467">
        <v>20000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4629</v>
      </c>
      <c r="F303" s="1699">
        <f t="shared" si="23"/>
        <v>0</v>
      </c>
      <c r="G303" s="1699">
        <f t="shared" si="23"/>
        <v>14587</v>
      </c>
      <c r="H303" s="1699">
        <f t="shared" si="23"/>
        <v>0</v>
      </c>
      <c r="I303" s="1699">
        <f t="shared" si="23"/>
        <v>0</v>
      </c>
      <c r="J303" s="1699">
        <f t="shared" si="23"/>
        <v>0</v>
      </c>
      <c r="K303" s="1699">
        <f t="shared" si="23"/>
        <v>19216</v>
      </c>
      <c r="L303" s="1699">
        <f t="shared" si="23"/>
        <v>20000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8" t="s">
        <v>295</v>
      </c>
      <c r="B312" s="2189"/>
      <c r="C312" s="1692">
        <f>SUM(C303)</f>
        <v>0</v>
      </c>
      <c r="D312" s="1692">
        <f>SUM(D303)</f>
        <v>0</v>
      </c>
      <c r="E312" s="1692">
        <f>SUM(E303,E310)</f>
        <v>4629</v>
      </c>
      <c r="F312" s="1692">
        <f>SUM(F303)</f>
        <v>0</v>
      </c>
      <c r="G312" s="1692">
        <f>SUM(G303)</f>
        <v>14587</v>
      </c>
      <c r="H312" s="1692">
        <f>SUM(H303,H310)</f>
        <v>0</v>
      </c>
      <c r="I312" s="1692">
        <f>SUM(I303)</f>
        <v>0</v>
      </c>
      <c r="J312" s="1692">
        <f>SUM(J303)</f>
        <v>0</v>
      </c>
      <c r="K312" s="1692">
        <f>SUM(K303,K310,K311)</f>
        <v>19216</v>
      </c>
      <c r="L312" s="1692">
        <f>SUM(L303,L310,L311)</f>
        <v>20000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-17716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v>0</v>
      </c>
      <c r="M322" s="666"/>
      <c r="N322" s="666"/>
    </row>
    <row r="323" spans="1:14" s="675" customFormat="1" x14ac:dyDescent="0.2">
      <c r="A323" s="1541" t="s">
        <v>726</v>
      </c>
      <c r="B323" s="698" t="s">
        <v>303</v>
      </c>
      <c r="C323" s="467"/>
      <c r="D323" s="467"/>
      <c r="E323" s="467">
        <v>181747</v>
      </c>
      <c r="F323" s="467"/>
      <c r="G323" s="467"/>
      <c r="H323" s="467"/>
      <c r="I323" s="467"/>
      <c r="J323" s="467"/>
      <c r="K323" s="1693">
        <f t="shared" si="24"/>
        <v>181747</v>
      </c>
      <c r="L323" s="467">
        <v>183700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v>740785</v>
      </c>
      <c r="D325" s="467"/>
      <c r="E325" s="467">
        <v>75744</v>
      </c>
      <c r="F325" s="467">
        <v>13701</v>
      </c>
      <c r="G325" s="467">
        <v>9474</v>
      </c>
      <c r="H325" s="467">
        <v>90044</v>
      </c>
      <c r="I325" s="467"/>
      <c r="J325" s="467"/>
      <c r="K325" s="1693">
        <f t="shared" si="24"/>
        <v>929748</v>
      </c>
      <c r="L325" s="467">
        <v>966990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740785</v>
      </c>
      <c r="D330" s="1692">
        <f t="shared" ref="D330:J330" si="25">SUM(D319:D329)</f>
        <v>0</v>
      </c>
      <c r="E330" s="1692">
        <f t="shared" si="25"/>
        <v>257491</v>
      </c>
      <c r="F330" s="1692">
        <f t="shared" si="25"/>
        <v>13701</v>
      </c>
      <c r="G330" s="1692">
        <f t="shared" si="25"/>
        <v>9474</v>
      </c>
      <c r="H330" s="1692">
        <f t="shared" si="25"/>
        <v>90044</v>
      </c>
      <c r="I330" s="1692">
        <f t="shared" si="25"/>
        <v>0</v>
      </c>
      <c r="J330" s="1692">
        <f t="shared" si="25"/>
        <v>0</v>
      </c>
      <c r="K330" s="1692">
        <f>SUM(K319:K329)</f>
        <v>1111495</v>
      </c>
      <c r="L330" s="1692">
        <f>SUM(L319:L329)</f>
        <v>1150690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740785</v>
      </c>
      <c r="D342" s="1692">
        <f>SUM(D330)</f>
        <v>0</v>
      </c>
      <c r="E342" s="1692">
        <f>SUM(E330)</f>
        <v>257491</v>
      </c>
      <c r="F342" s="1692">
        <f>SUM(F330)</f>
        <v>13701</v>
      </c>
      <c r="G342" s="1692">
        <f>SUM(G330)</f>
        <v>9474</v>
      </c>
      <c r="H342" s="1692">
        <f>SUM(H330,H334,H340)</f>
        <v>90044</v>
      </c>
      <c r="I342" s="1692">
        <f>SUM(I330)</f>
        <v>0</v>
      </c>
      <c r="J342" s="1692">
        <f>SUM(J330)</f>
        <v>0</v>
      </c>
      <c r="K342" s="1692">
        <f>SUM(K330,K334,K340)</f>
        <v>1111495</v>
      </c>
      <c r="L342" s="1699">
        <f>SUM(L330,L340,L341)</f>
        <v>1150690</v>
      </c>
    </row>
    <row r="343" spans="1:14" ht="12.75" customHeight="1" thickTop="1" x14ac:dyDescent="0.2">
      <c r="A343" s="2186" t="s">
        <v>1053</v>
      </c>
      <c r="B343" s="2187"/>
      <c r="C343" s="617"/>
      <c r="D343" s="617"/>
      <c r="E343" s="617"/>
      <c r="F343" s="617"/>
      <c r="G343" s="617"/>
      <c r="H343" s="617"/>
      <c r="I343" s="617"/>
      <c r="J343" s="617"/>
      <c r="K343" s="1706">
        <f>'Revenues 9-14'!J275-'Expenditures 15-22'!K342</f>
        <v>75660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54660</v>
      </c>
      <c r="H348" s="466"/>
      <c r="I348" s="467"/>
      <c r="J348" s="467"/>
      <c r="K348" s="1693">
        <f>SUM(C348:J348)</f>
        <v>54660</v>
      </c>
      <c r="L348" s="466">
        <v>65000</v>
      </c>
    </row>
    <row r="349" spans="1:14" x14ac:dyDescent="0.2">
      <c r="A349" s="1526" t="s">
        <v>206</v>
      </c>
      <c r="B349" s="615">
        <v>2540</v>
      </c>
      <c r="C349" s="466"/>
      <c r="D349" s="466"/>
      <c r="E349" s="466"/>
      <c r="F349" s="466"/>
      <c r="G349" s="466"/>
      <c r="H349" s="466"/>
      <c r="I349" s="467"/>
      <c r="J349" s="467"/>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54660</v>
      </c>
      <c r="H350" s="1692">
        <f t="shared" si="26"/>
        <v>0</v>
      </c>
      <c r="I350" s="1692">
        <f t="shared" si="26"/>
        <v>0</v>
      </c>
      <c r="J350" s="1692">
        <f t="shared" si="26"/>
        <v>0</v>
      </c>
      <c r="K350" s="1692">
        <f t="shared" si="26"/>
        <v>54660</v>
      </c>
      <c r="L350" s="1692">
        <f t="shared" si="26"/>
        <v>65000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54660</v>
      </c>
      <c r="H352" s="1692">
        <f t="shared" si="27"/>
        <v>0</v>
      </c>
      <c r="I352" s="1692">
        <f t="shared" si="27"/>
        <v>0</v>
      </c>
      <c r="J352" s="1692">
        <f t="shared" si="27"/>
        <v>0</v>
      </c>
      <c r="K352" s="1692">
        <f t="shared" si="27"/>
        <v>54660</v>
      </c>
      <c r="L352" s="1692">
        <f t="shared" si="27"/>
        <v>65000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54660</v>
      </c>
      <c r="H367" s="1692">
        <f t="shared" si="28"/>
        <v>0</v>
      </c>
      <c r="I367" s="1692">
        <f t="shared" si="28"/>
        <v>0</v>
      </c>
      <c r="J367" s="1692">
        <f t="shared" si="28"/>
        <v>0</v>
      </c>
      <c r="K367" s="1692">
        <f t="shared" si="28"/>
        <v>54660</v>
      </c>
      <c r="L367" s="1692">
        <f t="shared" si="28"/>
        <v>65000</v>
      </c>
    </row>
    <row r="368" spans="1:14" ht="13.5" thickTop="1" x14ac:dyDescent="0.2">
      <c r="A368" s="2200" t="s">
        <v>1053</v>
      </c>
      <c r="B368" s="2201"/>
      <c r="C368" s="655"/>
      <c r="D368" s="655"/>
      <c r="E368" s="627"/>
      <c r="F368" s="627"/>
      <c r="G368" s="627"/>
      <c r="H368" s="627"/>
      <c r="I368" s="627"/>
      <c r="J368" s="624"/>
      <c r="K368" s="1693">
        <f>'Revenues 9-14'!K275-'Expenditures 15-22'!K367</f>
        <v>-54610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21" fitToHeight="0" orientation="landscape" useFirstPageNumber="1" r:id="rId1"/>
  <headerFooter alignWithMargins="0">
    <oddHeader>&amp;C&amp;"Arial,Bold"&amp;9STATEMENT OF EXPENDITURES DISBURSED/EXPENDITURES, BUDGET TO ACTUAL
FOR THE YEAR ENDING JUNE 30, 2018</oddHeader>
    <oddFooter>&amp;CSee Accompanying Notes to Financial Statements.&amp;R&amp;P</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2018-12-10T15:29:39Z</cp:lastPrinted>
  <dcterms:created xsi:type="dcterms:W3CDTF">2003-10-29T19:06:34Z</dcterms:created>
  <dcterms:modified xsi:type="dcterms:W3CDTF">2018-12-14T14:44:17Z</dcterms:modified>
</cp:coreProperties>
</file>