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9" i="11" l="1"/>
  <c r="C9" i="11"/>
  <c r="H13" i="11"/>
  <c r="C13" i="11"/>
  <c r="C12" i="11"/>
  <c r="H12" i="11"/>
  <c r="I8" i="11"/>
  <c r="I9" i="11"/>
  <c r="H9" i="11"/>
  <c r="H8" i="11"/>
  <c r="C8" i="11"/>
  <c r="M19" i="3" l="1"/>
  <c r="D267" i="29" l="1"/>
  <c r="D266" i="29"/>
  <c r="D246" i="29"/>
  <c r="D215" i="29"/>
  <c r="H170" i="29"/>
  <c r="F124" i="29"/>
  <c r="F13" i="29"/>
  <c r="E50" i="29"/>
  <c r="C55" i="29"/>
  <c r="D5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D7762" i="106" s="1"/>
  <c r="K12" i="12"/>
  <c r="K23" i="12"/>
  <c r="J12" i="12"/>
  <c r="J21" i="12"/>
  <c r="J23" i="12" s="1"/>
  <c r="B7729" i="106"/>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B5286" i="106" s="1"/>
  <c r="D5286" i="106" s="1"/>
  <c r="C228" i="5"/>
  <c r="B5304" i="106" s="1"/>
  <c r="D5304" i="106" s="1"/>
  <c r="C259" i="5"/>
  <c r="B6833" i="106" s="1"/>
  <c r="D6833" i="106" s="1"/>
  <c r="B7761" i="106"/>
  <c r="L127" i="29"/>
  <c r="L129" i="29" s="1"/>
  <c r="L139" i="29"/>
  <c r="L149" i="29"/>
  <c r="I7" i="145"/>
  <c r="I6" i="145"/>
  <c r="D78" i="36"/>
  <c r="K75" i="29"/>
  <c r="K130" i="29"/>
  <c r="K185" i="29"/>
  <c r="F14" i="4" s="1"/>
  <c r="B2597" i="106" s="1"/>
  <c r="D2597" i="106" s="1"/>
  <c r="K122" i="29"/>
  <c r="F15" i="145" s="1"/>
  <c r="F19" i="145" s="1"/>
  <c r="K67" i="29"/>
  <c r="G33" i="108" s="1"/>
  <c r="K64" i="29"/>
  <c r="D31" i="108" s="1"/>
  <c r="K59" i="29"/>
  <c r="F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B6997" i="106" s="1"/>
  <c r="D6997" i="106" s="1"/>
  <c r="K94" i="29"/>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E27" i="108"/>
  <c r="G27" i="108"/>
  <c r="F31" i="108"/>
  <c r="F36" i="108"/>
  <c r="F37" i="108"/>
  <c r="G28" i="108"/>
  <c r="G29" i="108"/>
  <c r="E30" i="108"/>
  <c r="D37" i="108"/>
  <c r="E31" i="108"/>
  <c r="G31"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C38" i="34"/>
  <c r="D38" i="34"/>
  <c r="F38" i="34"/>
  <c r="C39" i="34"/>
  <c r="D39" i="34"/>
  <c r="C40" i="34"/>
  <c r="D40" i="34"/>
  <c r="C41" i="34"/>
  <c r="D41" i="34"/>
  <c r="F41" i="34"/>
  <c r="C42" i="34"/>
  <c r="D42" i="34"/>
  <c r="F42" i="34"/>
  <c r="C43" i="34"/>
  <c r="D43" i="34"/>
  <c r="C44" i="34"/>
  <c r="D44" i="34"/>
  <c r="C45" i="34"/>
  <c r="D45" i="34"/>
  <c r="C46" i="34"/>
  <c r="D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B2633" i="106"/>
  <c r="D2633" i="106" s="1"/>
  <c r="D7" i="118"/>
  <c r="D8" i="118"/>
  <c r="D9" i="118"/>
  <c r="H14" i="118"/>
  <c r="H19" i="118"/>
  <c r="H24" i="118"/>
  <c r="D4" i="7"/>
  <c r="B1760" i="106" s="1"/>
  <c r="D1760" i="106" s="1"/>
  <c r="B5752" i="106"/>
  <c r="D5752" i="106" s="1"/>
  <c r="D22" i="37" l="1"/>
  <c r="K24" i="12"/>
  <c r="B7733" i="106" s="1"/>
  <c r="D7733" i="106" s="1"/>
  <c r="B6289" i="106"/>
  <c r="D6289" i="106" s="1"/>
  <c r="G5" i="4"/>
  <c r="B3409" i="106" s="1"/>
  <c r="D3409" i="106" s="1"/>
  <c r="K26" i="12"/>
  <c r="B7743" i="106" s="1"/>
  <c r="D7743" i="106" s="1"/>
  <c r="D12" i="7"/>
  <c r="B1769" i="106" s="1"/>
  <c r="D1769" i="106" s="1"/>
  <c r="H33" i="118"/>
  <c r="H28" i="118"/>
  <c r="J22" i="37"/>
  <c r="D68" i="36"/>
  <c r="D5" i="4"/>
  <c r="B3406" i="106" s="1"/>
  <c r="D3406" i="106" s="1"/>
  <c r="F111" i="34"/>
  <c r="D9" i="7"/>
  <c r="B1767" i="106" s="1"/>
  <c r="D1767" i="106" s="1"/>
  <c r="J77" i="4"/>
  <c r="B6262" i="106" s="1"/>
  <c r="D6262" i="106" s="1"/>
  <c r="H76" i="4"/>
  <c r="B3298" i="106" s="1"/>
  <c r="D3298" i="106" s="1"/>
  <c r="B3647" i="106"/>
  <c r="D3647" i="106" s="1"/>
  <c r="D15" i="7"/>
  <c r="B1772" i="106" s="1"/>
  <c r="D1772" i="106" s="1"/>
  <c r="B5096" i="106"/>
  <c r="D5096" i="106" s="1"/>
  <c r="F106" i="34"/>
  <c r="F131" i="34"/>
  <c r="D6103" i="106"/>
  <c r="I24" i="12"/>
  <c r="F127" i="34"/>
  <c r="I274" i="5"/>
  <c r="B4435" i="106" s="1"/>
  <c r="D4435" i="106" s="1"/>
  <c r="F128" i="34"/>
  <c r="F77" i="4"/>
  <c r="B3255" i="106" s="1"/>
  <c r="D3255" i="106" s="1"/>
  <c r="B6261" i="106"/>
  <c r="D6261" i="106" s="1"/>
  <c r="L13" i="11"/>
  <c r="B2060" i="106" s="1"/>
  <c r="D2060" i="106" s="1"/>
  <c r="I342" i="29"/>
  <c r="B7222" i="106" s="1"/>
  <c r="D7222" i="106" s="1"/>
  <c r="L15" i="11"/>
  <c r="B3459" i="106" s="1"/>
  <c r="D3459" i="106" s="1"/>
  <c r="D11" i="7"/>
  <c r="B1768" i="106" s="1"/>
  <c r="D1768" i="106" s="1"/>
  <c r="B1746" i="106"/>
  <c r="D1746" i="106" s="1"/>
  <c r="B3619" i="106"/>
  <c r="D3619" i="106" s="1"/>
  <c r="J352" i="29"/>
  <c r="J367" i="29" s="1"/>
  <c r="B7245" i="106" s="1"/>
  <c r="D7245" i="106" s="1"/>
  <c r="L5" i="11"/>
  <c r="B2056" i="106" s="1"/>
  <c r="D2056" i="106" s="1"/>
  <c r="D24" i="37"/>
  <c r="B4270" i="106" s="1"/>
  <c r="D4270" i="106" s="1"/>
  <c r="F21" i="8"/>
  <c r="L22" i="37"/>
  <c r="N22" i="3"/>
  <c r="B283" i="106" s="1"/>
  <c r="D283" i="106" s="1"/>
  <c r="K41" i="3"/>
  <c r="D54" i="36"/>
  <c r="F19" i="7"/>
  <c r="B1807" i="106" s="1"/>
  <c r="D1807" i="106" s="1"/>
  <c r="F70" i="34"/>
  <c r="F46" i="34"/>
  <c r="G35" i="108"/>
  <c r="F28" i="108"/>
  <c r="I210" i="29"/>
  <c r="B7071" i="106" s="1"/>
  <c r="D7071" i="106" s="1"/>
  <c r="B2724" i="106"/>
  <c r="D2724" i="106" s="1"/>
  <c r="G39" i="108"/>
  <c r="D36" i="108"/>
  <c r="J210" i="29"/>
  <c r="B7072" i="106" s="1"/>
  <c r="D7072" i="106" s="1"/>
  <c r="F44" i="34"/>
  <c r="E35" i="108"/>
  <c r="G30" i="108"/>
  <c r="D26" i="108"/>
  <c r="C342" i="29"/>
  <c r="B7216" i="106" s="1"/>
  <c r="D7216" i="106" s="1"/>
  <c r="B2836" i="106"/>
  <c r="D2836" i="106" s="1"/>
  <c r="E15" i="145"/>
  <c r="G15" i="145" s="1"/>
  <c r="E38" i="108"/>
  <c r="E28" i="108"/>
  <c r="C14" i="4"/>
  <c r="B2558" i="106" s="1"/>
  <c r="D2558" i="106" s="1"/>
  <c r="F52" i="34"/>
  <c r="B7078" i="106"/>
  <c r="D7078" i="106" s="1"/>
  <c r="B7074" i="106"/>
  <c r="D7074" i="106" s="1"/>
  <c r="L342" i="29"/>
  <c r="F66" i="34"/>
  <c r="F45" i="34"/>
  <c r="F36" i="34"/>
  <c r="E33" i="108"/>
  <c r="H342" i="29"/>
  <c r="B7221" i="106" s="1"/>
  <c r="D7221" i="106" s="1"/>
  <c r="B7047" i="106"/>
  <c r="D7047" i="106" s="1"/>
  <c r="K285" i="29"/>
  <c r="B1124" i="106"/>
  <c r="D1124" i="106" s="1"/>
  <c r="G14" i="4"/>
  <c r="B2609" i="106" s="1"/>
  <c r="D2609" i="106" s="1"/>
  <c r="F71" i="34"/>
  <c r="F37" i="34"/>
  <c r="G38" i="108"/>
  <c r="E29" i="108"/>
  <c r="F27" i="108"/>
  <c r="H112" i="29"/>
  <c r="B7018" i="106" s="1"/>
  <c r="D7018" i="106" s="1"/>
  <c r="B1274" i="106"/>
  <c r="D1274" i="106" s="1"/>
  <c r="L312" i="29"/>
  <c r="H365" i="29"/>
  <c r="B7242" i="106" s="1"/>
  <c r="D7242" i="106" s="1"/>
  <c r="D13" i="7"/>
  <c r="B3726" i="106" s="1"/>
  <c r="D3726" i="106" s="1"/>
  <c r="D17" i="7"/>
  <c r="B4104" i="106" s="1"/>
  <c r="D4104" i="106" s="1"/>
  <c r="K274" i="5"/>
  <c r="B6022" i="106" s="1"/>
  <c r="D6022" i="106" s="1"/>
  <c r="D109" i="5"/>
  <c r="B5356" i="106" s="1"/>
  <c r="D5356" i="106" s="1"/>
  <c r="H173" i="5"/>
  <c r="F130" i="34"/>
  <c r="F172" i="5"/>
  <c r="B5644" i="106" s="1"/>
  <c r="D5644" i="106" s="1"/>
  <c r="F136" i="34"/>
  <c r="G172" i="5"/>
  <c r="H109" i="5"/>
  <c r="K173" i="5"/>
  <c r="K6" i="4" s="1"/>
  <c r="B3570" i="106" s="1"/>
  <c r="D3570" i="106" s="1"/>
  <c r="I173" i="5"/>
  <c r="B4216" i="106" s="1"/>
  <c r="D4216" i="106" s="1"/>
  <c r="J274" i="5"/>
  <c r="B7054" i="106" s="1"/>
  <c r="D7054" i="106" s="1"/>
  <c r="G109" i="5"/>
  <c r="B6024" i="106" s="1"/>
  <c r="D6024" i="106" s="1"/>
  <c r="K76" i="4"/>
  <c r="B3586" i="106" s="1"/>
  <c r="D3586" i="106" s="1"/>
  <c r="J41" i="3"/>
  <c r="B6216" i="106" s="1"/>
  <c r="D6216" i="106" s="1"/>
  <c r="H29" i="118"/>
  <c r="D31" i="36"/>
  <c r="D11" i="37"/>
  <c r="B3649" i="106"/>
  <c r="D3649" i="106" s="1"/>
  <c r="G367" i="29"/>
  <c r="B3650" i="106" s="1"/>
  <c r="D3650" i="106" s="1"/>
  <c r="G210" i="29"/>
  <c r="E174" i="29"/>
  <c r="B1309" i="106" s="1"/>
  <c r="D1309" i="106" s="1"/>
  <c r="L367" i="29"/>
  <c r="B3621" i="106"/>
  <c r="D3621" i="106" s="1"/>
  <c r="C367" i="29"/>
  <c r="B3622" i="106" s="1"/>
  <c r="D3622" i="106" s="1"/>
  <c r="E109" i="5"/>
  <c r="E4" i="4" s="1"/>
  <c r="B2630" i="106" s="1"/>
  <c r="D2630" i="106" s="1"/>
  <c r="D7" i="7"/>
  <c r="B1763" i="106" s="1"/>
  <c r="D1763" i="106" s="1"/>
  <c r="D5" i="7"/>
  <c r="B1761" i="106" s="1"/>
  <c r="D1761" i="106" s="1"/>
  <c r="C172" i="5"/>
  <c r="C109" i="5"/>
  <c r="B5121" i="106" s="1"/>
  <c r="D5121" i="106" s="1"/>
  <c r="B5066" i="106"/>
  <c r="D5066" i="106" s="1"/>
  <c r="K350" i="29"/>
  <c r="B1410" i="106"/>
  <c r="D1410" i="106" s="1"/>
  <c r="K184" i="29"/>
  <c r="F13" i="4" s="1"/>
  <c r="B2596" i="106" s="1"/>
  <c r="D2596" i="106" s="1"/>
  <c r="B1329" i="106"/>
  <c r="D1329" i="106" s="1"/>
  <c r="F61" i="34"/>
  <c r="B1223" i="106"/>
  <c r="D1223"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235" i="106" l="1"/>
  <c r="D7235" i="106" s="1"/>
  <c r="K28" i="118"/>
  <c r="O27" i="118" s="1"/>
  <c r="O29" i="118" s="1"/>
  <c r="D7252" i="106"/>
  <c r="H77" i="4"/>
  <c r="B3299" i="106" s="1"/>
  <c r="D3299" i="106" s="1"/>
  <c r="B6014" i="106"/>
  <c r="D6014" i="106" s="1"/>
  <c r="D7256" i="106"/>
  <c r="D7251" i="106"/>
  <c r="D7253" i="106"/>
  <c r="N23" i="3"/>
  <c r="B284" i="106" s="1"/>
  <c r="D284" i="106" s="1"/>
  <c r="D7255" i="106"/>
  <c r="D7254" i="106"/>
  <c r="D7250" i="106"/>
  <c r="B5914" i="106"/>
  <c r="D5914" i="106" s="1"/>
  <c r="H275" i="5"/>
  <c r="K77" i="4"/>
  <c r="B3587" i="106" s="1"/>
  <c r="D3587" i="106" s="1"/>
  <c r="I7" i="4"/>
  <c r="B4444" i="106" s="1"/>
  <c r="D4444" i="106" s="1"/>
  <c r="I6" i="4"/>
  <c r="B5011" i="106" s="1"/>
  <c r="D5011" i="106" s="1"/>
  <c r="F173" i="5"/>
  <c r="F6" i="4" s="1"/>
  <c r="B2593" i="106" s="1"/>
  <c r="D2593" i="106" s="1"/>
  <c r="F274" i="5"/>
  <c r="B5719" i="106" s="1"/>
  <c r="D5719" i="106" s="1"/>
  <c r="D51" i="36"/>
  <c r="B1996" i="106"/>
  <c r="D1996" i="106" s="1"/>
  <c r="I26" i="12"/>
  <c r="B7741" i="106" s="1"/>
  <c r="D7741" i="106" s="1"/>
  <c r="K365" i="29"/>
  <c r="D41" i="108"/>
  <c r="E43" i="108" s="1"/>
  <c r="L16" i="11"/>
  <c r="B2061" i="106" s="1"/>
  <c r="D2061" i="106" s="1"/>
  <c r="B1879" i="106"/>
  <c r="D1879" i="106" s="1"/>
  <c r="H22" i="37"/>
  <c r="D44" i="36"/>
  <c r="B3568" i="106"/>
  <c r="D3568" i="106" s="1"/>
  <c r="D52" i="36"/>
  <c r="F41" i="108"/>
  <c r="G43" i="108" s="1"/>
  <c r="B1328" i="106"/>
  <c r="D1328" i="106" s="1"/>
  <c r="B1317" i="106"/>
  <c r="D1317" i="106" s="1"/>
  <c r="B3628" i="106"/>
  <c r="D3628" i="106" s="1"/>
  <c r="B1381" i="106"/>
  <c r="D1381" i="106" s="1"/>
  <c r="F73" i="34"/>
  <c r="G15" i="4"/>
  <c r="B6032" i="106" s="1"/>
  <c r="D6032" i="106" s="1"/>
  <c r="H151" i="29"/>
  <c r="B1273" i="106" s="1"/>
  <c r="D1273" i="106" s="1"/>
  <c r="J16" i="4"/>
  <c r="B6226" i="106" s="1"/>
  <c r="D6226" i="106" s="1"/>
  <c r="L114" i="29"/>
  <c r="B3724" i="106"/>
  <c r="D3724" i="106" s="1"/>
  <c r="B1365" i="106"/>
  <c r="D1365" i="106" s="1"/>
  <c r="F65" i="34"/>
  <c r="D274" i="5"/>
  <c r="D7" i="4" s="1"/>
  <c r="D4" i="4"/>
  <c r="B2564" i="106" s="1"/>
  <c r="D2564" i="106" s="1"/>
  <c r="B6025" i="106"/>
  <c r="D6025" i="106" s="1"/>
  <c r="H4" i="4"/>
  <c r="B2655" i="106" s="1"/>
  <c r="D2655" i="106" s="1"/>
  <c r="G173" i="5"/>
  <c r="B5770" i="106"/>
  <c r="D5770" i="106" s="1"/>
  <c r="B5906" i="106"/>
  <c r="D5906" i="106" s="1"/>
  <c r="H6" i="4"/>
  <c r="G4" i="4"/>
  <c r="B2603" i="106" s="1"/>
  <c r="D2603" i="106" s="1"/>
  <c r="B5527" i="106"/>
  <c r="D5527" i="106" s="1"/>
  <c r="D19" i="7"/>
  <c r="B1775" i="106" s="1"/>
  <c r="D1775" i="106" s="1"/>
  <c r="J7" i="4"/>
  <c r="B6222" i="106" s="1"/>
  <c r="D6222" i="106" s="1"/>
  <c r="H367" i="29"/>
  <c r="B3660" i="106" s="1"/>
  <c r="D3660" i="106" s="1"/>
  <c r="B5214" i="106"/>
  <c r="D5214" i="106" s="1"/>
  <c r="C173" i="5"/>
  <c r="C4" i="4"/>
  <c r="B2551" i="106" s="1"/>
  <c r="D2551" i="106" s="1"/>
  <c r="B3670" i="106"/>
  <c r="D3670" i="106" s="1"/>
  <c r="K352" i="29"/>
  <c r="K342" i="29"/>
  <c r="F13" i="34"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B5507" i="106"/>
  <c r="D5507" i="106" s="1"/>
  <c r="D275" i="5"/>
  <c r="F7" i="4"/>
  <c r="B2594" i="106" s="1"/>
  <c r="D2594" i="106" s="1"/>
  <c r="F24" i="37"/>
  <c r="F275" i="5"/>
  <c r="B5720" i="106" s="1"/>
  <c r="D5720" i="106" s="1"/>
  <c r="B5653" i="106"/>
  <c r="D5653" i="106" s="1"/>
  <c r="J8" i="4"/>
  <c r="B6223" i="106" s="1"/>
  <c r="D6223" i="106" s="1"/>
  <c r="B5778" i="106"/>
  <c r="D5778" i="106" s="1"/>
  <c r="G6" i="4"/>
  <c r="B2604" i="106" s="1"/>
  <c r="D2604" i="106" s="1"/>
  <c r="B2656" i="106"/>
  <c r="D2656" i="106" s="1"/>
  <c r="H8" i="4"/>
  <c r="B5223" i="106"/>
  <c r="D5223" i="106" s="1"/>
  <c r="C6" i="4"/>
  <c r="B2553" i="106" s="1"/>
  <c r="D2553" i="106" s="1"/>
  <c r="K13" i="4"/>
  <c r="B3572" i="106" s="1"/>
  <c r="D3572" i="106" s="1"/>
  <c r="B3672" i="106"/>
  <c r="D3672" i="106" s="1"/>
  <c r="J17" i="4"/>
  <c r="B6227" i="106" s="1"/>
  <c r="D6227"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F8" i="4"/>
  <c r="D8" i="146" s="1"/>
  <c r="D8" i="4"/>
  <c r="J20" i="4"/>
  <c r="J78" i="4" s="1"/>
  <c r="K17" i="4"/>
  <c r="K19" i="4" s="1"/>
  <c r="B4144" i="106" s="1"/>
  <c r="D4144"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3575" i="106" l="1"/>
  <c r="D3575" i="106" s="1"/>
  <c r="B6230" i="106"/>
  <c r="D6230" i="106" s="1"/>
  <c r="B2595" i="106"/>
  <c r="D2595" i="106" s="1"/>
  <c r="F10" i="4"/>
  <c r="B4125" i="106" s="1"/>
  <c r="D4125" i="106" s="1"/>
  <c r="K20" i="4"/>
  <c r="K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B3576" i="106" l="1"/>
  <c r="D3576"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<sst xmlns="http://schemas.openxmlformats.org/spreadsheetml/2006/main" count="5038" uniqueCount="2110">
  <si>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</si>
  <si>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</si>
  <si>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</si>
  <si>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</si>
  <si>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</si>
  <si>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</si>
  <si>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</si>
  <si>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</si>
  <si>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</si>
  <si>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</si>
  <si>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</si>
  <si>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</si>
  <si>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</si>
  <si>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</si>
  <si>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</si>
  <si>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</si>
  <si>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</si>
  <si>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</si>
  <si>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</si>
  <si>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</si>
  <si>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</si>
  <si>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</si>
  <si>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</si>
  <si>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</si>
  <si>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</si>
  <si>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</si>
  <si>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</si>
  <si>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</si>
  <si>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</si>
  <si>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</si>
  <si>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</si>
  <si>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</si>
  <si>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</si>
  <si>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</si>
  <si>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</si>
  <si>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</si>
  <si>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</si>
  <si>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</si>
  <si>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</si>
  <si>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</si>
  <si>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</si>
  <si>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</si>
  <si>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</si>
  <si>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</si>
  <si>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</si>
  <si>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</si>
  <si>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</si>
  <si>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</si>
  <si>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</si>
  <si>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</si>
  <si>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</si>
  <si>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</si>
  <si>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</si>
  <si>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</si>
  <si>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</si>
  <si>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</si>
  <si>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</si>
  <si>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</si>
  <si>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</si>
  <si>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</si>
  <si>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</si>
  <si>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</si>
  <si>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</si>
  <si>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</si>
  <si>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</si>
  <si>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</si>
  <si>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</si>
  <si>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</si>
  <si>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</si>
  <si>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</si>
  <si>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</si>
  <si>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</si>
  <si>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</si>
  <si>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</si>
  <si>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</si>
  <si>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</si>
  <si>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</si>
  <si>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</si>
  <si>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</si>
  <si>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</si>
  <si>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</si>
  <si>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</si>
  <si>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</si>
  <si>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</si>
  <si>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</si>
  <si>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</si>
  <si>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</si>
  <si>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</si>
  <si>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</si>
  <si>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</si>
  <si>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</si>
  <si>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</si>
  <si>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</si>
  <si>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</si>
  <si>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</si>
  <si>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</si>
  <si>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</si>
  <si>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</si>
  <si>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</si>
  <si>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</si>
  <si>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</si>
  <si>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</si>
  <si>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</si>
  <si>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</si>
  <si>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</si>
  <si>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</si>
  <si>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</si>
  <si>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</si>
  <si>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</si>
  <si>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</si>
  <si>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</si>
  <si>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</si>
  <si>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</si>
  <si>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</si>
  <si>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</si>
  <si>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</si>
  <si>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</si>
  <si>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</si>
  <si>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</si>
  <si>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</si>
  <si>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</si>
  <si>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</si>
  <si>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</si>
  <si>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</si>
  <si>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</si>
  <si>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</si>
  <si>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</si>
  <si>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</si>
  <si>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</si>
  <si>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</si>
  <si>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</si>
  <si>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</si>
  <si>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</si>
  <si>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</si>
  <si>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</si>
  <si>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</si>
  <si>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</si>
  <si>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</si>
  <si>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</si>
  <si>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</si>
  <si>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</si>
  <si>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</si>
  <si>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</si>
  <si>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</si>
  <si>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</si>
  <si>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</si>
  <si>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</si>
  <si>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</si>
  <si>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</si>
  <si>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</si>
  <si>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</si>
  <si>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</si>
  <si>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</si>
  <si>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</si>
  <si>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</si>
  <si>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</si>
  <si>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</si>
  <si>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</si>
  <si>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</si>
  <si>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</si>
  <si>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</si>
  <si>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</si>
  <si>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</si>
  <si>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</si>
  <si>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</si>
  <si>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</si>
  <si>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</si>
  <si>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</si>
  <si>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</si>
  <si>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</si>
  <si>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</si>
  <si>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</si>
  <si>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</si>
  <si>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</si>
  <si>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</si>
  <si>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</si>
  <si>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</si>
  <si>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</si>
  <si>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</si>
  <si>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</si>
  <si>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</si>
  <si>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</si>
  <si>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</si>
  <si>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</si>
  <si>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</si>
  <si>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</si>
  <si>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</si>
  <si>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</si>
  <si>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</si>
  <si>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</si>
  <si>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</si>
  <si>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</si>
  <si>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</si>
  <si>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</si>
  <si>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</si>
  <si>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</si>
  <si>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</si>
  <si>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</si>
  <si>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</si>
  <si>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</si>
  <si>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</si>
  <si>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</si>
  <si>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</si>
  <si>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</si>
  <si>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</si>
  <si>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</si>
  <si>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</si>
  <si>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</si>
  <si>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</si>
  <si>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</si>
  <si>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</si>
  <si>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</si>
  <si>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</si>
  <si>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</si>
  <si>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</si>
  <si>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</si>
  <si>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</si>
  <si>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</si>
  <si>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</si>
  <si>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</si>
  <si>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</si>
  <si>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</si>
  <si>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</si>
  <si>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</si>
  <si>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</si>
  <si>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</si>
  <si>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</si>
  <si>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</si>
  <si>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</si>
  <si>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</si>
  <si>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</si>
  <si>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</si>
  <si>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</si>
  <si>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</si>
  <si>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</si>
  <si>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</si>
  <si>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</si>
  <si>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</si>
  <si>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</si>
  <si>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</si>
  <si>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</si>
  <si>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</si>
  <si>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</si>
  <si>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</si>
  <si>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</si>
  <si>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</si>
  <si>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</si>
  <si>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</si>
  <si>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</si>
  <si>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</si>
  <si>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</si>
  <si>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</si>
  <si>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</si>
  <si>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</si>
  <si>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</si>
  <si>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</si>
  <si>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</si>
  <si>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</si>
  <si>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</si>
  <si>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</si>
  <si>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</si>
  <si>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</si>
  <si>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</si>
  <si>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</si>
  <si>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</si>
  <si>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</si>
  <si>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</si>
  <si>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</si>
  <si>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</si>
  <si>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</si>
  <si>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</si>
  <si>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</si>
  <si>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</si>
  <si>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</si>
  <si>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</si>
  <si>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</si>
  <si>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</si>
  <si>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</si>
  <si>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</si>
  <si>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</si>
  <si>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</si>
  <si>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</si>
  <si>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</si>
  <si>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</si>
  <si>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</si>
  <si>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</si>
  <si>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</si>
  <si>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</si>
  <si>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</si>
  <si>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</si>
  <si>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</si>
  <si>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</si>
  <si>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</si>
  <si>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</si>
  <si>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</si>
  <si>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</si>
  <si>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</si>
  <si>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</si>
  <si>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</si>
  <si>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</si>
  <si>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</si>
  <si>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</si>
  <si>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</si>
  <si>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</si>
  <si>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</si>
  <si>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</si>
  <si>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</si>
  <si>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</si>
  <si>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</si>
  <si>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</si>
  <si>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</si>
  <si>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</si>
  <si>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</si>
  <si>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</si>
  <si>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</si>
  <si>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</si>
  <si>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</si>
  <si>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</si>
  <si>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</si>
  <si>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</si>
  <si>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</si>
  <si>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</si>
  <si>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</si>
  <si>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</si>
  <si>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</si>
  <si>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</si>
  <si>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</si>
  <si>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</si>
  <si>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</si>
  <si>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</si>
  <si>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</si>
  <si>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</si>
  <si>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</si>
  <si>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</si>
  <si>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</si>
  <si>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</si>
  <si>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</si>
  <si>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</si>
  <si>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</si>
  <si>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</si>
  <si>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</si>
  <si>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</si>
  <si>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</si>
  <si>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</si>
  <si>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</si>
  <si>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</si>
  <si>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</si>
  <si>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</si>
  <si>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</si>
  <si>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</si>
  <si>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</si>
  <si>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</si>
  <si>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</si>
  <si>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</si>
  <si>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</si>
  <si>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</si>
  <si>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</si>
  <si>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</si>
  <si>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</si>
  <si>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</si>
  <si>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</si>
  <si>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</si>
  <si>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</si>
  <si>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</si>
  <si>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</si>
  <si>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</si>
  <si>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</si>
  <si>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</si>
  <si>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</si>
  <si>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</si>
  <si>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</si>
  <si>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</si>
  <si>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</si>
  <si>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</si>
  <si>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</si>
  <si>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</si>
  <si>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</si>
  <si>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</si>
  <si>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</si>
  <si>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</si>
  <si>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</si>
  <si>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</si>
  <si>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</si>
  <si>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</si>
  <si>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</si>
  <si>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</si>
  <si>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</si>
  <si>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</si>
  <si>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</si>
  <si>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</si>
  <si>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</si>
  <si>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</si>
  <si>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</si>
  <si>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</si>
  <si>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</si>
  <si>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</si>
  <si>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</si>
  <si>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</si>
  <si>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</si>
  <si>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</si>
  <si>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</si>
  <si>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</si>
  <si>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</si>
  <si>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</si>
  <si>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</si>
  <si>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</si>
  <si>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</si>
  <si>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</si>
  <si>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</si>
  <si>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</si>
  <si>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</si>
  <si>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</si>
  <si>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</si>
  <si>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</si>
  <si>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</si>
  <si>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</si>
  <si>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</si>
  <si>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</si>
  <si>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</si>
  <si>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</si>
  <si>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</si>
  <si>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</si>
  <si>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</si>
  <si>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</si>
  <si>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</si>
  <si>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</si>
  <si>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</si>
  <si>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</si>
  <si>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</si>
  <si>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</si>
  <si>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</si>
  <si>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</si>
  <si>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</si>
  <si>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</si>
  <si>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</si>
  <si>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</si>
  <si>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</si>
  <si>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</si>
  <si>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</si>
  <si>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</si>
  <si>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</si>
  <si>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</si>
  <si>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</si>
  <si>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</si>
  <si>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</si>
  <si>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</si>
  <si>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</si>
  <si>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</si>
  <si>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</si>
  <si>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</si>
  <si>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</si>
  <si>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</si>
  <si>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</si>
  <si>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</si>
  <si>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</si>
  <si>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</si>
  <si>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</si>
  <si>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</si>
  <si>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</si>
  <si>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</si>
  <si>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</si>
  <si>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</si>
  <si>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</si>
  <si>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</si>
  <si>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</si>
  <si>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</si>
  <si>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</si>
  <si>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</si>
  <si>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</si>
  <si>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</si>
  <si>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</si>
  <si>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</si>
  <si>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</si>
  <si>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</si>
  <si>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</si>
  <si>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</si>
  <si>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</si>
  <si>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</si>
  <si>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</si>
  <si>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</si>
  <si>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</si>
  <si>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</si>
  <si>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</si>
  <si>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</si>
  <si>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</si>
  <si>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</si>
  <si>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</si>
  <si>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</si>
  <si>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</si>
  <si>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</si>
  <si>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</si>
  <si>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</si>
  <si>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</si>
  <si>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</si>
  <si>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</si>
  <si>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</si>
  <si>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</si>
  <si>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</si>
  <si>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</si>
  <si>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</si>
  <si>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</si>
  <si>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</si>
  <si>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</si>
  <si>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</si>
  <si>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</si>
  <si>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</si>
  <si>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</si>
  <si>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</si>
  <si>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</si>
  <si>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</si>
  <si>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</si>
  <si>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</si>
  <si>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</si>
  <si>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</si>
  <si>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</si>
  <si>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</si>
  <si>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</si>
  <si>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</si>
  <si>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</si>
  <si>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</si>
  <si>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</si>
  <si>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</si>
  <si>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</si>
  <si>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</si>
  <si>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</si>
  <si>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</si>
  <si>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</si>
  <si>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</si>
  <si>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</si>
  <si>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</si>
  <si>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</si>
  <si>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</si>
  <si>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</si>
  <si>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</si>
  <si>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</si>
  <si>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</si>
  <si>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</si>
  <si>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</si>
  <si>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</si>
  <si>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</si>
  <si>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</si>
  <si>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</si>
  <si>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</si>
  <si>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</si>
  <si>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</si>
  <si>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</si>
  <si>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</si>
  <si>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</si>
  <si>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</si>
  <si>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</si>
  <si>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</si>
  <si>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</si>
  <si>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</si>
  <si>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</si>
  <si>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</si>
  <si>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</si>
  <si>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</si>
  <si>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</si>
  <si>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</si>
  <si>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</si>
  <si>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</si>
  <si>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</si>
  <si>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</si>
  <si>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</si>
  <si>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</si>
  <si>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</si>
  <si>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</si>
  <si>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</si>
  <si>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</si>
  <si>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</si>
  <si>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</si>
  <si>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</si>
  <si>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</si>
  <si>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</si>
  <si>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</si>
  <si>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</si>
  <si>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</si>
  <si>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</si>
  <si>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</si>
  <si>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</si>
  <si>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</si>
  <si>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</si>
  <si>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</si>
  <si>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</si>
  <si>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</si>
  <si>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</si>
  <si>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</si>
  <si>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</si>
  <si>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</si>
  <si>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</si>
  <si>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</si>
  <si>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</si>
  <si>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</si>
  <si>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</si>
  <si>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</si>
  <si>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</si>
  <si>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</si>
  <si>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</si>
  <si>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</si>
  <si>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</si>
  <si>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</si>
  <si>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</si>
  <si>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</si>
  <si>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</si>
  <si>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</si>
  <si>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</si>
  <si>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</si>
  <si>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</si>
  <si>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</si>
  <si>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</si>
  <si>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</si>
  <si>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</si>
  <si>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</si>
  <si>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</si>
  <si>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</si>
  <si>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</si>
  <si>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</si>
  <si>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</si>
  <si>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</si>
  <si>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</si>
  <si>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</si>
  <si>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</si>
  <si>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</si>
  <si>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</si>
  <si>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</si>
  <si>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</si>
  <si>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</si>
  <si>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</si>
  <si>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</si>
  <si>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</si>
  <si>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</si>
  <si>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</si>
  <si>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</si>
  <si>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</si>
  <si>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</si>
  <si>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</si>
  <si>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</si>
  <si>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</si>
  <si>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</si>
  <si>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</si>
  <si>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</si>
  <si>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</si>
  <si>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</si>
  <si>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</si>
  <si>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</si>
  <si>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</si>
  <si>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</si>
  <si>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</si>
  <si>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</si>
  <si>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</si>
  <si>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</si>
  <si>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</si>
  <si>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</si>
  <si>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</si>
  <si>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</si>
  <si>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</si>
  <si>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</si>
  <si>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</si>
  <si>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</si>
  <si>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</si>
  <si>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</si>
  <si>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</si>
  <si>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</si>
  <si>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</si>
  <si>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</si>
  <si>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</si>
  <si>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</si>
  <si>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</si>
  <si>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</si>
  <si>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</si>
  <si>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</si>
  <si>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</si>
  <si>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</si>
  <si>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</si>
  <si>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</si>
  <si>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</si>
  <si>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</si>
  <si>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</si>
  <si>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</si>
  <si>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</si>
  <si>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</si>
  <si>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</si>
  <si>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</si>
  <si>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</si>
  <si>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</si>
  <si>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</si>
  <si>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</si>
  <si>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</si>
  <si>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</si>
  <si>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</si>
  <si>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</si>
  <si>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</si>
  <si>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</si>
  <si>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</si>
  <si>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</si>
  <si>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</si>
  <si>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</si>
  <si>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</si>
  <si>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</si>
  <si>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</si>
  <si>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</si>
  <si>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</si>
  <si>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</si>
  <si>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</si>
  <si>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</si>
  <si>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</si>
  <si>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</si>
  <si>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</si>
  <si>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</si>
  <si>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</si>
  <si>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</si>
  <si>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</si>
  <si>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</si>
  <si>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</si>
  <si>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</si>
  <si>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</si>
  <si>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</si>
  <si>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</si>
  <si>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</si>
  <si>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</si>
  <si>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</si>
  <si>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</si>
  <si>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</si>
  <si>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</si>
  <si>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</si>
  <si>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</si>
  <si>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</si>
  <si>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</si>
  <si>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</si>
  <si>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</si>
  <si>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</si>
  <si>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</si>
  <si>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</si>
  <si>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</si>
  <si>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</si>
  <si>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</si>
  <si>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</si>
  <si>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</si>
  <si>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</si>
  <si>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</si>
  <si>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</si>
  <si>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</si>
  <si>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</si>
  <si>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</si>
  <si>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</si>
  <si>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</si>
  <si>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</si>
  <si>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</si>
  <si>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</si>
  <si>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</si>
  <si>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</si>
  <si>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</si>
  <si>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</si>
  <si>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</si>
  <si>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</si>
  <si>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</si>
  <si>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</si>
  <si>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</si>
  <si>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</si>
  <si>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</si>
  <si>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</si>
  <si>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</si>
  <si>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</si>
  <si>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</si>
  <si>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</si>
  <si>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</si>
  <si>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</si>
  <si>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</si>
  <si>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</si>
  <si>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</si>
  <si>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</si>
  <si>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</si>
  <si>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</si>
  <si>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</si>
  <si>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</si>
  <si>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</si>
  <si>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</si>
  <si>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</si>
  <si>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</si>
  <si>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</si>
  <si>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</si>
  <si>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</si>
  <si>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</si>
  <si>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</si>
  <si>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</si>
  <si>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</si>
  <si>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</si>
  <si>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</si>
  <si>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</si>
  <si>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</si>
  <si>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</si>
  <si>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</si>
  <si>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</si>
  <si>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</si>
  <si>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</si>
  <si>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</si>
  <si>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</si>
  <si>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</si>
  <si>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</si>
  <si>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</si>
  <si>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</si>
  <si>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</si>
  <si>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</si>
  <si>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</si>
  <si>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</si>
  <si>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</si>
  <si>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</si>
  <si>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</si>
  <si>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</si>
  <si>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</si>
  <si>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</si>
  <si>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</si>
  <si>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</si>
  <si>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</si>
  <si>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</si>
  <si>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</si>
  <si>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</si>
  <si>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</si>
  <si>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</si>
  <si>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</si>
  <si>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</si>
  <si>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</si>
  <si>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</si>
  <si>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</si>
  <si>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</si>
  <si>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</si>
  <si>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</si>
  <si>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</si>
  <si>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</si>
  <si>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</si>
  <si>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</si>
  <si>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</si>
  <si>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</si>
  <si>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</si>
  <si>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</si>
  <si>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</si>
  <si>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</si>
  <si>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</si>
  <si>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</si>
  <si>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</si>
  <si>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</si>
  <si>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</si>
  <si>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</si>
  <si>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</si>
  <si>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</si>
  <si>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</si>
  <si>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</si>
  <si>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</si>
  <si>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</si>
  <si>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</si>
  <si>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</si>
  <si>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</si>
  <si>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</si>
  <si>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</si>
  <si>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</si>
  <si>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</si>
  <si>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</si>
  <si>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</si>
  <si>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</si>
  <si>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</si>
  <si>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</si>
  <si>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</si>
  <si>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</si>
  <si>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</si>
  <si>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</si>
  <si>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</si>
  <si>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</si>
  <si>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</si>
  <si>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</si>
  <si>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</si>
  <si>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</si>
  <si>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</si>
  <si>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</si>
  <si>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</si>
  <si>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</si>
  <si>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</si>
  <si>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</si>
  <si>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</si>
  <si>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</si>
  <si>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</si>
  <si>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</si>
  <si>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</si>
  <si>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</si>
  <si>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</si>
  <si>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</si>
  <si>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</si>
  <si>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</si>
  <si>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</si>
  <si>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</si>
  <si>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</si>
  <si>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</si>
  <si>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</si>
  <si>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</si>
  <si>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</si>
  <si>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</si>
  <si>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</si>
  <si>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</si>
  <si>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</si>
  <si>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</si>
  <si>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</si>
  <si>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</si>
  <si>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</si>
  <si>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</si>
  <si>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</si>
  <si>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</si>
  <si>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</si>
  <si>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</si>
  <si>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</si>
  <si>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</si>
  <si>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</si>
  <si>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</si>
  <si>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</si>
  <si>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</si>
  <si>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</si>
  <si>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</si>
  <si>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</si>
  <si>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</si>
  <si>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</si>
  <si>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</si>
  <si>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</si>
  <si>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</si>
  <si>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</si>
  <si>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</si>
  <si>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</si>
  <si>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</si>
  <si>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</si>
  <si>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</si>
  <si>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</si>
  <si>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</si>
  <si>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</si>
  <si>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</si>
  <si>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</si>
  <si>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</si>
  <si>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</si>
  <si>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</si>
  <si>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</si>
  <si>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</si>
  <si>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</si>
  <si>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</si>
  <si>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</si>
  <si>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</si>
  <si>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</si>
  <si>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</si>
  <si>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</si>
  <si>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</si>
  <si>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</si>
  <si>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</si>
  <si>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</si>
  <si>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</si>
  <si>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</si>
  <si>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</si>
  <si>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</si>
  <si>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</si>
  <si>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</si>
  <si>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</si>
  <si>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</si>
  <si>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</si>
  <si>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</si>
  <si>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</si>
  <si>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</si>
  <si>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</si>
  <si>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</si>
  <si>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</si>
  <si>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</si>
  <si>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</si>
  <si>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</si>
  <si>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</si>
  <si>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</si>
  <si>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</si>
  <si>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</si>
  <si>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</si>
  <si>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</si>
  <si>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</si>
  <si>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</si>
  <si>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</si>
  <si>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</si>
  <si>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</si>
  <si>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</si>
  <si>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</si>
  <si>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</si>
  <si>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</si>
  <si>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</si>
  <si>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</si>
  <si>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</si>
  <si>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</si>
  <si>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</si>
  <si>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</si>
  <si>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</si>
  <si>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</si>
  <si>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</si>
  <si>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</si>
  <si>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</si>
  <si>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</si>
  <si>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</si>
  <si>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</si>
  <si>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</si>
  <si>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</si>
  <si>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</si>
  <si>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</si>
  <si>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</si>
  <si>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</si>
  <si>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</si>
  <si>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</si>
  <si>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</si>
  <si>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</si>
  <si>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</si>
  <si>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</si>
  <si>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</si>
  <si>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</si>
  <si>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</si>
  <si>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</si>
  <si>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</si>
  <si>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</si>
  <si>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</si>
  <si>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</si>
  <si>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</si>
  <si>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</si>
  <si>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</si>
  <si>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</si>
  <si>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</si>
  <si>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</si>
  <si>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</si>
  <si>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</si>
  <si>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</si>
  <si>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</si>
  <si>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</si>
  <si>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</si>
  <si>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</si>
  <si>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</si>
  <si>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</si>
  <si>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</si>
  <si>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</si>
  <si>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</si>
  <si>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</si>
  <si>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</si>
  <si>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</si>
  <si>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</si>
  <si>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</si>
  <si>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</si>
  <si>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</si>
  <si>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</si>
  <si>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</si>
  <si>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</si>
  <si>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</si>
  <si>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</si>
  <si>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</si>
  <si>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</si>
  <si>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</si>
  <si>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</si>
  <si>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</si>
  <si>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</si>
  <si>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</si>
  <si>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</si>
  <si>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</si>
  <si>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</si>
  <si>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</si>
  <si>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</si>
  <si>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</si>
  <si>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</si>
  <si>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</si>
  <si>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</si>
  <si>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</si>
  <si>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</si>
  <si>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</si>
  <si>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</si>
  <si>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</si>
  <si>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</si>
  <si>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</si>
  <si>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</si>
  <si>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</si>
  <si>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</si>
  <si>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</si>
  <si>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</si>
  <si>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</si>
  <si>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</si>
  <si>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</si>
  <si>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</si>
  <si>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</si>
  <si>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</si>
  <si>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</si>
  <si>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</si>
  <si>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</si>
  <si>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</si>
  <si>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</si>
  <si>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</si>
  <si>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</si>
  <si>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</si>
  <si>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</si>
  <si>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</si>
  <si>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</si>
  <si>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</si>
  <si>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</si>
  <si>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</si>
  <si>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</si>
  <si>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</si>
  <si>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</si>
  <si>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</si>
  <si>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</si>
  <si>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</si>
  <si>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</si>
  <si>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</si>
  <si>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</si>
  <si>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</si>
  <si>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</si>
  <si>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</si>
  <si>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</si>
  <si>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</si>
  <si>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</si>
  <si>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</si>
  <si>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</si>
  <si>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</si>
  <si>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</si>
  <si>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</si>
  <si>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</si>
  <si>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</si>
  <si>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</si>
  <si>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</si>
  <si>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</si>
  <si>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</si>
  <si>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</si>
  <si>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</si>
  <si>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</si>
  <si>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</si>
  <si>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</si>
  <si>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</si>
  <si>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</si>
  <si>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</si>
  <si>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</si>
  <si>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</si>
  <si>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</si>
  <si>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</si>
  <si>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</si>
  <si>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</si>
  <si>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</si>
  <si>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</si>
  <si>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</si>
  <si>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</si>
  <si>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</si>
  <si>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</si>
  <si>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</si>
  <si>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</si>
  <si>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</si>
  <si>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</si>
  <si>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</si>
  <si>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</si>
  <si>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</si>
  <si>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</si>
  <si>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</si>
  <si>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</si>
  <si>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</si>
  <si>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</si>
  <si>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</si>
  <si>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</si>
  <si>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</si>
  <si>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</si>
  <si>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</si>
  <si>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</si>
  <si>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</si>
  <si>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</si>
  <si>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</si>
  <si>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</si>
  <si>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</si>
  <si>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</si>
  <si>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</si>
  <si>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</si>
  <si>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</si>
  <si>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</si>
  <si>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</si>
  <si>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</si>
  <si>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</si>
  <si>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</si>
  <si>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</si>
  <si>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</si>
  <si>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</si>
  <si>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</si>
  <si>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</si>
  <si>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</si>
  <si>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</si>
  <si>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</si>
  <si>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</si>
  <si>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</si>
  <si>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</si>
  <si>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</si>
  <si>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</si>
  <si>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</si>
  <si>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</si>
  <si>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</si>
  <si>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</si>
  <si>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</si>
  <si>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</si>
  <si>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</si>
  <si>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</si>
  <si>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</si>
  <si>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</si>
  <si>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</si>
  <si>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</si>
  <si>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</si>
  <si>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</si>
  <si>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</si>
  <si>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</si>
  <si>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</si>
  <si>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</si>
  <si>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</si>
  <si>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</si>
  <si>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</si>
  <si>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</si>
  <si>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</si>
  <si>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</si>
  <si>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</si>
  <si>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</si>
  <si>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</si>
  <si>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</si>
  <si>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</si>
  <si>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</si>
  <si>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</si>
  <si>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</si>
  <si>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</si>
  <si>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</si>
  <si>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</si>
  <si>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</si>
  <si>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</si>
  <si>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</si>
  <si>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</si>
  <si>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</si>
  <si>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</si>
  <si>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</si>
  <si>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</si>
  <si>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</si>
  <si>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</si>
  <si>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</si>
  <si>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</si>
  <si>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</si>
  <si>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</si>
  <si>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</si>
  <si>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</si>
  <si>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</si>
  <si>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</si>
  <si>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</si>
  <si>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</si>
  <si>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</si>
  <si>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</si>
  <si>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</si>
  <si>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</si>
  <si>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</si>
  <si>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</si>
  <si>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</si>
  <si>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</si>
  <si>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</si>
  <si>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</si>
  <si>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</si>
  <si>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</si>
  <si>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</si>
  <si>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</si>
  <si>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</si>
  <si>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</si>
  <si>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</si>
  <si>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</si>
  <si>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</si>
  <si>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</si>
  <si>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</si>
  <si>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</si>
  <si>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</si>
  <si>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</si>
  <si>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</si>
  <si>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</si>
  <si>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</si>
  <si>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</si>
  <si>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</si>
  <si>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</si>
  <si>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</si>
  <si>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</si>
  <si>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</si>
  <si>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</si>
  <si>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</si>
  <si>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</si>
  <si>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</si>
  <si>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</si>
  <si>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</si>
  <si>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</si>
  <si>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</si>
  <si>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</si>
  <si>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</si>
  <si>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</si>
  <si>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</si>
  <si>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</si>
  <si>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</si>
  <si>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</si>
  <si>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</si>
  <si>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</si>
  <si>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</si>
  <si>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</si>
  <si>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</si>
  <si>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</si>
  <si>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</si>
  <si>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</si>
  <si>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</si>
  <si>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</si>
  <si>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</si>
  <si>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</si>
  <si>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</si>
  <si>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</si>
  <si>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</si>
  <si>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</si>
  <si>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</si>
  <si>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</si>
  <si>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</si>
  <si>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</si>
  <si>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</si>
  <si>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</si>
  <si>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</si>
  <si>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</si>
  <si>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</si>
  <si>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</si>
  <si>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</si>
  <si>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</si>
  <si>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</si>
  <si>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</si>
  <si>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</si>
  <si>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</si>
  <si>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</si>
  <si>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</si>
  <si>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</si>
  <si>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</si>
  <si>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</si>
  <si>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</si>
  <si>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</si>
  <si>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</si>
  <si>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</si>
  <si>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</si>
  <si>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</si>
  <si>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</si>
  <si>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</si>
  <si>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</si>
  <si>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</si>
  <si>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</si>
  <si>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</si>
  <si>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</si>
  <si>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</si>
  <si>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</si>
  <si>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</si>
  <si>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</si>
  <si>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</si>
  <si>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</si>
  <si>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</si>
  <si>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</si>
  <si>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</si>
  <si>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</si>
  <si>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</si>
  <si>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</si>
  <si>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</si>
  <si>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</si>
  <si>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</si>
  <si>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</si>
  <si>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</si>
  <si>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</si>
  <si>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</si>
  <si>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</si>
  <si>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</si>
  <si>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</si>
  <si>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</si>
  <si>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</si>
  <si>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</si>
  <si>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</si>
  <si>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</si>
  <si>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</si>
  <si>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</si>
  <si>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</si>
  <si>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</si>
  <si>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</si>
  <si>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</si>
  <si>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</si>
  <si>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</si>
  <si>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</si>
  <si>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</si>
  <si>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</si>
  <si>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</si>
  <si>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</si>
  <si>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</si>
  <si>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</si>
  <si>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</si>
  <si>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</si>
  <si>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</si>
  <si>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</si>
  <si>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</si>
  <si>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</si>
  <si>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</si>
  <si>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</si>
  <si>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</si>
  <si>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</si>
  <si>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</si>
  <si>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</si>
  <si>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</si>
  <si>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</si>
  <si>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</si>
  <si>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</si>
  <si>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</si>
  <si>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</si>
  <si>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</si>
  <si>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</si>
  <si>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</si>
  <si>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</si>
  <si>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</si>
  <si>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</si>
  <si>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</si>
  <si>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</si>
  <si>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</si>
  <si>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</si>
  <si>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</si>
  <si>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</si>
  <si>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</si>
  <si>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</si>
  <si>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</si>
  <si>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</si>
  <si>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</si>
  <si>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</si>
  <si>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</si>
  <si>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</si>
  <si>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</si>
  <si>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</si>
  <si>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</si>
  <si>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</si>
  <si>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</si>
  <si>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</si>
  <si>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</si>
  <si>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</si>
  <si>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</si>
  <si>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</si>
  <si>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</si>
  <si>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</si>
  <si>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</si>
  <si>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</si>
  <si>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</si>
  <si>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</si>
  <si>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</si>
  <si>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</si>
  <si>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</si>
  <si>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</si>
  <si>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</si>
  <si>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</si>
  <si>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</si>
  <si>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</si>
  <si>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</si>
  <si>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</si>
  <si>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</si>
  <si>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</si>
  <si>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</si>
  <si>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</si>
  <si>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</si>
  <si>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</si>
  <si>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</si>
  <si>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</si>
  <si>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</si>
  <si>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</si>
  <si>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</si>
  <si>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</si>
  <si>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</si>
  <si>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</si>
  <si>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</si>
  <si>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</si>
  <si>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</si>
  <si>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</si>
  <si>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</si>
  <si>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</si>
  <si>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</si>
  <si>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</si>
  <si>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</si>
  <si>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</si>
  <si>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</si>
  <si>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</si>
  <si>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</si>
  <si>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</si>
  <si>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</si>
  <si>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</si>
  <si>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</si>
  <si>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</si>
  <si>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</si>
  <si>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</si>
  <si>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</si>
  <si>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</si>
  <si>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</si>
  <si>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</si>
  <si>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</si>
  <si>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</si>
  <si>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</si>
  <si>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</si>
  <si>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</si>
  <si>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</si>
  <si>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</si>
  <si>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</si>
  <si>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</si>
  <si>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</si>
  <si>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</si>
  <si>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</si>
  <si>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</si>
  <si>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</si>
  <si>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</si>
  <si>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</si>
  <si>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</si>
  <si>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</si>
  <si>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</si>
  <si>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</si>
  <si>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</si>
  <si>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</si>
  <si>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</si>
  <si>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</si>
  <si>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</si>
  <si>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</si>
  <si>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</si>
  <si>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</si>
  <si>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</si>
  <si>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</si>
  <si>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</si>
  <si>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</si>
  <si>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</si>
  <si>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</si>
  <si>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</si>
  <si>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</si>
  <si>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</si>
  <si>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</si>
  <si>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</si>
  <si>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</si>
  <si>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</si>
  <si>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</si>
  <si>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</si>
  <si>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</si>
  <si>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</si>
  <si>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</si>
  <si>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</si>
  <si>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</si>
  <si>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</si>
  <si>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</si>
  <si>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</si>
  <si>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</si>
  <si>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</si>
  <si>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</si>
  <si>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</si>
  <si>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</si>
  <si>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</si>
  <si>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</si>
  <si>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</si>
  <si>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</si>
  <si>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</si>
  <si>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</si>
  <si>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</si>
  <si>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</si>
  <si>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</si>
  <si>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</si>
  <si>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</si>
  <si>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</si>
  <si>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</si>
  <si>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</si>
  <si>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</si>
  <si>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</si>
  <si>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</si>
  <si>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</si>
  <si>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</si>
  <si>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</si>
  <si>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</si>
  <si>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</si>
  <si>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</si>
  <si>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</si>
  <si>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</si>
  <si>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</si>
  <si>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</si>
  <si>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</si>
  <si>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</si>
  <si>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</si>
  <si>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</si>
  <si>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</si>
  <si>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</si>
  <si>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</si>
  <si>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</si>
  <si>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</si>
  <si>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</si>
  <si>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</si>
  <si>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</si>
  <si>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</si>
  <si>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</si>
  <si>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</si>
  <si>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</si>
  <si>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</si>
  <si>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</si>
  <si>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</si>
  <si>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</si>
  <si>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</si>
  <si>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</si>
  <si>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</si>
  <si>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</si>
  <si>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</si>
  <si>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</si>
  <si>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</si>
  <si>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</si>
  <si>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</si>
  <si>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</si>
  <si>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</si>
  <si>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</si>
  <si>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</si>
  <si>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</si>
  <si>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</si>
  <si>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</si>
  <si>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</si>
  <si>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</si>
  <si>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</si>
  <si>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</si>
  <si>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</si>
  <si>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</si>
  <si>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</si>
  <si>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</si>
  <si>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</si>
  <si>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</si>
  <si>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</si>
  <si>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</si>
  <si>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</si>
  <si>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</si>
  <si>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</si>
  <si>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</si>
  <si>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</si>
  <si>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</si>
  <si>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</si>
  <si>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</si>
  <si>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</si>
  <si>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</si>
  <si>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</si>
  <si>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</si>
  <si>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</si>
  <si>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</si>
  <si>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</si>
  <si>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</si>
  <si>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</si>
  <si>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</si>
  <si>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</si>
  <si>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</si>
  <si>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</si>
  <si>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</si>
  <si>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</si>
  <si>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</si>
  <si>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</si>
  <si>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</si>
  <si>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</si>
  <si>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</si>
  <si>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</si>
  <si>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</si>
  <si>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</si>
  <si>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</si>
  <si>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</si>
  <si>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</si>
  <si>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</si>
  <si>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</si>
  <si>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</si>
  <si>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</si>
  <si>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</si>
  <si>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</si>
  <si>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</si>
  <si>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</si>
  <si>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</si>
  <si>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</si>
  <si>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</si>
  <si>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</si>
  <si>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</si>
  <si>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</si>
  <si>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</si>
  <si>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</si>
  <si>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</si>
  <si>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</si>
  <si>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</si>
  <si>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</si>
  <si>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</si>
  <si>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</si>
  <si>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</si>
  <si>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</si>
  <si>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</si>
  <si>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</si>
  <si>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</si>
  <si>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</si>
  <si>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</si>
  <si>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</si>
  <si>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</si>
  <si>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</si>
  <si>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</si>
  <si>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</si>
  <si>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</si>
  <si>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</si>
  <si>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</si>
  <si>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</si>
  <si>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</si>
  <si>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</si>
  <si>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</si>
  <si>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</si>
  <si>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</si>
  <si>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</si>
  <si>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</si>
  <si>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</si>
  <si>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</si>
  <si>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</si>
  <si>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</si>
  <si>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</si>
  <si>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</si>
  <si>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</si>
  <si>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</si>
  <si>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</si>
  <si>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</si>
  <si>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</si>
  <si>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</si>
  <si>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</si>
  <si>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</si>
  <si>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</si>
  <si>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</si>
  <si>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</si>
  <si>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</si>
  <si>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</si>
  <si>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</si>
  <si>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</si>
  <si>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</si>
  <si>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</si>
  <si>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</si>
  <si>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</si>
  <si>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</si>
  <si>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</si>
  <si>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</si>
  <si>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</si>
  <si>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</si>
  <si>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</si>
  <si>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</si>
  <si>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</si>
  <si>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</si>
  <si>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</si>
  <si>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</si>
  <si>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</si>
  <si>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</si>
  <si>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</si>
  <si>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</si>
  <si>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</si>
  <si>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</si>
  <si>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</si>
  <si>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</si>
  <si>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</si>
  <si>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</si>
  <si>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</si>
  <si>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</si>
  <si>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</si>
  <si>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</si>
  <si>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</si>
  <si>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</si>
  <si>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</si>
  <si>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</si>
  <si>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</si>
  <si>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</si>
  <si>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</si>
  <si>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</si>
  <si>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</si>
  <si>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</si>
  <si>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</si>
  <si>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</si>
  <si>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</si>
  <si>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</si>
  <si>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</si>
  <si>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</si>
  <si>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</si>
  <si>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</si>
  <si>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</si>
  <si>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</si>
  <si>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</si>
  <si>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</si>
  <si>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</si>
  <si>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</si>
  <si>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</si>
  <si>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</si>
  <si>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</si>
  <si>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</si>
  <si>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</si>
  <si>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</si>
  <si>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</si>
  <si>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</si>
  <si>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</si>
  <si>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</si>
  <si>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</si>
  <si>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</si>
  <si>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</si>
  <si>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</si>
  <si>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</si>
  <si>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</si>
  <si>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</si>
  <si>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</si>
  <si>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</si>
  <si>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</si>
  <si>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</si>
  <si>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</si>
  <si>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</si>
  <si>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</si>
  <si>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</si>
  <si>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</si>
  <si>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</si>
  <si>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</si>
  <si>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</si>
  <si>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</si>
  <si>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</si>
  <si>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</si>
  <si>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</si>
  <si>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</si>
  <si>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</si>
  <si>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</si>
  <si>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</si>
  <si>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</si>
  <si>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</si>
  <si>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</si>
  <si>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</si>
  <si>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</si>
  <si>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</si>
  <si>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</si>
  <si>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</si>
  <si>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</si>
  <si>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</si>
  <si>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</si>
  <si>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</si>
  <si>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</si>
  <si>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</si>
  <si>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</si>
  <si>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</si>
  <si>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</si>
  <si>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</si>
  <si>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</si>
  <si>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</si>
  <si>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</si>
  <si>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</si>
  <si>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</si>
  <si>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</si>
  <si>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</si>
  <si>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</si>
  <si>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</si>
  <si>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</si>
  <si>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</si>
  <si>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</si>
  <si>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</si>
  <si>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</si>
  <si>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</si>
  <si>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</si>
  <si>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</si>
  <si>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</si>
  <si>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</si>
  <si>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</si>
  <si>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</si>
  <si>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</si>
  <si>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</si>
  <si>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</si>
  <si>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</si>
  <si>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</si>
  <si>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</si>
  <si>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</si>
  <si>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</si>
  <si>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</si>
  <si>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</si>
  <si>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</si>
  <si>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</si>
  <si>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</si>
  <si>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</si>
  <si>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</si>
  <si>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</si>
  <si>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</si>
  <si>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</si>
  <si>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</si>
  <si>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</si>
  <si>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</si>
  <si>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</si>
  <si>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</si>
  <si>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</si>
  <si>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</si>
  <si>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</si>
  <si>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</si>
  <si>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</si>
  <si>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</si>
  <si>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</si>
  <si>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</si>
  <si>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</si>
  <si>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</si>
  <si>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</si>
  <si>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</si>
  <si>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</si>
  <si>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</si>
  <si>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</si>
  <si>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</si>
  <si>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</si>
  <si>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</si>
  <si>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</si>
  <si>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</si>
  <si>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</si>
  <si>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</si>
  <si>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</si>
  <si>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</si>
  <si>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</si>
  <si>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</si>
  <si>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</si>
  <si>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</si>
  <si>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</si>
  <si>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</si>
  <si>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</si>
  <si>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</si>
  <si>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</si>
  <si>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</si>
  <si>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</si>
  <si>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</si>
  <si>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</si>
  <si>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</si>
  <si>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</si>
  <si>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</si>
  <si>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</si>
  <si>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</si>
  <si>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</si>
  <si>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</si>
  <si>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</si>
  <si>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</si>
  <si>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</si>
  <si>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</si>
  <si>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</si>
  <si>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</si>
  <si>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</si>
  <si>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</si>
  <si>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</si>
  <si>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</si>
  <si>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</si>
  <si>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</si>
  <si>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</si>
  <si>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</si>
  <si>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</si>
  <si>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</si>
  <si>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</si>
  <si>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</si>
  <si>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</si>
  <si>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</si>
  <si>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</si>
  <si>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</si>
  <si>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</si>
  <si>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</si>
  <si>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</si>
  <si>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</si>
  <si>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</si>
  <si>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</si>
  <si>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</si>
  <si>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</si>
  <si>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</si>
  <si>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</si>
  <si>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</si>
  <si>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</si>
  <si>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</si>
  <si>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</si>
  <si>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</si>
  <si>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</si>
  <si>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</si>
  <si>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</si>
  <si>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</si>
  <si>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</si>
  <si>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</si>
  <si>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</si>
  <si>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</si>
  <si>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</si>
  <si>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</si>
  <si>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</si>
  <si>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</si>
  <si>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</si>
  <si>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</si>
  <si>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</si>
  <si>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</si>
  <si>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</si>
  <si>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</si>
  <si>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</si>
  <si>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</si>
  <si>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</si>
  <si>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</si>
  <si>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</si>
  <si>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</si>
  <si>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</si>
  <si>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</si>
  <si>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</si>
  <si>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</si>
  <si>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</si>
  <si>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</si>
  <si>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</si>
  <si>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</si>
  <si>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</si>
  <si>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</si>
  <si>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</si>
  <si>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</si>
  <si>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</si>
  <si>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</si>
  <si>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</si>
  <si>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</si>
  <si>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</si>
  <si>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</si>
  <si>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</si>
  <si>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</si>
  <si>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</si>
  <si>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</si>
  <si>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</si>
  <si>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</si>
  <si>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</si>
  <si>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</si>
  <si>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</si>
  <si>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</si>
  <si>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</si>
  <si>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</si>
  <si>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</si>
  <si>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</si>
  <si>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</si>
  <si>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</si>
  <si>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</si>
  <si>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</si>
  <si>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</si>
  <si>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</si>
  <si>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</si>
  <si>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</si>
  <si>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</si>
  <si>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</si>
  <si>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</si>
  <si>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</si>
  <si>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</si>
  <si>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</si>
  <si>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</si>
  <si>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</si>
  <si>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</si>
  <si>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</si>
  <si>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</si>
  <si>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</si>
  <si>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</si>
  <si>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</si>
  <si>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</si>
  <si>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</si>
  <si>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</si>
  <si>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</si>
  <si>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</si>
  <si>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</si>
  <si>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</si>
  <si>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</si>
  <si>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</si>
  <si>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</si>
  <si>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</si>
  <si>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</si>
  <si>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</si>
  <si>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</si>
  <si>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</si>
  <si>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</si>
  <si>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</si>
  <si>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</si>
  <si>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</si>
  <si>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</si>
  <si>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</si>
  <si>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</si>
  <si>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</si>
  <si>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</si>
  <si>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</si>
  <si>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</si>
  <si>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</si>
  <si>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</si>
  <si>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</si>
  <si>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</si>
  <si>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</si>
  <si>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</si>
  <si>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</si>
  <si>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</si>
  <si>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</si>
  <si>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</si>
  <si>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</si>
  <si>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</si>
  <si>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</si>
  <si>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</si>
  <si>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</si>
  <si>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</si>
  <si>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</si>
  <si>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</si>
  <si>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</si>
  <si>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</si>
  <si>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</si>
  <si>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</si>
  <si>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</si>
  <si>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</si>
  <si>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</si>
  <si>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</si>
  <si>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</si>
  <si>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</si>
  <si>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OGLE</t>
  </si>
  <si>
    <t>202 W SOUTH STREET</t>
  </si>
  <si>
    <t>CRESTON</t>
  </si>
  <si>
    <t>kcollins@crestonschool.org</t>
  </si>
  <si>
    <t>CURTIS RHEINGANS</t>
  </si>
  <si>
    <t>crheingans@crestonschool.org</t>
  </si>
  <si>
    <t>815-384-3920</t>
  </si>
  <si>
    <t>815-384-3410</t>
  </si>
  <si>
    <t>x</t>
  </si>
  <si>
    <t>Macchietto Roth &amp; Company, P.C.</t>
  </si>
  <si>
    <t>Cathy Macchietto</t>
  </si>
  <si>
    <t>911 Lisbon Street</t>
  </si>
  <si>
    <t>Morris</t>
  </si>
  <si>
    <t>IL</t>
  </si>
  <si>
    <t>815-941-9050</t>
  </si>
  <si>
    <t>815-941-4506</t>
  </si>
  <si>
    <t>cathy@macchietto-roth.com</t>
  </si>
  <si>
    <t>060.004890</t>
  </si>
  <si>
    <t>The District has omitted disclosure required by Governmental Accounting Standards Board Statement No. 45, Accounting and Financial Reporting for Postemployment Benefits Other Than Pension.</t>
  </si>
  <si>
    <t>Revenues - Education Fund - Other Local Revenues - $13,334 is a grant from Project Lead the Way</t>
  </si>
  <si>
    <t>Revenues - Education Fund - Other Unrestricted Federal Grants - $18,818 is from the REAP Grant</t>
  </si>
  <si>
    <t>Expenditures - Education Fund - Payments to Other In-State Gvt Units - $18,838 is payment for joint agreement with Rochelle CCSD #231</t>
  </si>
  <si>
    <t>Expenditures - Transportation Fund - Payments to Other In-State Gvt Units - repayment of grant to ISBE</t>
  </si>
  <si>
    <t>General Obligation School Bonds, Series 2012</t>
  </si>
  <si>
    <t>General Obligation School Bonds, Series 2014</t>
  </si>
  <si>
    <t>Debt Certificates, Series 2014</t>
  </si>
  <si>
    <t>Building Improvements</t>
  </si>
  <si>
    <t>Ogle County Special Educatio Cooperative</t>
  </si>
  <si>
    <t>Rochelle Community Consolidated School District #231</t>
  </si>
  <si>
    <t>O&amp;M - O&amp;M of Plant Services - Purchased Services</t>
  </si>
  <si>
    <t>20-2540-300</t>
  </si>
  <si>
    <t>RK Dixon</t>
  </si>
  <si>
    <t>Creston CCSD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</si>
</sst>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14" fontId="55" fillId="0" borderId="162" xfId="3" applyNumberFormat="1" applyFont="1" applyBorder="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1463387</xdr:colOff>
          <xdr:row>4</xdr:row>
          <xdr:rowOff>0</xdr:rowOff>
        </xdr:from>
        <xdr:to>
          <xdr:col>1</xdr:col>
          <xdr:colOff>2377787</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2085</v>
      </c>
      <c r="C5" s="26" t="s">
        <v>966</v>
      </c>
      <c r="D5" s="84"/>
      <c r="E5" s="84"/>
      <c r="H5" s="38"/>
      <c r="I5" s="2044" t="s">
        <v>701</v>
      </c>
      <c r="J5" s="1988"/>
      <c r="K5" s="1988"/>
      <c r="L5" s="1988"/>
      <c r="M5" s="1988"/>
      <c r="N5" s="1988"/>
      <c r="O5" s="1988"/>
      <c r="P5" s="1988"/>
      <c r="Q5" s="1988"/>
      <c r="R5" s="1988"/>
      <c r="S5" s="1988"/>
    </row>
    <row r="6" spans="1:28" ht="14.1" customHeight="1" x14ac:dyDescent="0.2">
      <c r="B6" s="104"/>
      <c r="C6" s="26" t="s">
        <v>967</v>
      </c>
      <c r="D6" s="84"/>
      <c r="E6" s="84"/>
      <c r="I6" s="2043" t="s">
        <v>938</v>
      </c>
      <c r="J6" s="1988"/>
      <c r="K6" s="1988"/>
      <c r="L6" s="1988"/>
      <c r="M6" s="1988"/>
      <c r="N6" s="1988"/>
      <c r="O6" s="1988"/>
      <c r="P6" s="1988"/>
      <c r="Q6" s="1988"/>
      <c r="R6" s="1988"/>
      <c r="S6" s="1988"/>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2085</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47071161004</v>
      </c>
      <c r="B13" s="2005"/>
      <c r="C13" s="2005"/>
      <c r="D13" s="2005"/>
      <c r="E13" s="2005"/>
      <c r="F13" s="2005"/>
      <c r="G13" s="2005"/>
      <c r="H13" s="2006"/>
      <c r="I13" s="31"/>
      <c r="J13" s="30"/>
      <c r="K13" s="28"/>
      <c r="L13" s="30"/>
      <c r="M13" s="30"/>
      <c r="N13" s="30"/>
      <c r="O13" s="30"/>
      <c r="P13" s="30"/>
      <c r="Q13" s="30"/>
      <c r="R13" s="30"/>
      <c r="S13" s="30"/>
      <c r="T13" s="2009" t="s">
        <v>2086</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2077</v>
      </c>
      <c r="B15" s="2007"/>
      <c r="C15" s="2007"/>
      <c r="D15" s="2007"/>
      <c r="E15" s="2007"/>
      <c r="F15" s="2007"/>
      <c r="G15" s="2007"/>
      <c r="H15" s="2008"/>
      <c r="T15" s="1970" t="s">
        <v>2087</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2" t="s">
        <v>2109</v>
      </c>
      <c r="B17" s="2033"/>
      <c r="C17" s="2033"/>
      <c r="D17" s="2033"/>
      <c r="E17" s="2033"/>
      <c r="F17" s="2033"/>
      <c r="G17" s="2033"/>
      <c r="H17" s="2034"/>
      <c r="T17" s="2019" t="s">
        <v>2088</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2078</v>
      </c>
      <c r="B19" s="2003"/>
      <c r="C19" s="2003"/>
      <c r="D19" s="2003"/>
      <c r="E19" s="2003"/>
      <c r="F19" s="2003"/>
      <c r="G19" s="2003"/>
      <c r="H19" s="2001"/>
      <c r="I19" s="30"/>
      <c r="J19" s="99"/>
      <c r="K19" s="40"/>
      <c r="L19" s="38"/>
      <c r="M19" s="112" t="s">
        <v>333</v>
      </c>
      <c r="P19" s="27"/>
      <c r="Q19" s="27"/>
      <c r="R19" s="27"/>
      <c r="S19" s="31"/>
      <c r="T19" s="2002" t="s">
        <v>2089</v>
      </c>
      <c r="U19" s="2000"/>
      <c r="V19" s="2000"/>
      <c r="W19" s="2001"/>
      <c r="X19" s="2017" t="s">
        <v>2090</v>
      </c>
      <c r="Y19" s="2018"/>
      <c r="Z19" s="2015">
        <v>60450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2079</v>
      </c>
      <c r="B21" s="2000"/>
      <c r="C21" s="2000"/>
      <c r="D21" s="2000"/>
      <c r="E21" s="2000"/>
      <c r="F21" s="2000"/>
      <c r="G21" s="2000"/>
      <c r="H21" s="2001"/>
      <c r="I21" s="2025" t="s">
        <v>699</v>
      </c>
      <c r="J21" s="1988"/>
      <c r="K21" s="1988"/>
      <c r="L21" s="1988"/>
      <c r="M21" s="1988"/>
      <c r="N21" s="1988"/>
      <c r="O21" s="1988"/>
      <c r="P21" s="1988"/>
      <c r="Q21" s="1988"/>
      <c r="R21" s="1988"/>
      <c r="S21" s="1989"/>
      <c r="T21" s="1967" t="s">
        <v>2091</v>
      </c>
      <c r="U21" s="1968"/>
      <c r="V21" s="1968"/>
      <c r="W21" s="1968"/>
      <c r="X21" s="1981" t="s">
        <v>2092</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2080</v>
      </c>
      <c r="B23" s="2023"/>
      <c r="C23" s="2023"/>
      <c r="D23" s="2023"/>
      <c r="E23" s="2023"/>
      <c r="F23" s="2023"/>
      <c r="G23" s="2023"/>
      <c r="H23" s="2024"/>
      <c r="T23" s="1962" t="s">
        <v>2094</v>
      </c>
      <c r="U23" s="1963"/>
      <c r="V23" s="1963"/>
      <c r="W23" s="1963"/>
      <c r="X23" s="1978">
        <v>44530</v>
      </c>
      <c r="Y23" s="1979"/>
      <c r="Z23" s="1979"/>
      <c r="AA23" s="1980"/>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1999">
        <v>60113</v>
      </c>
      <c r="B25" s="2000"/>
      <c r="C25" s="2000"/>
      <c r="D25" s="2000"/>
      <c r="E25" s="2000"/>
      <c r="F25" s="2000"/>
      <c r="G25" s="2000"/>
      <c r="H25" s="2001"/>
      <c r="I25" s="113"/>
      <c r="J25" s="2067"/>
      <c r="K25" s="2067"/>
      <c r="L25" s="2067"/>
      <c r="M25" s="2067"/>
      <c r="N25" s="2067"/>
      <c r="O25" s="2067"/>
      <c r="P25" s="2067"/>
      <c r="Q25" s="2067"/>
      <c r="R25" s="2067"/>
      <c r="S25" s="2068"/>
      <c r="T25" s="1959" t="s">
        <v>2093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2085</v>
      </c>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2" t="s">
        <v>2081</v>
      </c>
      <c r="B38" s="2033"/>
      <c r="C38" s="2033"/>
      <c r="D38" s="2033"/>
      <c r="E38" s="2033"/>
      <c r="F38" s="2000"/>
      <c r="G38" s="2000"/>
      <c r="H38" s="2001"/>
      <c r="I38" s="2052"/>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2082</v>
      </c>
      <c r="B40" s="2060"/>
      <c r="C40" s="2061"/>
      <c r="D40" s="2061"/>
      <c r="E40" s="2061"/>
      <c r="F40" s="2062"/>
      <c r="G40" s="2062"/>
      <c r="H40" s="2063"/>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2083</v>
      </c>
      <c r="B42" s="2050"/>
      <c r="C42" s="2051"/>
      <c r="D42" s="2064" t="s">
        <v>2084</v>
      </c>
      <c r="E42" s="2050"/>
      <c r="F42" s="2050"/>
      <c r="G42" s="2050"/>
      <c r="H42" s="2051"/>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2" sqref="H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731802</v>
      </c>
      <c r="C4" s="1546">
        <v>421654</v>
      </c>
      <c r="D4" s="1774">
        <f>B4-C4</f>
        <v>310148</v>
      </c>
      <c r="E4" s="1546">
        <v>767302</v>
      </c>
      <c r="F4" s="1774">
        <f>E4-C4</f>
        <v>345648</v>
      </c>
    </row>
    <row r="5" spans="1:6" ht="13.7" customHeight="1" x14ac:dyDescent="0.2">
      <c r="A5" s="716" t="s">
        <v>925</v>
      </c>
      <c r="B5" s="1772">
        <f>'Revenues 9-14'!D5</f>
        <v>76872</v>
      </c>
      <c r="C5" s="585">
        <v>44291</v>
      </c>
      <c r="D5" s="1775">
        <f t="shared" ref="D5:D18" si="0">B5-C5</f>
        <v>32581</v>
      </c>
      <c r="E5" s="585">
        <v>80599</v>
      </c>
      <c r="F5" s="1775">
        <f>E5-C5</f>
        <v>36308</v>
      </c>
    </row>
    <row r="6" spans="1:6" ht="13.7" customHeight="1" x14ac:dyDescent="0.2">
      <c r="A6" s="716" t="s">
        <v>431</v>
      </c>
      <c r="B6" s="1772">
        <f>'Revenues 9-14'!E5</f>
        <v>66094</v>
      </c>
      <c r="C6" s="585">
        <v>29074</v>
      </c>
      <c r="D6" s="1775">
        <f t="shared" si="0"/>
        <v>37020</v>
      </c>
      <c r="E6" s="585">
        <v>52953</v>
      </c>
      <c r="F6" s="1775">
        <f t="shared" ref="F6:F18" si="1">E6-C6</f>
        <v>23879</v>
      </c>
    </row>
    <row r="7" spans="1:6" ht="13.7" customHeight="1" x14ac:dyDescent="0.2">
      <c r="A7" s="716" t="s">
        <v>157</v>
      </c>
      <c r="B7" s="1772">
        <f>'Revenues 9-14'!F5</f>
        <v>36899</v>
      </c>
      <c r="C7" s="585">
        <v>21260</v>
      </c>
      <c r="D7" s="1775">
        <f t="shared" si="0"/>
        <v>15639</v>
      </c>
      <c r="E7" s="585">
        <v>38687</v>
      </c>
      <c r="F7" s="1775">
        <f t="shared" si="1"/>
        <v>17427</v>
      </c>
    </row>
    <row r="8" spans="1:6" ht="13.7" customHeight="1" x14ac:dyDescent="0.2">
      <c r="A8" s="716" t="s">
        <v>1241</v>
      </c>
      <c r="B8" s="1772">
        <f>'Revenues 9-14'!G5</f>
        <v>31515</v>
      </c>
      <c r="C8" s="585">
        <v>18116</v>
      </c>
      <c r="D8" s="1775">
        <f t="shared" si="0"/>
        <v>13399</v>
      </c>
      <c r="E8" s="585">
        <v>32970</v>
      </c>
      <c r="F8" s="1775">
        <f t="shared" si="1"/>
        <v>14854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15375</v>
      </c>
      <c r="C10" s="585">
        <v>8858</v>
      </c>
      <c r="D10" s="1775">
        <f t="shared" si="0"/>
        <v>6517</v>
      </c>
      <c r="E10" s="585">
        <v>16120</v>
      </c>
      <c r="F10" s="1775">
        <f t="shared" si="1"/>
        <v>7262</v>
      </c>
    </row>
    <row r="11" spans="1:6" x14ac:dyDescent="0.2">
      <c r="A11" s="716" t="s">
        <v>429</v>
      </c>
      <c r="B11" s="1772">
        <f>'Revenues 9-14'!J5</f>
        <v>164906</v>
      </c>
      <c r="C11" s="585">
        <v>94424</v>
      </c>
      <c r="D11" s="1775">
        <f t="shared" si="0"/>
        <v>70482</v>
      </c>
      <c r="E11" s="585">
        <v>171841</v>
      </c>
      <c r="F11" s="1775">
        <f t="shared" si="1"/>
        <v>77417</v>
      </c>
    </row>
    <row r="12" spans="1:6" ht="13.7" customHeight="1" x14ac:dyDescent="0.2">
      <c r="A12" s="716" t="s">
        <v>159</v>
      </c>
      <c r="B12" s="1772">
        <f>'Revenues 9-14'!K5</f>
        <v>8858</v>
      </c>
      <c r="C12" s="585">
        <v>8858</v>
      </c>
      <c r="D12" s="1775">
        <f t="shared" si="0"/>
        <v>0</v>
      </c>
      <c r="E12" s="585">
        <v>16066</v>
      </c>
      <c r="F12" s="1775">
        <f t="shared" si="1"/>
        <v>7208</v>
      </c>
    </row>
    <row r="13" spans="1:6" ht="13.7" customHeight="1" x14ac:dyDescent="0.2">
      <c r="A13" s="716" t="s">
        <v>993</v>
      </c>
      <c r="B13" s="1772">
        <f>SUM('Revenues 9-14'!C6:D6)</f>
        <v>15375</v>
      </c>
      <c r="C13" s="585">
        <v>8858</v>
      </c>
      <c r="D13" s="1775">
        <f t="shared" si="0"/>
        <v>6517</v>
      </c>
      <c r="E13" s="585">
        <v>16120</v>
      </c>
      <c r="F13" s="1775">
        <f t="shared" si="1"/>
        <v>7262</v>
      </c>
    </row>
    <row r="14" spans="1:6" ht="13.7" customHeight="1" x14ac:dyDescent="0.2">
      <c r="A14" s="716" t="s">
        <v>430</v>
      </c>
      <c r="B14" s="1772">
        <f>SUM('Revenues 9-14'!C7:D7,'Revenues 9-14'!F7:H7)</f>
        <v>6150</v>
      </c>
      <c r="C14" s="585">
        <v>3453</v>
      </c>
      <c r="D14" s="1775">
        <f t="shared" si="0"/>
        <v>2697</v>
      </c>
      <c r="E14" s="585">
        <v>6448</v>
      </c>
      <c r="F14" s="1775">
        <f t="shared" si="1"/>
        <v>2995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31515</v>
      </c>
      <c r="C16" s="585">
        <v>18116</v>
      </c>
      <c r="D16" s="1775">
        <f t="shared" si="0"/>
        <v>13399</v>
      </c>
      <c r="E16" s="585">
        <v>32970</v>
      </c>
      <c r="F16" s="1775">
        <f t="shared" si="1"/>
        <v>14854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1185361</v>
      </c>
      <c r="C19" s="1773">
        <f>SUM(C4:C18)</f>
        <v>676962</v>
      </c>
      <c r="D19" s="1773">
        <f>SUM(D4:D18)</f>
        <v>508399</v>
      </c>
      <c r="E19" s="1773">
        <f>SUM(E4:E18)</f>
        <v>1232076</v>
      </c>
      <c r="F19" s="1773">
        <f>SUM(F4:F18)</f>
        <v>555114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E17" sqref="E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8" t="s">
        <v>2036</v>
      </c>
      <c r="D2" s="724" t="s">
        <v>2043</v>
      </c>
      <c r="E2" s="724" t="s">
        <v>2044</v>
      </c>
      <c r="F2" s="1908" t="s">
        <v>2037</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v>150000</v>
      </c>
      <c r="D6" s="585"/>
      <c r="E6" s="727">
        <v>150000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150000</v>
      </c>
      <c r="D15" s="1777">
        <f>SUM(D6:D14)</f>
        <v>0</v>
      </c>
      <c r="E15" s="1777">
        <f>SUM(E6:E14)</f>
        <v>150000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2100</v>
      </c>
      <c r="B31" s="734">
        <v>41163</v>
      </c>
      <c r="C31" s="735">
        <v>150000</v>
      </c>
      <c r="D31" s="736">
        <v>7</v>
      </c>
      <c r="E31" s="735">
        <v>35000</v>
      </c>
      <c r="F31" s="735"/>
      <c r="G31" s="735"/>
      <c r="H31" s="735">
        <v>35000</v>
      </c>
      <c r="I31" s="1778">
        <f>((E31+F31)-H31)+G31</f>
        <v>0</v>
      </c>
      <c r="J31" s="735"/>
      <c r="K31" s="737"/>
    </row>
    <row r="32" spans="1:11" ht="12" customHeight="1" x14ac:dyDescent="0.2">
      <c r="A32" s="733" t="s">
        <v>2101</v>
      </c>
      <c r="B32" s="734">
        <v>41852</v>
      </c>
      <c r="C32" s="735">
        <v>585000</v>
      </c>
      <c r="D32" s="736">
        <v>7</v>
      </c>
      <c r="E32" s="735">
        <v>523420</v>
      </c>
      <c r="F32" s="735"/>
      <c r="G32" s="735"/>
      <c r="H32" s="735">
        <v>30790</v>
      </c>
      <c r="I32" s="1778">
        <f>((E32+F32)-H32)+G32</f>
        <v>492630</v>
      </c>
      <c r="J32" s="735">
        <v>492630</v>
      </c>
      <c r="K32" s="737"/>
    </row>
    <row r="33" spans="1:11" ht="12" customHeight="1" x14ac:dyDescent="0.2">
      <c r="A33" s="733" t="s">
        <v>2102</v>
      </c>
      <c r="B33" s="734">
        <v>41844</v>
      </c>
      <c r="C33" s="735">
        <v>49900</v>
      </c>
      <c r="D33" s="736">
        <v>7</v>
      </c>
      <c r="E33" s="735">
        <v>42415</v>
      </c>
      <c r="F33" s="735"/>
      <c r="G33" s="735"/>
      <c r="H33" s="735">
        <v>2495</v>
      </c>
      <c r="I33" s="1778">
        <f t="shared" ref="I33:I48" si="1">((E33+F33)-H33)+G33</f>
        <v>39920</v>
      </c>
      <c r="J33" s="735">
        <v>39920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784900</v>
      </c>
      <c r="D49" s="746"/>
      <c r="E49" s="1778">
        <f t="shared" ref="E49:J49" si="2">SUM(E31:E48)</f>
        <v>600835</v>
      </c>
      <c r="F49" s="1778">
        <f t="shared" si="2"/>
        <v>0</v>
      </c>
      <c r="G49" s="1778">
        <f t="shared" si="2"/>
        <v>0</v>
      </c>
      <c r="H49" s="1778">
        <f t="shared" si="2"/>
        <v>68285</v>
      </c>
      <c r="I49" s="1778">
        <f t="shared" si="2"/>
        <v>532550</v>
      </c>
      <c r="J49" s="1778">
        <f t="shared" si="2"/>
        <v>532550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2103</v>
      </c>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6"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6150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6150</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6150</v>
      </c>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6150</v>
      </c>
      <c r="I23" s="1780">
        <f>SUM(I14:I16,I21,I22)</f>
        <v>0</v>
      </c>
      <c r="J23" s="1780">
        <f>SUM(J14:J16,J21,J22)</f>
        <v>0</v>
      </c>
      <c r="K23" s="1780">
        <f>SUM(K14:K16,K21,K22)</f>
        <v>0</v>
      </c>
    </row>
    <row r="24" spans="1:11" ht="14.25" thickTop="1" thickBot="1" x14ac:dyDescent="0.25">
      <c r="A24" s="2254" t="s">
        <v>2024</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9" sqref="H2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v>
      </c>
      <c r="D5" s="842"/>
      <c r="E5" s="842"/>
      <c r="F5" s="1782">
        <f>(C5+D5)-E5</f>
        <v>5000</v>
      </c>
      <c r="G5" s="838"/>
      <c r="H5" s="843"/>
      <c r="I5" s="843"/>
      <c r="J5" s="843"/>
      <c r="K5" s="794"/>
      <c r="L5" s="1791">
        <f>F5-K5</f>
        <v>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f>491700+177284</f>
        <v>668984</v>
      </c>
      <c r="D8" s="845"/>
      <c r="E8" s="845"/>
      <c r="F8" s="1782">
        <f>(C8+D8)-E8</f>
        <v>668984</v>
      </c>
      <c r="G8" s="844">
        <v>50</v>
      </c>
      <c r="H8" s="766">
        <f>445870+56892</f>
        <v>502762</v>
      </c>
      <c r="I8" s="766">
        <f>9834+3545</f>
        <v>13379</v>
      </c>
      <c r="J8" s="766"/>
      <c r="K8" s="1791">
        <f>(H8+I8)-J8</f>
        <v>516141</v>
      </c>
      <c r="L8" s="1791">
        <f>F8-K8</f>
        <v>152843</v>
      </c>
    </row>
    <row r="9" spans="1:14" ht="14.25" thickTop="1" thickBot="1" x14ac:dyDescent="0.25">
      <c r="A9" s="779" t="s">
        <v>1181</v>
      </c>
      <c r="B9" s="841">
        <v>232</v>
      </c>
      <c r="C9" s="766">
        <f>128889+403430</f>
        <v>532319</v>
      </c>
      <c r="D9" s="766">
        <f>5270+2640+10935</f>
        <v>18845</v>
      </c>
      <c r="E9" s="766"/>
      <c r="F9" s="1782">
        <f>(C9+D9)-E9</f>
        <v>551164</v>
      </c>
      <c r="G9" s="844">
        <v>20</v>
      </c>
      <c r="H9" s="766">
        <f>32220+40344</f>
        <v>72564</v>
      </c>
      <c r="I9" s="766">
        <f>6444+20172+264+132+547</f>
        <v>27559</v>
      </c>
      <c r="J9" s="766"/>
      <c r="K9" s="1791">
        <f>(H9+I9)-J9</f>
        <v>100123</v>
      </c>
      <c r="L9" s="1791">
        <f>F9-K9</f>
        <v>451041</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f>140918+144687+22966+9880+3002+2288+5175</f>
        <v>328916</v>
      </c>
      <c r="D12" s="845"/>
      <c r="E12" s="845"/>
      <c r="F12" s="1782">
        <f>(C12+D12)-E12</f>
        <v>328916</v>
      </c>
      <c r="G12" s="844">
        <v>10</v>
      </c>
      <c r="H12" s="766">
        <f>140918+114187+10717+4940+1716+687+518</f>
        <v>273683</v>
      </c>
      <c r="I12" s="766">
        <v>9132</v>
      </c>
      <c r="J12" s="766"/>
      <c r="K12" s="1791">
        <f>(H12+I12)-J12</f>
        <v>282815</v>
      </c>
      <c r="L12" s="1791">
        <f>F12-K12</f>
        <v>46101</v>
      </c>
    </row>
    <row r="13" spans="1:14" ht="14.25" thickTop="1" thickBot="1" x14ac:dyDescent="0.25">
      <c r="A13" s="849" t="s">
        <v>1184</v>
      </c>
      <c r="B13" s="841">
        <v>252</v>
      </c>
      <c r="C13" s="845">
        <f>16682+45684+23195</f>
        <v>85561</v>
      </c>
      <c r="D13" s="845"/>
      <c r="E13" s="845">
        <v>23195</v>
      </c>
      <c r="F13" s="1782">
        <f>(C13+D13)-E13</f>
        <v>62366</v>
      </c>
      <c r="G13" s="844">
        <v>5</v>
      </c>
      <c r="H13" s="766">
        <f>16682+45684+23195</f>
        <v>85561</v>
      </c>
      <c r="I13" s="766"/>
      <c r="J13" s="766">
        <v>23195</v>
      </c>
      <c r="K13" s="1791">
        <f>(H13+I13)-J13</f>
        <v>62366</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1620780</v>
      </c>
      <c r="D16" s="1782">
        <f>SUM(D3,D5:D6,D8:D10,D12:D15)</f>
        <v>18845</v>
      </c>
      <c r="E16" s="1782">
        <f>SUM(E3,E5:E6,E8:E10,E12:E15)</f>
        <v>23195</v>
      </c>
      <c r="F16" s="1782">
        <f>SUM(F3,F5:F6,F8:F10,F12:F15)</f>
        <v>1616430</v>
      </c>
      <c r="G16" s="844"/>
      <c r="H16" s="1782">
        <f>SUM(H3,H6,H8:H10,H12:H14,)</f>
        <v>934570</v>
      </c>
      <c r="I16" s="1782">
        <f>SUM(I3,I6,I8:I10,I12:I14,)</f>
        <v>50070</v>
      </c>
      <c r="J16" s="1782">
        <f>SUM(J3,J6,J8:J10,J12:J14,)</f>
        <v>23195</v>
      </c>
      <c r="K16" s="1782">
        <f>(H16+I16)-J16</f>
        <v>961445</v>
      </c>
      <c r="L16" s="1782">
        <f>F16-K16</f>
        <v>654985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50070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867845</v>
      </c>
      <c r="G8" s="866"/>
    </row>
    <row r="9" spans="1:7" x14ac:dyDescent="0.2">
      <c r="A9" s="870" t="s">
        <v>480</v>
      </c>
      <c r="B9" s="871" t="s">
        <v>1988</v>
      </c>
      <c r="C9" s="872"/>
      <c r="D9" s="870" t="s">
        <v>522</v>
      </c>
      <c r="E9" s="869"/>
      <c r="F9" s="1934">
        <f>'Expenditures 15-22'!K151</f>
        <v>69118</v>
      </c>
      <c r="G9" s="873"/>
    </row>
    <row r="10" spans="1:7" x14ac:dyDescent="0.2">
      <c r="A10" s="870" t="s">
        <v>520</v>
      </c>
      <c r="B10" s="871" t="s">
        <v>1989</v>
      </c>
      <c r="C10" s="872"/>
      <c r="D10" s="870" t="s">
        <v>522</v>
      </c>
      <c r="E10" s="869"/>
      <c r="F10" s="1934">
        <f>'Expenditures 15-22'!K174</f>
        <v>94359</v>
      </c>
      <c r="G10" s="873"/>
    </row>
    <row r="11" spans="1:7" x14ac:dyDescent="0.2">
      <c r="A11" s="870" t="s">
        <v>481</v>
      </c>
      <c r="B11" s="871" t="s">
        <v>1990</v>
      </c>
      <c r="C11" s="872"/>
      <c r="D11" s="870" t="s">
        <v>522</v>
      </c>
      <c r="E11" s="869"/>
      <c r="F11" s="1934">
        <f>'Expenditures 15-22'!K210</f>
        <v>30716</v>
      </c>
      <c r="G11" s="873"/>
    </row>
    <row r="12" spans="1:7" x14ac:dyDescent="0.2">
      <c r="A12" s="870" t="s">
        <v>482</v>
      </c>
      <c r="B12" s="871" t="s">
        <v>1991</v>
      </c>
      <c r="C12" s="872"/>
      <c r="D12" s="870" t="s">
        <v>522</v>
      </c>
      <c r="E12" s="869"/>
      <c r="F12" s="1934">
        <f>'Expenditures 15-22'!K295</f>
        <v>35416</v>
      </c>
      <c r="G12" s="873"/>
    </row>
    <row r="13" spans="1:7" x14ac:dyDescent="0.2">
      <c r="A13" s="870" t="s">
        <v>108</v>
      </c>
      <c r="B13" s="871" t="s">
        <v>1992</v>
      </c>
      <c r="C13" s="872"/>
      <c r="D13" s="870" t="s">
        <v>522</v>
      </c>
      <c r="E13" s="869"/>
      <c r="F13" s="1934">
        <f>'Expenditures 15-22'!K342</f>
        <v>168356</v>
      </c>
      <c r="G13" s="874"/>
    </row>
    <row r="14" spans="1:7" ht="12" customHeight="1" thickBot="1" x14ac:dyDescent="0.25">
      <c r="A14" s="1792"/>
      <c r="B14" s="1793"/>
      <c r="C14" s="1794"/>
      <c r="D14" s="1795" t="s">
        <v>522</v>
      </c>
      <c r="E14" s="1796" t="s">
        <v>1015</v>
      </c>
      <c r="F14" s="1797">
        <f>SUM(F8:F13)</f>
        <v>1265810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46614</v>
      </c>
      <c r="G53" s="866"/>
    </row>
    <row r="54" spans="1:7" x14ac:dyDescent="0.2">
      <c r="A54" s="870" t="s">
        <v>479</v>
      </c>
      <c r="B54" s="870" t="s">
        <v>1552</v>
      </c>
      <c r="C54" s="890" t="s">
        <v>1039</v>
      </c>
      <c r="D54" s="886" t="s">
        <v>1157</v>
      </c>
      <c r="E54" s="869"/>
      <c r="F54" s="1938">
        <f>'Expenditures 15-22'!G114</f>
        <v>579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0</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68285</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5871</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121349</v>
      </c>
      <c r="G76" s="866"/>
    </row>
    <row r="77" spans="1:8" s="894" customFormat="1" ht="12" customHeight="1" thickTop="1" thickBot="1" x14ac:dyDescent="0.25">
      <c r="A77" s="1801"/>
      <c r="B77" s="1798"/>
      <c r="C77" s="1794"/>
      <c r="D77" s="1799" t="s">
        <v>2011</v>
      </c>
      <c r="E77" s="1796"/>
      <c r="F77" s="1802">
        <f>(F14-F76)</f>
        <v>1144461</v>
      </c>
      <c r="G77" s="870"/>
    </row>
    <row r="78" spans="1:8" s="894" customFormat="1" ht="12" customHeight="1" thickTop="1" x14ac:dyDescent="0.2">
      <c r="A78" s="1803"/>
      <c r="B78" s="1798"/>
      <c r="C78" s="1794"/>
      <c r="D78" s="1799" t="s">
        <v>2057</v>
      </c>
      <c r="E78" s="1796"/>
      <c r="F78" s="899">
        <v>83.55</v>
      </c>
      <c r="G78" s="900"/>
      <c r="H78" s="870"/>
    </row>
    <row r="79" spans="1:8" s="894" customFormat="1" ht="12" customHeight="1" thickBot="1" x14ac:dyDescent="0.25">
      <c r="A79" s="1804"/>
      <c r="B79" s="1798"/>
      <c r="C79" s="1794"/>
      <c r="D79" s="1799" t="s">
        <v>2012</v>
      </c>
      <c r="E79" s="1796" t="s">
        <v>1015</v>
      </c>
      <c r="F79" s="1805">
        <f>IF(F78&gt;0,F77/F78," Complete Line 78")</f>
        <v>13697.917414721724</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6915</v>
      </c>
      <c r="G94" s="913"/>
    </row>
    <row r="95" spans="1:7" x14ac:dyDescent="0.2">
      <c r="A95" s="909" t="s">
        <v>142</v>
      </c>
      <c r="B95" s="909" t="s">
        <v>177</v>
      </c>
      <c r="C95" s="911">
        <v>1700</v>
      </c>
      <c r="D95" s="919" t="str">
        <f>'Revenues 9-14'!A82</f>
        <v>Total District/School Activity Income</v>
      </c>
      <c r="E95" s="907"/>
      <c r="F95" s="1811">
        <f>SUM('Revenues 9-14'!C82,'Revenues 9-14'!D82)</f>
        <v>6636</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11494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3487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16584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12428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8237</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1760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1616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1337</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70719</v>
      </c>
    </row>
    <row r="179" spans="1:7" ht="12" customHeight="1" x14ac:dyDescent="0.2">
      <c r="A179" s="1792"/>
      <c r="B179" s="1806"/>
      <c r="C179" s="1807"/>
      <c r="D179" s="1808" t="s">
        <v>2014</v>
      </c>
      <c r="E179" s="1809"/>
      <c r="F179" s="1811">
        <f>'PCTC-OEPP 27-28'!F77-F178</f>
        <v>1073742</v>
      </c>
    </row>
    <row r="180" spans="1:7" ht="12" customHeight="1" x14ac:dyDescent="0.2">
      <c r="A180" s="1792"/>
      <c r="B180" s="1806"/>
      <c r="C180" s="1807"/>
      <c r="D180" s="1808" t="s">
        <v>1924</v>
      </c>
      <c r="E180" s="1809"/>
      <c r="F180" s="1811">
        <f>'Cap Outlay Deprec 26'!I18</f>
        <v>50070</v>
      </c>
    </row>
    <row r="181" spans="1:7" ht="12" customHeight="1" x14ac:dyDescent="0.2">
      <c r="A181" s="1792"/>
      <c r="B181" s="1806"/>
      <c r="C181" s="1807"/>
      <c r="D181" s="1808" t="s">
        <v>2015</v>
      </c>
      <c r="E181" s="1809"/>
      <c r="F181" s="1811">
        <f>F179+F180</f>
        <v>1123812</v>
      </c>
    </row>
    <row r="182" spans="1:7" ht="12" customHeight="1" x14ac:dyDescent="0.2">
      <c r="A182" s="1792"/>
      <c r="B182" s="1812"/>
      <c r="C182" s="1807"/>
      <c r="D182" s="1808" t="str">
        <f>D78</f>
        <v>9 Month ADA from District Average Daily Attendance/Prior General State Aid Inquiry 2017-2018</v>
      </c>
      <c r="E182" s="1809"/>
      <c r="F182" s="1813">
        <f>'PCTC-OEPP 27-28'!F78</f>
        <v>83.55</v>
      </c>
      <c r="G182" s="931"/>
    </row>
    <row r="183" spans="1:7" ht="12" customHeight="1" thickBot="1" x14ac:dyDescent="0.25">
      <c r="A183" s="1792"/>
      <c r="B183" s="1812"/>
      <c r="C183" s="1807"/>
      <c r="D183" s="1808" t="s">
        <v>2016</v>
      </c>
      <c r="E183" s="1809" t="s">
        <v>1626</v>
      </c>
      <c r="F183" s="1814">
        <f>F181/F182</f>
        <v>13450.771992818673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7" sqref="B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2106</v>
      </c>
      <c r="B17" s="1956" t="s">
        <v>2107</v>
      </c>
      <c r="C17" s="1957" t="s">
        <v>2108</v>
      </c>
      <c r="D17" s="1866">
        <v>3067</v>
      </c>
      <c r="E17" s="1562">
        <f t="shared" ref="E17:E141" si="1">IF(D17&lt;=25000,D17,IF(D17&gt;25000,25000,0))</f>
        <v>3067</v>
      </c>
      <c r="F17" s="1815">
        <f t="shared" si="0"/>
        <v>3067</v>
      </c>
      <c r="G17" s="1816">
        <f>IF(F17=0,0,D17-F17)</f>
        <v>0</v>
      </c>
      <c r="H17" s="1669"/>
    </row>
    <row r="18" spans="1:8" x14ac:dyDescent="0.25">
      <c r="A18" s="1675"/>
      <c r="B18" s="1867"/>
      <c r="C18" s="1678"/>
      <c r="D18" s="1866"/>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8"/>
      <c r="C19" s="1678"/>
      <c r="D19" s="1866"/>
      <c r="E19" s="1562">
        <f t="shared" si="2"/>
        <v>0</v>
      </c>
      <c r="F19" s="1815">
        <f t="shared" si="3"/>
        <v>0</v>
      </c>
      <c r="G19" s="1816">
        <f t="shared" si="4"/>
        <v>0</v>
      </c>
    </row>
    <row r="20" spans="1:8" x14ac:dyDescent="0.25">
      <c r="A20" s="1675"/>
      <c r="B20" s="1867"/>
      <c r="C20" s="1678"/>
      <c r="D20" s="1866"/>
      <c r="E20" s="1562">
        <f t="shared" si="2"/>
        <v>0</v>
      </c>
      <c r="F20" s="1815">
        <f t="shared" si="3"/>
        <v>0</v>
      </c>
      <c r="G20" s="1816">
        <f t="shared" si="4"/>
        <v>0</v>
      </c>
    </row>
    <row r="21" spans="1:8" x14ac:dyDescent="0.25">
      <c r="A21" s="1675"/>
      <c r="B21" s="1867"/>
      <c r="C21" s="1678"/>
      <c r="D21" s="1866"/>
      <c r="E21" s="1562">
        <f t="shared" si="2"/>
        <v>0</v>
      </c>
      <c r="F21" s="1815">
        <f t="shared" si="3"/>
        <v>0</v>
      </c>
      <c r="G21" s="1816">
        <f t="shared" si="4"/>
        <v>0</v>
      </c>
    </row>
    <row r="22" spans="1:8" x14ac:dyDescent="0.25">
      <c r="A22" s="1675"/>
      <c r="B22" s="1867"/>
      <c r="C22" s="1678"/>
      <c r="D22" s="1866"/>
      <c r="E22" s="1562">
        <f t="shared" si="2"/>
        <v>0</v>
      </c>
      <c r="F22" s="1815">
        <f t="shared" si="3"/>
        <v>0</v>
      </c>
      <c r="G22" s="1816">
        <f t="shared" si="4"/>
        <v>0</v>
      </c>
    </row>
    <row r="23" spans="1:8" x14ac:dyDescent="0.25">
      <c r="A23" s="1675"/>
      <c r="B23" s="1867"/>
      <c r="C23" s="1678"/>
      <c r="D23" s="1866"/>
      <c r="E23" s="1562">
        <f t="shared" si="2"/>
        <v>0</v>
      </c>
      <c r="F23" s="1815">
        <f t="shared" si="3"/>
        <v>0</v>
      </c>
      <c r="G23" s="1816">
        <f t="shared" si="4"/>
        <v>0</v>
      </c>
    </row>
    <row r="24" spans="1:8" x14ac:dyDescent="0.25">
      <c r="A24" s="1675"/>
      <c r="B24" s="1868"/>
      <c r="C24" s="1678"/>
      <c r="D24" s="1866"/>
      <c r="E24" s="1562">
        <f t="shared" si="2"/>
        <v>0</v>
      </c>
      <c r="F24" s="1815">
        <f t="shared" si="3"/>
        <v>0</v>
      </c>
      <c r="G24" s="1816">
        <f t="shared" si="4"/>
        <v>0</v>
      </c>
    </row>
    <row r="25" spans="1:8" x14ac:dyDescent="0.25">
      <c r="A25" s="1675"/>
      <c r="B25" s="1867"/>
      <c r="C25" s="1678"/>
      <c r="D25" s="1866"/>
      <c r="E25" s="1562">
        <f t="shared" si="2"/>
        <v>0</v>
      </c>
      <c r="F25" s="1815">
        <f t="shared" si="3"/>
        <v>0</v>
      </c>
      <c r="G25" s="1816">
        <f t="shared" si="4"/>
        <v>0</v>
      </c>
    </row>
    <row r="26" spans="1:8" x14ac:dyDescent="0.25">
      <c r="A26" s="1675"/>
      <c r="B26" s="1868"/>
      <c r="C26" s="1676"/>
      <c r="D26" s="1866"/>
      <c r="E26" s="1562">
        <f t="shared" si="2"/>
        <v>0</v>
      </c>
      <c r="F26" s="1815">
        <f t="shared" si="3"/>
        <v>0</v>
      </c>
      <c r="G26" s="1816">
        <f t="shared" si="4"/>
        <v>0</v>
      </c>
    </row>
    <row r="27" spans="1:8" x14ac:dyDescent="0.25">
      <c r="A27" s="1675"/>
      <c r="B27" s="1868"/>
      <c r="C27" s="1676"/>
      <c r="D27" s="1866"/>
      <c r="E27" s="1562">
        <f t="shared" si="2"/>
        <v>0</v>
      </c>
      <c r="F27" s="1815">
        <f t="shared" si="3"/>
        <v>0</v>
      </c>
      <c r="G27" s="1816">
        <f t="shared" si="4"/>
        <v>0</v>
      </c>
    </row>
    <row r="28" spans="1:8" x14ac:dyDescent="0.25">
      <c r="A28" s="1675"/>
      <c r="B28" s="1868"/>
      <c r="C28" s="1676"/>
      <c r="D28" s="1866"/>
      <c r="E28" s="1562">
        <f t="shared" si="2"/>
        <v>0</v>
      </c>
      <c r="F28" s="1815">
        <f t="shared" si="3"/>
        <v>0</v>
      </c>
      <c r="G28" s="1816">
        <f t="shared" si="4"/>
        <v>0</v>
      </c>
    </row>
    <row r="29" spans="1:8" x14ac:dyDescent="0.25">
      <c r="A29" s="1675"/>
      <c r="B29" s="1868"/>
      <c r="C29" s="1676"/>
      <c r="D29" s="1866"/>
      <c r="E29" s="1562">
        <f t="shared" si="2"/>
        <v>0</v>
      </c>
      <c r="F29" s="1815">
        <f t="shared" si="3"/>
        <v>0</v>
      </c>
      <c r="G29" s="1816">
        <f t="shared" si="4"/>
        <v>0</v>
      </c>
    </row>
    <row r="30" spans="1:8" x14ac:dyDescent="0.25">
      <c r="A30" s="1675"/>
      <c r="B30" s="1868"/>
      <c r="C30" s="1676"/>
      <c r="D30" s="1866"/>
      <c r="E30" s="1562">
        <f t="shared" si="2"/>
        <v>0</v>
      </c>
      <c r="F30" s="1815">
        <f t="shared" si="3"/>
        <v>0</v>
      </c>
      <c r="G30" s="1816">
        <f t="shared" si="4"/>
        <v>0</v>
      </c>
    </row>
    <row r="31" spans="1:8" x14ac:dyDescent="0.25">
      <c r="A31" s="1675"/>
      <c r="B31" s="1868"/>
      <c r="C31" s="1676"/>
      <c r="D31" s="1866"/>
      <c r="E31" s="1562">
        <f t="shared" si="2"/>
        <v>0</v>
      </c>
      <c r="F31" s="1815">
        <f t="shared" si="3"/>
        <v>0</v>
      </c>
      <c r="G31" s="1816">
        <f t="shared" si="4"/>
        <v>0</v>
      </c>
    </row>
    <row r="32" spans="1:8" x14ac:dyDescent="0.25">
      <c r="A32" s="1675"/>
      <c r="B32" s="1868"/>
      <c r="C32" s="1676"/>
      <c r="D32" s="1866"/>
      <c r="E32" s="1562">
        <f t="shared" si="2"/>
        <v>0</v>
      </c>
      <c r="F32" s="1815">
        <f t="shared" si="3"/>
        <v>0</v>
      </c>
      <c r="G32" s="1816">
        <f t="shared" si="4"/>
        <v>0</v>
      </c>
    </row>
    <row r="33" spans="1:7" x14ac:dyDescent="0.25">
      <c r="A33" s="1675"/>
      <c r="B33" s="1868"/>
      <c r="C33" s="1676"/>
      <c r="D33" s="1866"/>
      <c r="E33" s="1562">
        <f t="shared" si="2"/>
        <v>0</v>
      </c>
      <c r="F33" s="1815">
        <f t="shared" si="3"/>
        <v>0</v>
      </c>
      <c r="G33" s="1816">
        <f t="shared" si="4"/>
        <v>0</v>
      </c>
    </row>
    <row r="34" spans="1:7" x14ac:dyDescent="0.25">
      <c r="A34" s="1675"/>
      <c r="B34" s="1868"/>
      <c r="C34" s="1676"/>
      <c r="D34" s="1866"/>
      <c r="E34" s="1562">
        <f t="shared" si="2"/>
        <v>0</v>
      </c>
      <c r="F34" s="1815">
        <f t="shared" si="3"/>
        <v>0</v>
      </c>
      <c r="G34" s="1816">
        <f t="shared" si="4"/>
        <v>0</v>
      </c>
    </row>
    <row r="35" spans="1:7" x14ac:dyDescent="0.25">
      <c r="A35" s="1675"/>
      <c r="B35" s="1868"/>
      <c r="C35" s="1676"/>
      <c r="D35" s="1866"/>
      <c r="E35" s="1562">
        <f t="shared" si="2"/>
        <v>0</v>
      </c>
      <c r="F35" s="1815">
        <f t="shared" si="3"/>
        <v>0</v>
      </c>
      <c r="G35" s="1816">
        <f t="shared" si="4"/>
        <v>0</v>
      </c>
    </row>
    <row r="36" spans="1:7" x14ac:dyDescent="0.25">
      <c r="A36" s="1675"/>
      <c r="B36" s="1868"/>
      <c r="C36" s="1676"/>
      <c r="D36" s="1866"/>
      <c r="E36" s="1562">
        <f t="shared" si="2"/>
        <v>0</v>
      </c>
      <c r="F36" s="1815">
        <f t="shared" si="3"/>
        <v>0</v>
      </c>
      <c r="G36" s="1816">
        <f t="shared" si="4"/>
        <v>0</v>
      </c>
    </row>
    <row r="37" spans="1:7" x14ac:dyDescent="0.25">
      <c r="A37" s="1675"/>
      <c r="B37" s="1868"/>
      <c r="C37" s="1676"/>
      <c r="D37" s="1866"/>
      <c r="E37" s="1562">
        <f t="shared" si="2"/>
        <v>0</v>
      </c>
      <c r="F37" s="1815">
        <f t="shared" si="3"/>
        <v>0</v>
      </c>
      <c r="G37" s="1816">
        <f t="shared" si="4"/>
        <v>0</v>
      </c>
    </row>
    <row r="38" spans="1:7" x14ac:dyDescent="0.25">
      <c r="A38" s="1675"/>
      <c r="B38" s="1689"/>
      <c r="C38" s="1676"/>
      <c r="D38" s="1866"/>
      <c r="E38" s="1562">
        <f t="shared" si="2"/>
        <v>0</v>
      </c>
      <c r="F38" s="1815">
        <f t="shared" si="3"/>
        <v>0</v>
      </c>
      <c r="G38" s="1816">
        <f t="shared" si="4"/>
        <v>0</v>
      </c>
    </row>
    <row r="39" spans="1:7" x14ac:dyDescent="0.25">
      <c r="A39" s="1675"/>
      <c r="B39" s="1689"/>
      <c r="C39" s="1676"/>
      <c r="D39" s="1866"/>
      <c r="E39" s="1562">
        <f t="shared" si="2"/>
        <v>0</v>
      </c>
      <c r="F39" s="1815">
        <f t="shared" si="3"/>
        <v>0</v>
      </c>
      <c r="G39" s="1816">
        <f t="shared" si="4"/>
        <v>0</v>
      </c>
    </row>
    <row r="40" spans="1:7" x14ac:dyDescent="0.25">
      <c r="A40" s="1675"/>
      <c r="B40" s="1689"/>
      <c r="C40" s="1676"/>
      <c r="D40" s="1866"/>
      <c r="E40" s="1562">
        <f t="shared" si="2"/>
        <v>0</v>
      </c>
      <c r="F40" s="1815">
        <f t="shared" si="3"/>
        <v>0</v>
      </c>
      <c r="G40" s="1816">
        <f t="shared" si="4"/>
        <v>0</v>
      </c>
    </row>
    <row r="41" spans="1:7" x14ac:dyDescent="0.25">
      <c r="A41" s="1675"/>
      <c r="B41" s="1689"/>
      <c r="C41" s="1676"/>
      <c r="D41" s="1866"/>
      <c r="E41" s="1562">
        <f t="shared" si="2"/>
        <v>0</v>
      </c>
      <c r="F41" s="1815">
        <f t="shared" si="3"/>
        <v>0</v>
      </c>
      <c r="G41" s="1816">
        <f t="shared" si="4"/>
        <v>0</v>
      </c>
    </row>
    <row r="42" spans="1:7" x14ac:dyDescent="0.25">
      <c r="A42" s="1955"/>
      <c r="B42" s="1956"/>
      <c r="C42" s="1957"/>
      <c r="D42" s="1866"/>
      <c r="E42" s="1562">
        <f t="shared" si="2"/>
        <v>0</v>
      </c>
      <c r="F42" s="1815">
        <f t="shared" si="3"/>
        <v>0</v>
      </c>
      <c r="G42" s="1816">
        <f t="shared" si="4"/>
        <v>0</v>
      </c>
    </row>
    <row r="43" spans="1:7" x14ac:dyDescent="0.25">
      <c r="A43" s="1675"/>
      <c r="B43" s="1689"/>
      <c r="C43" s="1676"/>
      <c r="D43" s="1866"/>
      <c r="E43" s="1562">
        <f t="shared" si="2"/>
        <v>0</v>
      </c>
      <c r="F43" s="1815">
        <f t="shared" si="3"/>
        <v>0</v>
      </c>
      <c r="G43" s="1816">
        <f t="shared" si="4"/>
        <v>0</v>
      </c>
    </row>
    <row r="44" spans="1:7" x14ac:dyDescent="0.25">
      <c r="A44" s="1675"/>
      <c r="B44" s="1689"/>
      <c r="C44" s="1676"/>
      <c r="D44" s="1866"/>
      <c r="E44" s="1562">
        <f t="shared" si="2"/>
        <v>0</v>
      </c>
      <c r="F44" s="1815">
        <f t="shared" si="3"/>
        <v>0</v>
      </c>
      <c r="G44" s="1816">
        <f t="shared" si="4"/>
        <v>0</v>
      </c>
    </row>
    <row r="45" spans="1:7" x14ac:dyDescent="0.25">
      <c r="A45" s="1675"/>
      <c r="B45" s="1689"/>
      <c r="C45" s="1676"/>
      <c r="D45" s="1866"/>
      <c r="E45" s="1562">
        <f t="shared" si="2"/>
        <v>0</v>
      </c>
      <c r="F45" s="1815">
        <f t="shared" si="3"/>
        <v>0</v>
      </c>
      <c r="G45" s="1816">
        <f t="shared" si="4"/>
        <v>0</v>
      </c>
    </row>
    <row r="46" spans="1:7" x14ac:dyDescent="0.25">
      <c r="A46" s="1675"/>
      <c r="B46" s="1689"/>
      <c r="C46" s="1676"/>
      <c r="D46" s="1866"/>
      <c r="E46" s="1562">
        <f t="shared" si="2"/>
        <v>0</v>
      </c>
      <c r="F46" s="1815">
        <f t="shared" si="3"/>
        <v>0</v>
      </c>
      <c r="G46" s="1816">
        <f t="shared" si="4"/>
        <v>0</v>
      </c>
    </row>
    <row r="47" spans="1:7" x14ac:dyDescent="0.25">
      <c r="A47" s="1675"/>
      <c r="B47" s="1689"/>
      <c r="C47" s="1676"/>
      <c r="D47" s="1866"/>
      <c r="E47" s="1562">
        <f t="shared" si="2"/>
        <v>0</v>
      </c>
      <c r="F47" s="1815">
        <f t="shared" si="3"/>
        <v>0</v>
      </c>
      <c r="G47" s="1816">
        <f t="shared" si="4"/>
        <v>0</v>
      </c>
    </row>
    <row r="48" spans="1:7" x14ac:dyDescent="0.25">
      <c r="A48" s="1675"/>
      <c r="B48" s="1689"/>
      <c r="C48" s="1676"/>
      <c r="D48" s="1866"/>
      <c r="E48" s="1562">
        <f t="shared" si="2"/>
        <v>0</v>
      </c>
      <c r="F48" s="1815">
        <f t="shared" si="3"/>
        <v>0</v>
      </c>
      <c r="G48" s="1816">
        <f t="shared" si="4"/>
        <v>0</v>
      </c>
    </row>
    <row r="49" spans="1:7" x14ac:dyDescent="0.25">
      <c r="A49" s="1675"/>
      <c r="B49" s="1689"/>
      <c r="C49" s="1676"/>
      <c r="D49" s="1866"/>
      <c r="E49" s="1562">
        <f t="shared" si="2"/>
        <v>0</v>
      </c>
      <c r="F49" s="1815">
        <f t="shared" si="3"/>
        <v>0</v>
      </c>
      <c r="G49" s="1816">
        <f t="shared" si="4"/>
        <v>0</v>
      </c>
    </row>
    <row r="50" spans="1:7" x14ac:dyDescent="0.25">
      <c r="A50" s="1675"/>
      <c r="B50" s="1689"/>
      <c r="C50" s="1676"/>
      <c r="D50" s="1866"/>
      <c r="E50" s="1562">
        <f t="shared" si="2"/>
        <v>0</v>
      </c>
      <c r="F50" s="1815">
        <f t="shared" si="3"/>
        <v>0</v>
      </c>
      <c r="G50" s="1816">
        <f t="shared" si="4"/>
        <v>0</v>
      </c>
    </row>
    <row r="51" spans="1:7" x14ac:dyDescent="0.25">
      <c r="A51" s="1675"/>
      <c r="B51" s="1689"/>
      <c r="C51" s="1676"/>
      <c r="D51" s="1866"/>
      <c r="E51" s="1562">
        <f t="shared" si="2"/>
        <v>0</v>
      </c>
      <c r="F51" s="1815">
        <f t="shared" si="3"/>
        <v>0</v>
      </c>
      <c r="G51" s="1816">
        <f t="shared" si="4"/>
        <v>0</v>
      </c>
    </row>
    <row r="52" spans="1:7" x14ac:dyDescent="0.25">
      <c r="A52" s="1675"/>
      <c r="B52" s="1689"/>
      <c r="C52" s="1676"/>
      <c r="D52" s="1866"/>
      <c r="E52" s="1562">
        <f t="shared" si="2"/>
        <v>0</v>
      </c>
      <c r="F52" s="1815">
        <f t="shared" si="3"/>
        <v>0</v>
      </c>
      <c r="G52" s="1816">
        <f t="shared" si="4"/>
        <v>0</v>
      </c>
    </row>
    <row r="53" spans="1:7" x14ac:dyDescent="0.25">
      <c r="A53" s="1675"/>
      <c r="B53" s="1689"/>
      <c r="C53" s="1676"/>
      <c r="D53" s="1866"/>
      <c r="E53" s="1562">
        <f t="shared" si="2"/>
        <v>0</v>
      </c>
      <c r="F53" s="1815">
        <f t="shared" si="3"/>
        <v>0</v>
      </c>
      <c r="G53" s="1816">
        <f t="shared" si="4"/>
        <v>0</v>
      </c>
    </row>
    <row r="54" spans="1:7" x14ac:dyDescent="0.25">
      <c r="A54" s="1675"/>
      <c r="B54" s="1689"/>
      <c r="C54" s="1676"/>
      <c r="D54" s="1866"/>
      <c r="E54" s="1562">
        <f t="shared" si="2"/>
        <v>0</v>
      </c>
      <c r="F54" s="1815">
        <f t="shared" si="3"/>
        <v>0</v>
      </c>
      <c r="G54" s="1816">
        <f t="shared" si="4"/>
        <v>0</v>
      </c>
    </row>
    <row r="55" spans="1:7" x14ac:dyDescent="0.25">
      <c r="A55" s="1675"/>
      <c r="B55" s="1689"/>
      <c r="C55" s="1676"/>
      <c r="D55" s="1866"/>
      <c r="E55" s="1562">
        <f t="shared" si="2"/>
        <v>0</v>
      </c>
      <c r="F55" s="1815">
        <f t="shared" si="3"/>
        <v>0</v>
      </c>
      <c r="G55" s="1816">
        <f t="shared" si="4"/>
        <v>0</v>
      </c>
    </row>
    <row r="56" spans="1:7" x14ac:dyDescent="0.25">
      <c r="A56" s="1675"/>
      <c r="B56" s="1689"/>
      <c r="C56" s="1676"/>
      <c r="D56" s="1866"/>
      <c r="E56" s="1562">
        <f t="shared" si="2"/>
        <v>0</v>
      </c>
      <c r="F56" s="1815">
        <f t="shared" si="3"/>
        <v>0</v>
      </c>
      <c r="G56" s="1816">
        <f t="shared" si="4"/>
        <v>0</v>
      </c>
    </row>
    <row r="57" spans="1:7" x14ac:dyDescent="0.25">
      <c r="A57" s="1675"/>
      <c r="B57" s="1689"/>
      <c r="C57" s="1676"/>
      <c r="D57" s="1866"/>
      <c r="E57" s="1562">
        <f t="shared" si="2"/>
        <v>0</v>
      </c>
      <c r="F57" s="1815">
        <f t="shared" si="3"/>
        <v>0</v>
      </c>
      <c r="G57" s="1816">
        <f t="shared" si="4"/>
        <v>0</v>
      </c>
    </row>
    <row r="58" spans="1:7" x14ac:dyDescent="0.25">
      <c r="A58" s="1675"/>
      <c r="B58" s="1689"/>
      <c r="C58" s="1676"/>
      <c r="D58" s="1866"/>
      <c r="E58" s="1562">
        <f t="shared" si="2"/>
        <v>0</v>
      </c>
      <c r="F58" s="1815">
        <f t="shared" si="3"/>
        <v>0</v>
      </c>
      <c r="G58" s="1816">
        <f t="shared" si="4"/>
        <v>0</v>
      </c>
    </row>
    <row r="59" spans="1:7" x14ac:dyDescent="0.25">
      <c r="A59" s="1675"/>
      <c r="B59" s="1689"/>
      <c r="C59" s="1676"/>
      <c r="D59" s="1866"/>
      <c r="E59" s="1562">
        <f t="shared" si="2"/>
        <v>0</v>
      </c>
      <c r="F59" s="1815">
        <f t="shared" si="3"/>
        <v>0</v>
      </c>
      <c r="G59" s="1816">
        <f t="shared" si="4"/>
        <v>0</v>
      </c>
    </row>
    <row r="60" spans="1:7" x14ac:dyDescent="0.25">
      <c r="A60" s="1675"/>
      <c r="B60" s="1689"/>
      <c r="C60" s="1676"/>
      <c r="D60" s="1866"/>
      <c r="E60" s="1562">
        <f t="shared" si="2"/>
        <v>0</v>
      </c>
      <c r="F60" s="1815">
        <f t="shared" si="3"/>
        <v>0</v>
      </c>
      <c r="G60" s="1816">
        <f t="shared" si="4"/>
        <v>0</v>
      </c>
    </row>
    <row r="61" spans="1:7" x14ac:dyDescent="0.25">
      <c r="A61" s="1675"/>
      <c r="B61" s="1689"/>
      <c r="C61" s="1676"/>
      <c r="D61" s="1866"/>
      <c r="E61" s="1562">
        <f t="shared" si="2"/>
        <v>0</v>
      </c>
      <c r="F61" s="1815">
        <f t="shared" si="3"/>
        <v>0</v>
      </c>
      <c r="G61" s="1816">
        <f t="shared" si="4"/>
        <v>0</v>
      </c>
    </row>
    <row r="62" spans="1:7" x14ac:dyDescent="0.25">
      <c r="A62" s="1675"/>
      <c r="B62" s="1689"/>
      <c r="C62" s="1676"/>
      <c r="D62" s="1866"/>
      <c r="E62" s="1562">
        <f t="shared" si="2"/>
        <v>0</v>
      </c>
      <c r="F62" s="1815">
        <f t="shared" si="3"/>
        <v>0</v>
      </c>
      <c r="G62" s="1816">
        <f t="shared" si="4"/>
        <v>0</v>
      </c>
    </row>
    <row r="63" spans="1:7" x14ac:dyDescent="0.25">
      <c r="A63" s="1675"/>
      <c r="B63" s="1689"/>
      <c r="C63" s="1676"/>
      <c r="D63" s="1866"/>
      <c r="E63" s="1562">
        <f t="shared" si="2"/>
        <v>0</v>
      </c>
      <c r="F63" s="1815">
        <f t="shared" si="3"/>
        <v>0</v>
      </c>
      <c r="G63" s="1816">
        <f t="shared" si="4"/>
        <v>0</v>
      </c>
    </row>
    <row r="64" spans="1:7" x14ac:dyDescent="0.25">
      <c r="A64" s="1677"/>
      <c r="B64" s="1689"/>
      <c r="C64" s="1678"/>
      <c r="D64" s="1866"/>
      <c r="E64" s="1562">
        <f t="shared" si="2"/>
        <v>0</v>
      </c>
      <c r="F64" s="1815">
        <f t="shared" si="3"/>
        <v>0</v>
      </c>
      <c r="G64" s="1816">
        <f t="shared" si="4"/>
        <v>0</v>
      </c>
    </row>
    <row r="65" spans="1:7" x14ac:dyDescent="0.25">
      <c r="A65" s="1675"/>
      <c r="B65" s="1689"/>
      <c r="C65" s="1676"/>
      <c r="D65" s="1866"/>
      <c r="E65" s="1562">
        <f t="shared" si="2"/>
        <v>0</v>
      </c>
      <c r="F65" s="1815">
        <f t="shared" si="3"/>
        <v>0</v>
      </c>
      <c r="G65" s="1816">
        <f t="shared" si="4"/>
        <v>0</v>
      </c>
    </row>
    <row r="66" spans="1:7" x14ac:dyDescent="0.25">
      <c r="A66" s="1675"/>
      <c r="B66" s="1689"/>
      <c r="C66" s="1676"/>
      <c r="D66" s="1866"/>
      <c r="E66" s="1562">
        <f t="shared" si="2"/>
        <v>0</v>
      </c>
      <c r="F66" s="1815">
        <f t="shared" si="3"/>
        <v>0</v>
      </c>
      <c r="G66" s="1816">
        <f t="shared" si="4"/>
        <v>0</v>
      </c>
    </row>
    <row r="67" spans="1:7" x14ac:dyDescent="0.25">
      <c r="A67" s="1675"/>
      <c r="B67" s="1689"/>
      <c r="C67" s="1676"/>
      <c r="D67" s="1866"/>
      <c r="E67" s="1562">
        <f t="shared" si="2"/>
        <v>0</v>
      </c>
      <c r="F67" s="1815">
        <f t="shared" si="3"/>
        <v>0</v>
      </c>
      <c r="G67" s="1816">
        <f t="shared" si="4"/>
        <v>0</v>
      </c>
    </row>
    <row r="68" spans="1:7" x14ac:dyDescent="0.25">
      <c r="A68" s="1675"/>
      <c r="B68" s="1689"/>
      <c r="C68" s="1676"/>
      <c r="D68" s="1866"/>
      <c r="E68" s="1562">
        <f t="shared" si="2"/>
        <v>0</v>
      </c>
      <c r="F68" s="1815">
        <f t="shared" si="3"/>
        <v>0</v>
      </c>
      <c r="G68" s="1816">
        <f t="shared" si="4"/>
        <v>0</v>
      </c>
    </row>
    <row r="69" spans="1:7" x14ac:dyDescent="0.25">
      <c r="A69" s="1675"/>
      <c r="B69" s="1689"/>
      <c r="C69" s="1676"/>
      <c r="D69" s="1866"/>
      <c r="E69" s="1562">
        <f t="shared" si="2"/>
        <v>0</v>
      </c>
      <c r="F69" s="1815">
        <f t="shared" si="3"/>
        <v>0</v>
      </c>
      <c r="G69" s="1816">
        <f t="shared" si="4"/>
        <v>0</v>
      </c>
    </row>
    <row r="70" spans="1:7" x14ac:dyDescent="0.25">
      <c r="A70" s="1675"/>
      <c r="B70" s="1689"/>
      <c r="C70" s="1676"/>
      <c r="D70" s="1866"/>
      <c r="E70" s="1562">
        <f t="shared" si="2"/>
        <v>0</v>
      </c>
      <c r="F70" s="1815">
        <f t="shared" si="3"/>
        <v>0</v>
      </c>
      <c r="G70" s="1816">
        <f t="shared" si="4"/>
        <v>0</v>
      </c>
    </row>
    <row r="71" spans="1:7" x14ac:dyDescent="0.25">
      <c r="A71" s="1675"/>
      <c r="B71" s="1689"/>
      <c r="C71" s="1676"/>
      <c r="D71" s="1866"/>
      <c r="E71" s="1562">
        <f t="shared" si="2"/>
        <v>0</v>
      </c>
      <c r="F71" s="1815">
        <f t="shared" si="3"/>
        <v>0</v>
      </c>
      <c r="G71" s="1816">
        <f t="shared" si="4"/>
        <v>0</v>
      </c>
    </row>
    <row r="72" spans="1:7" x14ac:dyDescent="0.25">
      <c r="A72" s="1675"/>
      <c r="B72" s="1689"/>
      <c r="C72" s="1676"/>
      <c r="D72" s="1866"/>
      <c r="E72" s="1562">
        <f t="shared" si="2"/>
        <v>0</v>
      </c>
      <c r="F72" s="1815">
        <f t="shared" si="3"/>
        <v>0</v>
      </c>
      <c r="G72" s="1816">
        <f t="shared" si="4"/>
        <v>0</v>
      </c>
    </row>
    <row r="73" spans="1:7" x14ac:dyDescent="0.25">
      <c r="A73" s="1675"/>
      <c r="B73" s="1689"/>
      <c r="C73" s="1676"/>
      <c r="D73" s="1866"/>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6"/>
      <c r="E74" s="1562">
        <f t="shared" si="5"/>
        <v>0</v>
      </c>
      <c r="F74" s="1815">
        <f t="shared" si="6"/>
        <v>0</v>
      </c>
      <c r="G74" s="1816">
        <f t="shared" si="7"/>
        <v>0</v>
      </c>
    </row>
    <row r="75" spans="1:7" x14ac:dyDescent="0.25">
      <c r="A75" s="1675"/>
      <c r="B75" s="1689"/>
      <c r="C75" s="1676"/>
      <c r="D75" s="1866"/>
      <c r="E75" s="1562">
        <f t="shared" si="5"/>
        <v>0</v>
      </c>
      <c r="F75" s="1815">
        <f t="shared" si="6"/>
        <v>0</v>
      </c>
      <c r="G75" s="1816">
        <f t="shared" si="7"/>
        <v>0</v>
      </c>
    </row>
    <row r="76" spans="1:7" x14ac:dyDescent="0.25">
      <c r="A76" s="1675"/>
      <c r="B76" s="1689"/>
      <c r="C76" s="1676"/>
      <c r="D76" s="1866"/>
      <c r="E76" s="1562">
        <f t="shared" si="5"/>
        <v>0</v>
      </c>
      <c r="F76" s="1815">
        <f t="shared" si="6"/>
        <v>0</v>
      </c>
      <c r="G76" s="1816">
        <f t="shared" si="7"/>
        <v>0</v>
      </c>
    </row>
    <row r="77" spans="1:7" x14ac:dyDescent="0.25">
      <c r="A77" s="1675"/>
      <c r="B77" s="1689"/>
      <c r="C77" s="1676"/>
      <c r="D77" s="1866"/>
      <c r="E77" s="1562">
        <f t="shared" si="5"/>
        <v>0</v>
      </c>
      <c r="F77" s="1815">
        <f t="shared" si="6"/>
        <v>0</v>
      </c>
      <c r="G77" s="1816">
        <f t="shared" si="7"/>
        <v>0</v>
      </c>
    </row>
    <row r="78" spans="1:7" x14ac:dyDescent="0.25">
      <c r="A78" s="1675"/>
      <c r="B78" s="1689"/>
      <c r="C78" s="1676"/>
      <c r="D78" s="1866"/>
      <c r="E78" s="1562">
        <f t="shared" si="5"/>
        <v>0</v>
      </c>
      <c r="F78" s="1815">
        <f t="shared" si="6"/>
        <v>0</v>
      </c>
      <c r="G78" s="1816">
        <f t="shared" si="7"/>
        <v>0</v>
      </c>
    </row>
    <row r="79" spans="1:7" x14ac:dyDescent="0.25">
      <c r="A79" s="1675"/>
      <c r="B79" s="1689"/>
      <c r="C79" s="1676"/>
      <c r="D79" s="1866"/>
      <c r="E79" s="1562">
        <f t="shared" si="5"/>
        <v>0</v>
      </c>
      <c r="F79" s="1815">
        <f t="shared" si="6"/>
        <v>0</v>
      </c>
      <c r="G79" s="1816">
        <f t="shared" si="7"/>
        <v>0</v>
      </c>
    </row>
    <row r="80" spans="1:7" x14ac:dyDescent="0.25">
      <c r="A80" s="1675"/>
      <c r="B80" s="1689"/>
      <c r="C80" s="1676"/>
      <c r="D80" s="1866"/>
      <c r="E80" s="1562">
        <f t="shared" si="5"/>
        <v>0</v>
      </c>
      <c r="F80" s="1815">
        <f t="shared" si="6"/>
        <v>0</v>
      </c>
      <c r="G80" s="1816">
        <f t="shared" si="7"/>
        <v>0</v>
      </c>
    </row>
    <row r="81" spans="1:7" x14ac:dyDescent="0.25">
      <c r="A81" s="1675"/>
      <c r="B81" s="1689"/>
      <c r="C81" s="1676"/>
      <c r="D81" s="1866"/>
      <c r="E81" s="1562">
        <f t="shared" si="5"/>
        <v>0</v>
      </c>
      <c r="F81" s="1815">
        <f t="shared" si="6"/>
        <v>0</v>
      </c>
      <c r="G81" s="1816">
        <f t="shared" si="7"/>
        <v>0</v>
      </c>
    </row>
    <row r="82" spans="1:7" x14ac:dyDescent="0.25">
      <c r="A82" s="1675"/>
      <c r="B82" s="1689"/>
      <c r="C82" s="1676"/>
      <c r="D82" s="1866"/>
      <c r="E82" s="1562">
        <f t="shared" si="5"/>
        <v>0</v>
      </c>
      <c r="F82" s="1815">
        <f t="shared" si="6"/>
        <v>0</v>
      </c>
      <c r="G82" s="1816">
        <f t="shared" si="7"/>
        <v>0</v>
      </c>
    </row>
    <row r="83" spans="1:7" x14ac:dyDescent="0.25">
      <c r="A83" s="1675"/>
      <c r="B83" s="1689"/>
      <c r="C83" s="1676"/>
      <c r="D83" s="1866"/>
      <c r="E83" s="1562">
        <f t="shared" si="5"/>
        <v>0</v>
      </c>
      <c r="F83" s="1815">
        <f t="shared" si="6"/>
        <v>0</v>
      </c>
      <c r="G83" s="1816">
        <f t="shared" si="7"/>
        <v>0</v>
      </c>
    </row>
    <row r="84" spans="1:7" x14ac:dyDescent="0.25">
      <c r="A84" s="1675"/>
      <c r="B84" s="1689"/>
      <c r="C84" s="1676"/>
      <c r="D84" s="1866"/>
      <c r="E84" s="1562">
        <f t="shared" si="5"/>
        <v>0</v>
      </c>
      <c r="F84" s="1815">
        <f t="shared" si="6"/>
        <v>0</v>
      </c>
      <c r="G84" s="1816">
        <f t="shared" si="7"/>
        <v>0</v>
      </c>
    </row>
    <row r="85" spans="1:7" x14ac:dyDescent="0.25">
      <c r="A85" s="1675"/>
      <c r="B85" s="1689"/>
      <c r="C85" s="1676"/>
      <c r="D85" s="1866"/>
      <c r="E85" s="1562">
        <f t="shared" si="2"/>
        <v>0</v>
      </c>
      <c r="F85" s="1815">
        <f t="shared" si="3"/>
        <v>0</v>
      </c>
      <c r="G85" s="1816">
        <f t="shared" si="4"/>
        <v>0</v>
      </c>
    </row>
    <row r="86" spans="1:7" x14ac:dyDescent="0.25">
      <c r="A86" s="1675"/>
      <c r="B86" s="1689"/>
      <c r="C86" s="1676"/>
      <c r="D86" s="1866"/>
      <c r="E86" s="1562">
        <f t="shared" si="2"/>
        <v>0</v>
      </c>
      <c r="F86" s="1815">
        <f t="shared" si="3"/>
        <v>0</v>
      </c>
      <c r="G86" s="1816">
        <f t="shared" si="4"/>
        <v>0</v>
      </c>
    </row>
    <row r="87" spans="1:7" x14ac:dyDescent="0.25">
      <c r="A87" s="1675"/>
      <c r="B87" s="1689"/>
      <c r="C87" s="1676"/>
      <c r="D87" s="1866"/>
      <c r="E87" s="1562">
        <f t="shared" si="2"/>
        <v>0</v>
      </c>
      <c r="F87" s="1815">
        <f t="shared" si="3"/>
        <v>0</v>
      </c>
      <c r="G87" s="1816">
        <f t="shared" si="4"/>
        <v>0</v>
      </c>
    </row>
    <row r="88" spans="1:7" x14ac:dyDescent="0.25">
      <c r="A88" s="1675"/>
      <c r="B88" s="1689"/>
      <c r="C88" s="1676"/>
      <c r="D88" s="1866"/>
      <c r="E88" s="1562">
        <f t="shared" si="2"/>
        <v>0</v>
      </c>
      <c r="F88" s="1815">
        <f t="shared" si="3"/>
        <v>0</v>
      </c>
      <c r="G88" s="1816">
        <f t="shared" si="4"/>
        <v>0</v>
      </c>
    </row>
    <row r="89" spans="1:7" x14ac:dyDescent="0.25">
      <c r="A89" s="1675"/>
      <c r="B89" s="1689"/>
      <c r="C89" s="1676"/>
      <c r="D89" s="1866"/>
      <c r="E89" s="1562">
        <f t="shared" si="2"/>
        <v>0</v>
      </c>
      <c r="F89" s="1815">
        <f t="shared" si="3"/>
        <v>0</v>
      </c>
      <c r="G89" s="1816">
        <f t="shared" si="4"/>
        <v>0</v>
      </c>
    </row>
    <row r="90" spans="1:7" x14ac:dyDescent="0.25">
      <c r="A90" s="1675"/>
      <c r="B90" s="1689"/>
      <c r="C90" s="1676"/>
      <c r="D90" s="1866"/>
      <c r="E90" s="1562">
        <f t="shared" si="2"/>
        <v>0</v>
      </c>
      <c r="F90" s="1815">
        <f t="shared" si="3"/>
        <v>0</v>
      </c>
      <c r="G90" s="1816">
        <f t="shared" si="4"/>
        <v>0</v>
      </c>
    </row>
    <row r="91" spans="1:7" x14ac:dyDescent="0.25">
      <c r="A91" s="1675"/>
      <c r="B91" s="1689"/>
      <c r="C91" s="1676"/>
      <c r="D91" s="1866"/>
      <c r="E91" s="1562">
        <f t="shared" si="2"/>
        <v>0</v>
      </c>
      <c r="F91" s="1815">
        <f t="shared" si="3"/>
        <v>0</v>
      </c>
      <c r="G91" s="1816">
        <f t="shared" si="4"/>
        <v>0</v>
      </c>
    </row>
    <row r="92" spans="1:7" x14ac:dyDescent="0.25">
      <c r="A92" s="1675"/>
      <c r="B92" s="1689"/>
      <c r="C92" s="1676"/>
      <c r="D92" s="1866"/>
      <c r="E92" s="1562">
        <f t="shared" si="2"/>
        <v>0</v>
      </c>
      <c r="F92" s="1815">
        <f t="shared" si="3"/>
        <v>0</v>
      </c>
      <c r="G92" s="1816">
        <f t="shared" si="4"/>
        <v>0</v>
      </c>
    </row>
    <row r="93" spans="1:7" x14ac:dyDescent="0.25">
      <c r="A93" s="1675"/>
      <c r="B93" s="1689"/>
      <c r="C93" s="1676"/>
      <c r="D93" s="1866"/>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6"/>
      <c r="E94" s="1562">
        <f t="shared" si="2"/>
        <v>0</v>
      </c>
      <c r="F94" s="1815">
        <f t="shared" si="3"/>
        <v>0</v>
      </c>
      <c r="G94" s="1816">
        <f t="shared" si="4"/>
        <v>0</v>
      </c>
    </row>
    <row r="95" spans="1:7" x14ac:dyDescent="0.25">
      <c r="A95" s="1675"/>
      <c r="B95" s="1689"/>
      <c r="C95" s="1676"/>
      <c r="D95" s="1866"/>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6"/>
      <c r="E96" s="1562">
        <f t="shared" si="11"/>
        <v>0</v>
      </c>
      <c r="F96" s="1815">
        <f t="shared" si="12"/>
        <v>0</v>
      </c>
      <c r="G96" s="1816">
        <f t="shared" si="13"/>
        <v>0</v>
      </c>
    </row>
    <row r="97" spans="1:7" x14ac:dyDescent="0.25">
      <c r="A97" s="1675"/>
      <c r="B97" s="1689"/>
      <c r="C97" s="1676"/>
      <c r="D97" s="1866"/>
      <c r="E97" s="1562">
        <f t="shared" si="11"/>
        <v>0</v>
      </c>
      <c r="F97" s="1815">
        <f t="shared" si="12"/>
        <v>0</v>
      </c>
      <c r="G97" s="1816">
        <f t="shared" si="13"/>
        <v>0</v>
      </c>
    </row>
    <row r="98" spans="1:7" x14ac:dyDescent="0.25">
      <c r="A98" s="1675"/>
      <c r="B98" s="1689"/>
      <c r="C98" s="1676"/>
      <c r="D98" s="1866"/>
      <c r="E98" s="1562">
        <f t="shared" si="11"/>
        <v>0</v>
      </c>
      <c r="F98" s="1815">
        <f t="shared" si="12"/>
        <v>0</v>
      </c>
      <c r="G98" s="1816">
        <f t="shared" si="13"/>
        <v>0</v>
      </c>
    </row>
    <row r="99" spans="1:7" x14ac:dyDescent="0.25">
      <c r="A99" s="1675"/>
      <c r="B99" s="1689"/>
      <c r="C99" s="1676"/>
      <c r="D99" s="1866"/>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6"/>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6"/>
      <c r="E101" s="1562">
        <f t="shared" si="17"/>
        <v>0</v>
      </c>
      <c r="F101" s="1815">
        <f t="shared" si="18"/>
        <v>0</v>
      </c>
      <c r="G101" s="1816">
        <f t="shared" si="19"/>
        <v>0</v>
      </c>
    </row>
    <row r="102" spans="1:7" x14ac:dyDescent="0.25">
      <c r="A102" s="1675"/>
      <c r="B102" s="1689"/>
      <c r="C102" s="1676"/>
      <c r="D102" s="1866"/>
      <c r="E102" s="1562">
        <f t="shared" si="17"/>
        <v>0</v>
      </c>
      <c r="F102" s="1815">
        <f t="shared" si="18"/>
        <v>0</v>
      </c>
      <c r="G102" s="1816">
        <f t="shared" si="19"/>
        <v>0</v>
      </c>
    </row>
    <row r="103" spans="1:7" x14ac:dyDescent="0.25">
      <c r="A103" s="1675"/>
      <c r="B103" s="1689"/>
      <c r="C103" s="1676"/>
      <c r="D103" s="1866"/>
      <c r="E103" s="1562">
        <f t="shared" si="17"/>
        <v>0</v>
      </c>
      <c r="F103" s="1815">
        <f t="shared" si="18"/>
        <v>0</v>
      </c>
      <c r="G103" s="1816">
        <f t="shared" si="19"/>
        <v>0</v>
      </c>
    </row>
    <row r="104" spans="1:7" x14ac:dyDescent="0.25">
      <c r="A104" s="1675"/>
      <c r="B104" s="1689"/>
      <c r="C104" s="1676"/>
      <c r="D104" s="1866"/>
      <c r="E104" s="1562">
        <f t="shared" si="17"/>
        <v>0</v>
      </c>
      <c r="F104" s="1815">
        <f t="shared" si="18"/>
        <v>0</v>
      </c>
      <c r="G104" s="1816">
        <f t="shared" si="19"/>
        <v>0</v>
      </c>
    </row>
    <row r="105" spans="1:7" x14ac:dyDescent="0.25">
      <c r="A105" s="1675"/>
      <c r="B105" s="1689"/>
      <c r="C105" s="1676"/>
      <c r="D105" s="1866"/>
      <c r="E105" s="1562">
        <f t="shared" si="17"/>
        <v>0</v>
      </c>
      <c r="F105" s="1815">
        <f t="shared" si="18"/>
        <v>0</v>
      </c>
      <c r="G105" s="1816">
        <f t="shared" si="19"/>
        <v>0</v>
      </c>
    </row>
    <row r="106" spans="1:7" x14ac:dyDescent="0.25">
      <c r="A106" s="1675"/>
      <c r="B106" s="1689"/>
      <c r="C106" s="1676"/>
      <c r="D106" s="1866"/>
      <c r="E106" s="1562">
        <f t="shared" si="17"/>
        <v>0</v>
      </c>
      <c r="F106" s="1815">
        <f t="shared" si="18"/>
        <v>0</v>
      </c>
      <c r="G106" s="1816">
        <f t="shared" si="19"/>
        <v>0</v>
      </c>
    </row>
    <row r="107" spans="1:7" x14ac:dyDescent="0.25">
      <c r="A107" s="1675"/>
      <c r="B107" s="1689"/>
      <c r="C107" s="1676"/>
      <c r="D107" s="1866"/>
      <c r="E107" s="1562">
        <f t="shared" si="17"/>
        <v>0</v>
      </c>
      <c r="F107" s="1815">
        <f t="shared" si="18"/>
        <v>0</v>
      </c>
      <c r="G107" s="1816">
        <f t="shared" si="19"/>
        <v>0</v>
      </c>
    </row>
    <row r="108" spans="1:7" x14ac:dyDescent="0.25">
      <c r="A108" s="1675"/>
      <c r="B108" s="1689"/>
      <c r="C108" s="1676"/>
      <c r="D108" s="1866"/>
      <c r="E108" s="1562">
        <f t="shared" si="17"/>
        <v>0</v>
      </c>
      <c r="F108" s="1815">
        <f t="shared" si="18"/>
        <v>0</v>
      </c>
      <c r="G108" s="1816">
        <f t="shared" si="19"/>
        <v>0</v>
      </c>
    </row>
    <row r="109" spans="1:7" x14ac:dyDescent="0.25">
      <c r="A109" s="1675"/>
      <c r="B109" s="1689"/>
      <c r="C109" s="1676"/>
      <c r="D109" s="1866"/>
      <c r="E109" s="1562">
        <f t="shared" si="17"/>
        <v>0</v>
      </c>
      <c r="F109" s="1815">
        <f t="shared" si="18"/>
        <v>0</v>
      </c>
      <c r="G109" s="1816">
        <f t="shared" si="19"/>
        <v>0</v>
      </c>
    </row>
    <row r="110" spans="1:7" x14ac:dyDescent="0.25">
      <c r="A110" s="1675"/>
      <c r="B110" s="1689"/>
      <c r="C110" s="1676"/>
      <c r="D110" s="1866"/>
      <c r="E110" s="1562">
        <f t="shared" si="17"/>
        <v>0</v>
      </c>
      <c r="F110" s="1815">
        <f t="shared" si="18"/>
        <v>0</v>
      </c>
      <c r="G110" s="1816">
        <f t="shared" si="19"/>
        <v>0</v>
      </c>
    </row>
    <row r="111" spans="1:7" x14ac:dyDescent="0.25">
      <c r="A111" s="1675"/>
      <c r="B111" s="1689"/>
      <c r="C111" s="1676"/>
      <c r="D111" s="1866"/>
      <c r="E111" s="1562">
        <f t="shared" si="17"/>
        <v>0</v>
      </c>
      <c r="F111" s="1815">
        <f t="shared" si="18"/>
        <v>0</v>
      </c>
      <c r="G111" s="1816">
        <f t="shared" si="19"/>
        <v>0</v>
      </c>
    </row>
    <row r="112" spans="1:7" x14ac:dyDescent="0.25">
      <c r="A112" s="1675"/>
      <c r="B112" s="1689"/>
      <c r="C112" s="1676"/>
      <c r="D112" s="1866"/>
      <c r="E112" s="1562">
        <f t="shared" si="17"/>
        <v>0</v>
      </c>
      <c r="F112" s="1815">
        <f t="shared" si="18"/>
        <v>0</v>
      </c>
      <c r="G112" s="1816">
        <f t="shared" si="19"/>
        <v>0</v>
      </c>
    </row>
    <row r="113" spans="1:7" x14ac:dyDescent="0.25">
      <c r="A113" s="1675"/>
      <c r="B113" s="1689"/>
      <c r="C113" s="1676"/>
      <c r="D113" s="1866"/>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6"/>
      <c r="E114" s="1562">
        <f t="shared" si="20"/>
        <v>0</v>
      </c>
      <c r="F114" s="1815">
        <f t="shared" si="21"/>
        <v>0</v>
      </c>
      <c r="G114" s="1816">
        <f t="shared" si="22"/>
        <v>0</v>
      </c>
    </row>
    <row r="115" spans="1:7" x14ac:dyDescent="0.25">
      <c r="A115" s="1675"/>
      <c r="B115" s="1689"/>
      <c r="C115" s="1676"/>
      <c r="D115" s="1866"/>
      <c r="E115" s="1562">
        <f t="shared" si="20"/>
        <v>0</v>
      </c>
      <c r="F115" s="1815">
        <f t="shared" si="21"/>
        <v>0</v>
      </c>
      <c r="G115" s="1816">
        <f t="shared" si="22"/>
        <v>0</v>
      </c>
    </row>
    <row r="116" spans="1:7" x14ac:dyDescent="0.25">
      <c r="A116" s="1675"/>
      <c r="B116" s="1689"/>
      <c r="C116" s="1676"/>
      <c r="D116" s="1866"/>
      <c r="E116" s="1562">
        <f t="shared" si="20"/>
        <v>0</v>
      </c>
      <c r="F116" s="1815">
        <f t="shared" si="21"/>
        <v>0</v>
      </c>
      <c r="G116" s="1816">
        <f t="shared" si="22"/>
        <v>0</v>
      </c>
    </row>
    <row r="117" spans="1:7" x14ac:dyDescent="0.25">
      <c r="A117" s="1675"/>
      <c r="B117" s="1689"/>
      <c r="C117" s="1676"/>
      <c r="D117" s="1866"/>
      <c r="E117" s="1562">
        <f t="shared" si="20"/>
        <v>0</v>
      </c>
      <c r="F117" s="1815">
        <f t="shared" si="21"/>
        <v>0</v>
      </c>
      <c r="G117" s="1816">
        <f t="shared" si="22"/>
        <v>0</v>
      </c>
    </row>
    <row r="118" spans="1:7" x14ac:dyDescent="0.25">
      <c r="A118" s="1675"/>
      <c r="B118" s="1689"/>
      <c r="C118" s="1676"/>
      <c r="D118" s="1866"/>
      <c r="E118" s="1562">
        <f t="shared" si="20"/>
        <v>0</v>
      </c>
      <c r="F118" s="1815">
        <f t="shared" si="21"/>
        <v>0</v>
      </c>
      <c r="G118" s="1816">
        <f t="shared" si="22"/>
        <v>0</v>
      </c>
    </row>
    <row r="119" spans="1:7" x14ac:dyDescent="0.25">
      <c r="A119" s="1675"/>
      <c r="B119" s="1689"/>
      <c r="C119" s="1676"/>
      <c r="D119" s="1866"/>
      <c r="E119" s="1562">
        <f t="shared" si="20"/>
        <v>0</v>
      </c>
      <c r="F119" s="1815">
        <f t="shared" si="21"/>
        <v>0</v>
      </c>
      <c r="G119" s="1816">
        <f t="shared" si="22"/>
        <v>0</v>
      </c>
    </row>
    <row r="120" spans="1:7" x14ac:dyDescent="0.25">
      <c r="A120" s="1675"/>
      <c r="B120" s="1689"/>
      <c r="C120" s="1676"/>
      <c r="D120" s="1866"/>
      <c r="E120" s="1562">
        <f t="shared" si="20"/>
        <v>0</v>
      </c>
      <c r="F120" s="1815">
        <f t="shared" si="21"/>
        <v>0</v>
      </c>
      <c r="G120" s="1816">
        <f t="shared" si="22"/>
        <v>0</v>
      </c>
    </row>
    <row r="121" spans="1:7" x14ac:dyDescent="0.25">
      <c r="A121" s="1675"/>
      <c r="B121" s="1689"/>
      <c r="C121" s="1676"/>
      <c r="D121" s="1866"/>
      <c r="E121" s="1562">
        <f t="shared" si="20"/>
        <v>0</v>
      </c>
      <c r="F121" s="1815">
        <f t="shared" si="21"/>
        <v>0</v>
      </c>
      <c r="G121" s="1816">
        <f t="shared" si="22"/>
        <v>0</v>
      </c>
    </row>
    <row r="122" spans="1:7" x14ac:dyDescent="0.25">
      <c r="A122" s="1675"/>
      <c r="B122" s="1689"/>
      <c r="C122" s="1676"/>
      <c r="D122" s="1866"/>
      <c r="E122" s="1562">
        <f t="shared" si="20"/>
        <v>0</v>
      </c>
      <c r="F122" s="1815">
        <f t="shared" si="21"/>
        <v>0</v>
      </c>
      <c r="G122" s="1816">
        <f t="shared" si="22"/>
        <v>0</v>
      </c>
    </row>
    <row r="123" spans="1:7" x14ac:dyDescent="0.25">
      <c r="A123" s="1675"/>
      <c r="B123" s="1689"/>
      <c r="C123" s="1676"/>
      <c r="D123" s="1866"/>
      <c r="E123" s="1562">
        <f t="shared" si="20"/>
        <v>0</v>
      </c>
      <c r="F123" s="1815">
        <f t="shared" si="21"/>
        <v>0</v>
      </c>
      <c r="G123" s="1816">
        <f t="shared" si="22"/>
        <v>0</v>
      </c>
    </row>
    <row r="124" spans="1:7" x14ac:dyDescent="0.25">
      <c r="A124" s="1675"/>
      <c r="B124" s="1689"/>
      <c r="C124" s="1676"/>
      <c r="D124" s="1866"/>
      <c r="E124" s="1562">
        <f t="shared" si="20"/>
        <v>0</v>
      </c>
      <c r="F124" s="1815">
        <f t="shared" si="21"/>
        <v>0</v>
      </c>
      <c r="G124" s="1816">
        <f t="shared" si="22"/>
        <v>0</v>
      </c>
    </row>
    <row r="125" spans="1:7" x14ac:dyDescent="0.25">
      <c r="A125" s="1675"/>
      <c r="B125" s="1689"/>
      <c r="C125" s="1676"/>
      <c r="D125" s="1866"/>
      <c r="E125" s="1562">
        <f t="shared" si="20"/>
        <v>0</v>
      </c>
      <c r="F125" s="1815">
        <f t="shared" si="21"/>
        <v>0</v>
      </c>
      <c r="G125" s="1816">
        <f t="shared" si="22"/>
        <v>0</v>
      </c>
    </row>
    <row r="126" spans="1:7" x14ac:dyDescent="0.25">
      <c r="A126" s="1675"/>
      <c r="B126" s="1689"/>
      <c r="C126" s="1676"/>
      <c r="D126" s="1866"/>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6"/>
      <c r="E127" s="1562">
        <f t="shared" si="23"/>
        <v>0</v>
      </c>
      <c r="F127" s="1815">
        <f t="shared" si="24"/>
        <v>0</v>
      </c>
      <c r="G127" s="1816">
        <f t="shared" si="25"/>
        <v>0</v>
      </c>
    </row>
    <row r="128" spans="1:7" x14ac:dyDescent="0.25">
      <c r="A128" s="1675"/>
      <c r="B128" s="1689"/>
      <c r="C128" s="1676"/>
      <c r="D128" s="1866"/>
      <c r="E128" s="1562">
        <f t="shared" si="23"/>
        <v>0</v>
      </c>
      <c r="F128" s="1815">
        <f t="shared" si="24"/>
        <v>0</v>
      </c>
      <c r="G128" s="1816">
        <f t="shared" si="25"/>
        <v>0</v>
      </c>
    </row>
    <row r="129" spans="1:7" x14ac:dyDescent="0.25">
      <c r="A129" s="1675"/>
      <c r="B129" s="1689"/>
      <c r="C129" s="1676"/>
      <c r="D129" s="1866"/>
      <c r="E129" s="1562">
        <f t="shared" si="23"/>
        <v>0</v>
      </c>
      <c r="F129" s="1815">
        <f t="shared" si="24"/>
        <v>0</v>
      </c>
      <c r="G129" s="1816">
        <f t="shared" si="25"/>
        <v>0</v>
      </c>
    </row>
    <row r="130" spans="1:7" x14ac:dyDescent="0.25">
      <c r="A130" s="1675"/>
      <c r="B130" s="1689"/>
      <c r="C130" s="1676"/>
      <c r="D130" s="1866"/>
      <c r="E130" s="1562">
        <f t="shared" si="23"/>
        <v>0</v>
      </c>
      <c r="F130" s="1815">
        <f t="shared" si="24"/>
        <v>0</v>
      </c>
      <c r="G130" s="1816">
        <f t="shared" si="25"/>
        <v>0</v>
      </c>
    </row>
    <row r="131" spans="1:7" x14ac:dyDescent="0.25">
      <c r="A131" s="1675"/>
      <c r="B131" s="1860"/>
      <c r="C131" s="1676"/>
      <c r="D131" s="1866"/>
      <c r="E131" s="1562">
        <f t="shared" si="23"/>
        <v>0</v>
      </c>
      <c r="F131" s="1815">
        <f t="shared" si="24"/>
        <v>0</v>
      </c>
      <c r="G131" s="1816">
        <f t="shared" si="25"/>
        <v>0</v>
      </c>
    </row>
    <row r="132" spans="1:7" x14ac:dyDescent="0.25">
      <c r="A132" s="1675"/>
      <c r="B132" s="1860"/>
      <c r="C132" s="1676"/>
      <c r="D132" s="1866"/>
      <c r="E132" s="1562">
        <f t="shared" si="23"/>
        <v>0</v>
      </c>
      <c r="F132" s="1815">
        <f t="shared" si="24"/>
        <v>0</v>
      </c>
      <c r="G132" s="1816">
        <f t="shared" si="25"/>
        <v>0</v>
      </c>
    </row>
    <row r="133" spans="1:7" x14ac:dyDescent="0.25">
      <c r="A133" s="1675"/>
      <c r="B133" s="1689"/>
      <c r="C133" s="1676"/>
      <c r="D133" s="1866"/>
      <c r="E133" s="1562">
        <f t="shared" si="23"/>
        <v>0</v>
      </c>
      <c r="F133" s="1815">
        <f t="shared" si="24"/>
        <v>0</v>
      </c>
      <c r="G133" s="1816">
        <f t="shared" si="25"/>
        <v>0</v>
      </c>
    </row>
    <row r="134" spans="1:7" x14ac:dyDescent="0.25">
      <c r="A134" s="1675"/>
      <c r="B134" s="1689"/>
      <c r="C134" s="1676"/>
      <c r="D134" s="1866"/>
      <c r="E134" s="1562">
        <f t="shared" si="23"/>
        <v>0</v>
      </c>
      <c r="F134" s="1815">
        <f t="shared" si="24"/>
        <v>0</v>
      </c>
      <c r="G134" s="1816">
        <f t="shared" si="25"/>
        <v>0</v>
      </c>
    </row>
    <row r="135" spans="1:7" x14ac:dyDescent="0.25">
      <c r="A135" s="1675"/>
      <c r="B135" s="1689"/>
      <c r="C135" s="1676"/>
      <c r="D135" s="1866"/>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6"/>
      <c r="E136" s="1562">
        <f t="shared" si="26"/>
        <v>0</v>
      </c>
      <c r="F136" s="1815">
        <f t="shared" si="27"/>
        <v>0</v>
      </c>
      <c r="G136" s="1816">
        <f t="shared" si="28"/>
        <v>0</v>
      </c>
    </row>
    <row r="137" spans="1:7" x14ac:dyDescent="0.25">
      <c r="A137" s="1675"/>
      <c r="B137" s="1689"/>
      <c r="C137" s="1676"/>
      <c r="D137" s="1866"/>
      <c r="E137" s="1562">
        <f t="shared" si="26"/>
        <v>0</v>
      </c>
      <c r="F137" s="1815">
        <f t="shared" si="27"/>
        <v>0</v>
      </c>
      <c r="G137" s="1816">
        <f t="shared" si="28"/>
        <v>0</v>
      </c>
    </row>
    <row r="138" spans="1:7" x14ac:dyDescent="0.25">
      <c r="A138" s="1675"/>
      <c r="B138" s="1689"/>
      <c r="C138" s="1676"/>
      <c r="D138" s="1866"/>
      <c r="E138" s="1562">
        <f t="shared" si="26"/>
        <v>0</v>
      </c>
      <c r="F138" s="1815">
        <f t="shared" si="27"/>
        <v>0</v>
      </c>
      <c r="G138" s="1816">
        <f t="shared" si="28"/>
        <v>0</v>
      </c>
    </row>
    <row r="139" spans="1:7" x14ac:dyDescent="0.25">
      <c r="A139" s="1675"/>
      <c r="B139" s="1689"/>
      <c r="C139" s="1676"/>
      <c r="D139" s="1866"/>
      <c r="E139" s="1562">
        <f t="shared" si="26"/>
        <v>0</v>
      </c>
      <c r="F139" s="1815">
        <f t="shared" si="27"/>
        <v>0</v>
      </c>
      <c r="G139" s="1816">
        <f t="shared" si="28"/>
        <v>0</v>
      </c>
    </row>
    <row r="140" spans="1:7" x14ac:dyDescent="0.25">
      <c r="A140" s="1675"/>
      <c r="B140" s="1688"/>
      <c r="C140" s="1676"/>
      <c r="D140" s="1866"/>
      <c r="E140" s="1562">
        <f t="shared" si="2"/>
        <v>0</v>
      </c>
      <c r="F140" s="1815">
        <f t="shared" si="3"/>
        <v>0</v>
      </c>
      <c r="G140" s="1816">
        <f t="shared" si="4"/>
        <v>0</v>
      </c>
    </row>
    <row r="141" spans="1:7" x14ac:dyDescent="0.25">
      <c r="A141" s="1819" t="s">
        <v>158</v>
      </c>
      <c r="B141" s="1820"/>
      <c r="C141" s="1821"/>
      <c r="D141" s="1817">
        <f>SUM(D17:D140)</f>
        <v>3067</v>
      </c>
      <c r="E141" s="1563">
        <f t="shared" si="1"/>
        <v>3067</v>
      </c>
      <c r="F141" s="1817">
        <f>SUM(F17:F140)</f>
        <v>3067</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8"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6" t="s">
        <v>1944</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632259</v>
      </c>
      <c r="F19" s="1822"/>
      <c r="G19" s="1824">
        <f>'Expenditures 15-22'!K33-SUM('Expenditures 15-22'!G33,'Expenditures 15-22'!I33)+'Expenditures 15-22'!D229</f>
        <v>632259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2188</v>
      </c>
      <c r="F22" s="1825"/>
      <c r="G22" s="1828">
        <f>'Expenditures 15-22'!K47-SUM('Expenditures 15-22'!G47,'Expenditures 15-22'!I47)+'Expenditures 15-22'!D243</f>
        <v>2188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293130</v>
      </c>
      <c r="F23" s="1825"/>
      <c r="G23" s="1827">
        <f>'Expenditures 15-22'!K53-SUM('Expenditures 15-22'!G53,'Expenditures 15-22'!I53)+'Expenditures 15-22'!D257+'Expenditures 15-22'!K330-SUM('Expenditures 15-22'!G330,'Expenditures 15-22'!I330)</f>
        <v>293130</v>
      </c>
      <c r="H23" s="988"/>
      <c r="I23" s="162"/>
    </row>
    <row r="24" spans="1:9" s="669" customFormat="1" ht="12" customHeight="1" x14ac:dyDescent="0.2">
      <c r="A24" s="995" t="s">
        <v>587</v>
      </c>
      <c r="B24" s="996"/>
      <c r="C24" s="994">
        <v>2400</v>
      </c>
      <c r="D24" s="1825"/>
      <c r="E24" s="1827">
        <f>'Expenditures 15-22'!K57-SUM('Expenditures 15-22'!G57,'Expenditures 15-22'!I57)+'Expenditures 15-22'!D261</f>
        <v>45143</v>
      </c>
      <c r="F24" s="1825"/>
      <c r="G24" s="1828">
        <f>'Expenditures 15-22'!K57-SUM('Expenditures 15-22'!G57,'Expenditures 15-22'!I57)+'Expenditures 15-22'!D261</f>
        <v>45143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17460</v>
      </c>
      <c r="E27" s="1827">
        <f>E8</f>
        <v>0</v>
      </c>
      <c r="F27" s="1827">
        <f>'Expenditures 15-22'!K60-SUM('Expenditures 15-22'!G60,'Expenditures 15-22'!I60)+'Expenditures 15-22'!D264-E8</f>
        <v>17460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72884</v>
      </c>
      <c r="F28" s="1829">
        <f>'Expenditures 15-22'!K61-SUM('Expenditures 15-22'!G61,'Expenditures 15-22'!I61)+'Expenditures 15-22'!K124-SUM('Expenditures 15-22'!G124,'Expenditures 15-22'!I124)+'Expenditures 15-22'!D266-E9</f>
        <v>72884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27942</v>
      </c>
      <c r="F29" s="1825"/>
      <c r="G29" s="1828">
        <f>'Expenditures 15-22'!K62-SUM('Expenditures 15-22'!G62,'Expenditures 15-22'!I62)+'Expenditures 15-22'!K125-SUM('Expenditures 15-22'!G125,'Expenditures 15-22'!I125)+'Expenditures 15-22'!K182-SUM('Expenditures 15-22'!G182,'Expenditures 15-22'!I182)+'Expenditures 15-22'!D267</f>
        <v>27942</v>
      </c>
      <c r="H29" s="986"/>
    </row>
    <row r="30" spans="1:9" ht="12" customHeight="1" x14ac:dyDescent="0.2">
      <c r="A30" s="995" t="s">
        <v>102</v>
      </c>
      <c r="B30" s="998"/>
      <c r="C30" s="994">
        <v>2560</v>
      </c>
      <c r="D30" s="1825"/>
      <c r="E30" s="1827">
        <f>'Expenditures 15-22'!K63-SUM('Expenditures 15-22'!G63,'Expenditures 15-22'!I63)+'Expenditures 15-22'!D268-E10</f>
        <v>23610</v>
      </c>
      <c r="F30" s="1825"/>
      <c r="G30" s="1827">
        <f>'Expenditures 15-22'!K63-SUM('Expenditures 15-22'!G63,'Expenditures 15-22'!I63)+'Expenditures 15-22'!D268-E10</f>
        <v>23610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17460</v>
      </c>
      <c r="E41" s="1829">
        <f>SUM(E19:E40)</f>
        <v>1097156</v>
      </c>
      <c r="F41" s="1829">
        <f>SUM(F19:F39)</f>
        <v>90344</v>
      </c>
      <c r="G41" s="1829">
        <f>SUM(G19:G40)</f>
        <v>1024272</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17460</v>
      </c>
      <c r="F43" s="1830" t="s">
        <v>495</v>
      </c>
      <c r="G43" s="1831">
        <f>F41</f>
        <v>90344</v>
      </c>
    </row>
    <row r="44" spans="1:7" ht="12" customHeight="1" x14ac:dyDescent="0.2">
      <c r="A44" s="988"/>
      <c r="B44" s="162"/>
      <c r="C44" s="1002"/>
      <c r="D44" s="1830" t="s">
        <v>494</v>
      </c>
      <c r="E44" s="1831">
        <f>E41</f>
        <v>1097156</v>
      </c>
      <c r="F44" s="1830" t="s">
        <v>494</v>
      </c>
      <c r="G44" s="1831">
        <f>G41</f>
        <v>1024272</v>
      </c>
    </row>
    <row r="45" spans="1:7" ht="12" customHeight="1" x14ac:dyDescent="0.2">
      <c r="A45" s="988"/>
      <c r="B45" s="162"/>
      <c r="C45" s="162"/>
      <c r="D45" s="1832" t="s">
        <v>1063</v>
      </c>
      <c r="E45" s="1833">
        <f>(E43/E44)</f>
        <v>1.5913871865076618E-2</v>
      </c>
      <c r="F45" s="1832" t="s">
        <v>1063</v>
      </c>
      <c r="G45" s="1833">
        <f>(G43/G44)</f>
        <v>8.8203133542652731E-2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2" t="s">
        <v>1446</v>
      </c>
      <c r="B1" s="2312"/>
      <c r="C1" s="2312"/>
      <c r="D1" s="2312"/>
      <c r="E1" s="2312"/>
      <c r="F1" s="231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3" t="s">
        <v>1627</v>
      </c>
      <c r="B5" s="2314"/>
      <c r="C5" s="2315"/>
      <c r="D5" s="2315"/>
      <c r="E5" s="2315"/>
      <c r="F5" s="2315"/>
    </row>
    <row r="6" spans="1:10" ht="12" customHeight="1" x14ac:dyDescent="0.25">
      <c r="A6" s="1874"/>
      <c r="B6" s="1875"/>
      <c r="C6" s="2316" t="str">
        <f>COVER!A17</f>
        <v>Creston CCSD 61</v>
      </c>
      <c r="D6" s="2316"/>
      <c r="E6" s="2316"/>
      <c r="F6" s="1876"/>
    </row>
    <row r="7" spans="1:10" ht="11.25" customHeight="1" thickBot="1" x14ac:dyDescent="0.3">
      <c r="A7" s="1874"/>
      <c r="B7" s="1875"/>
      <c r="C7" s="2317">
        <f>COVER!A13</f>
        <v>47071161004</v>
      </c>
      <c r="D7" s="2317"/>
      <c r="E7" s="2317"/>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2085</v>
      </c>
      <c r="D25" s="1889" t="s">
        <v>2085</v>
      </c>
      <c r="E25" s="1892"/>
      <c r="F25" s="1891" t="s">
        <v>2105</v>
      </c>
      <c r="H25" s="1902">
        <f t="shared" si="0"/>
        <v>5</v>
      </c>
      <c r="I25" s="1902">
        <f t="shared" si="1"/>
        <v>5</v>
      </c>
      <c r="J25" s="1902">
        <f t="shared" si="2"/>
        <v>0</v>
      </c>
    </row>
    <row r="26" spans="1:12" ht="12" customHeight="1" x14ac:dyDescent="0.2">
      <c r="A26" s="1887" t="s">
        <v>1615</v>
      </c>
      <c r="B26" s="1888"/>
      <c r="C26" s="1889" t="s">
        <v>2085</v>
      </c>
      <c r="D26" s="1889" t="s">
        <v>2085</v>
      </c>
      <c r="E26" s="1892"/>
      <c r="F26" s="1891" t="s">
        <v>2104</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1459</v>
      </c>
      <c r="B35" s="1896"/>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7"/>
      <c r="B39" s="1897"/>
      <c r="C39" s="1897"/>
      <c r="D39" s="1897"/>
      <c r="E39" s="1897"/>
      <c r="F39" s="1897"/>
    </row>
    <row r="40" spans="1:11" s="1894" customFormat="1" ht="12" customHeight="1" x14ac:dyDescent="0.25">
      <c r="A40" s="1898" t="s">
        <v>1458</v>
      </c>
      <c r="B40" s="1899"/>
      <c r="C40" s="2326"/>
      <c r="D40" s="2326"/>
      <c r="E40" s="2326"/>
      <c r="F40" s="2327"/>
      <c r="H40" s="1903"/>
      <c r="I40" s="1903"/>
      <c r="J40" s="1903"/>
      <c r="K40" s="1903"/>
    </row>
    <row r="41" spans="1:11" s="1894" customFormat="1" ht="12" customHeight="1" x14ac:dyDescent="0.25">
      <c r="A41" s="2328"/>
      <c r="B41" s="2329"/>
      <c r="C41" s="2329"/>
      <c r="D41" s="2329"/>
      <c r="E41" s="2329"/>
      <c r="F41" s="2330"/>
      <c r="H41" s="1903"/>
      <c r="I41" s="1903"/>
      <c r="J41" s="1903"/>
      <c r="K41" s="1903"/>
    </row>
    <row r="42" spans="1:11" s="1894" customFormat="1" ht="12" customHeight="1" x14ac:dyDescent="0.25">
      <c r="A42" s="2328"/>
      <c r="B42" s="2329"/>
      <c r="C42" s="2329"/>
      <c r="D42" s="2329"/>
      <c r="E42" s="2329"/>
      <c r="F42" s="2330"/>
      <c r="H42" s="1903"/>
      <c r="I42" s="1903"/>
      <c r="J42" s="1903"/>
      <c r="K42" s="1903"/>
    </row>
    <row r="43" spans="1:11" s="1894" customFormat="1" ht="15" x14ac:dyDescent="0.25">
      <c r="A43" s="2320"/>
      <c r="B43" s="2321"/>
      <c r="C43" s="2321"/>
      <c r="D43" s="2321"/>
      <c r="E43" s="2321"/>
      <c r="F43" s="2322"/>
      <c r="H43" s="1903"/>
      <c r="I43" s="1903"/>
      <c r="J43" s="1903"/>
      <c r="K43" s="1903"/>
    </row>
    <row r="44" spans="1:11" s="1894" customFormat="1" ht="12" hidden="1" customHeight="1" x14ac:dyDescent="0.25">
      <c r="A44" s="2320"/>
      <c r="B44" s="2321"/>
      <c r="C44" s="2321"/>
      <c r="D44" s="2321"/>
      <c r="E44" s="2321"/>
      <c r="F44" s="2322"/>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6" t="str">
        <f>COVER!A17</f>
        <v>Creston CCSD 61</v>
      </c>
      <c r="J6" s="2337"/>
      <c r="Q6" s="1686"/>
    </row>
    <row r="7" spans="1:17" x14ac:dyDescent="0.2">
      <c r="A7" s="2338" t="s">
        <v>924</v>
      </c>
      <c r="B7" s="2339"/>
      <c r="C7" s="2339"/>
      <c r="D7" s="2339"/>
      <c r="E7" s="2340"/>
      <c r="F7" s="1018"/>
      <c r="G7" s="1010"/>
      <c r="H7" s="1017" t="s">
        <v>390</v>
      </c>
      <c r="I7" s="2341">
        <f>COVER!A13</f>
        <v>47071161004</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109292</v>
      </c>
      <c r="F12" s="1040"/>
      <c r="G12" s="1834">
        <f t="shared" ref="G12:G18" si="0">SUM(E12:F12)</f>
        <v>109292</v>
      </c>
      <c r="H12" s="1041">
        <v>95000</v>
      </c>
      <c r="I12" s="1040"/>
      <c r="J12" s="1834">
        <f t="shared" ref="J12:J18" si="1">SUM(H12:I12)</f>
        <v>95000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18000</v>
      </c>
      <c r="I15" s="1041"/>
      <c r="J15" s="1834">
        <f t="shared" si="1"/>
        <v>18000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109292</v>
      </c>
      <c r="F19" s="1836">
        <f t="shared" si="2"/>
        <v>0</v>
      </c>
      <c r="G19" s="1836">
        <f t="shared" si="2"/>
        <v>109292</v>
      </c>
      <c r="H19" s="1836">
        <f t="shared" si="2"/>
        <v>113000</v>
      </c>
      <c r="I19" s="1836">
        <f t="shared" si="2"/>
        <v>0</v>
      </c>
      <c r="J19" s="1836">
        <f t="shared" si="2"/>
        <v>113000</v>
      </c>
    </row>
    <row r="20" spans="1:10" ht="13.5" thickTop="1" x14ac:dyDescent="0.2">
      <c r="A20" s="1036">
        <v>9</v>
      </c>
      <c r="B20" s="2348" t="s">
        <v>1703</v>
      </c>
      <c r="C20" s="2348"/>
      <c r="D20" s="2349"/>
      <c r="E20" s="1047"/>
      <c r="F20" s="1047"/>
      <c r="G20" s="1047"/>
      <c r="H20" s="1047"/>
      <c r="I20" s="1047"/>
      <c r="J20" s="1837">
        <f>IF(AND(G19&gt;0,J19&gt;0),(((J19-G19)/G19)),"Enter Budget Data")</f>
        <v>3.3927460381363683E-2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2096</v>
      </c>
    </row>
    <row r="6" spans="1:2" x14ac:dyDescent="0.2">
      <c r="A6" s="1069">
        <v>2</v>
      </c>
      <c r="B6" s="329" t="s">
        <v>2097</v>
      </c>
    </row>
    <row r="7" spans="1:2" x14ac:dyDescent="0.2">
      <c r="A7" s="1069">
        <v>3</v>
      </c>
      <c r="B7" s="329" t="s">
        <v>2098</v>
      </c>
    </row>
    <row r="8" spans="1:2" x14ac:dyDescent="0.2">
      <c r="A8" s="1069">
        <v>4</v>
      </c>
      <c r="B8" s="329" t="s">
        <v>2099</v>
      </c>
    </row>
    <row r="9" spans="1:2" x14ac:dyDescent="0.2">
      <c r="A9" s="1070">
        <v>5</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Creston CCSD 61</v>
      </c>
    </row>
    <row r="65" spans="2:2" x14ac:dyDescent="0.2">
      <c r="B65" s="1071">
        <f>COVER!A13</f>
        <v>47071161004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9" sqref="G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1466850</xdr:colOff>
                <xdr:row>4</xdr:row>
                <xdr:rowOff>0</xdr:rowOff>
              </from>
              <to>
                <xdr:col>1</xdr:col>
                <xdr:colOff>2381250</xdr:colOff>
                <xdr:row>8</xdr:row>
                <xdr:rowOff>38100</xdr:rowOff>
              </to>
            </anchor>
          </objectPr>
        </oleObject>
      </mc:Choice>
      <mc:Fallback>
        <oleObject progId="Acrobat.Document.2015"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5"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990265</v>
      </c>
      <c r="C8" s="1838">
        <f>'Acct Summary 7-8'!D8</f>
        <v>77558</v>
      </c>
      <c r="D8" s="1838">
        <f>'Acct Summary 7-8'!F8</f>
        <v>41097</v>
      </c>
      <c r="E8" s="1838">
        <f>'Acct Summary 7-8'!I8</f>
        <v>15505</v>
      </c>
      <c r="F8" s="1838">
        <f>SUM(B8:E8)</f>
        <v>1124425</v>
      </c>
    </row>
    <row r="9" spans="1:8" s="1080" customFormat="1" ht="14.25" customHeight="1" thickBot="1" x14ac:dyDescent="0.25">
      <c r="A9" s="1079" t="s">
        <v>1436</v>
      </c>
      <c r="B9" s="1839">
        <f>'Acct Summary 7-8'!C17</f>
        <v>867845</v>
      </c>
      <c r="C9" s="1839">
        <f>'Acct Summary 7-8'!D17</f>
        <v>69118</v>
      </c>
      <c r="D9" s="1839">
        <f>'Acct Summary 7-8'!F17</f>
        <v>30716</v>
      </c>
      <c r="E9" s="1838"/>
      <c r="F9" s="1838">
        <f>SUM(B9:E9)</f>
        <v>967679</v>
      </c>
    </row>
    <row r="10" spans="1:8" s="1080" customFormat="1" ht="14.25" thickTop="1" thickBot="1" x14ac:dyDescent="0.25">
      <c r="A10" s="1081" t="s">
        <v>1437</v>
      </c>
      <c r="B10" s="1840">
        <f>(B8-B9)</f>
        <v>122420</v>
      </c>
      <c r="C10" s="1840">
        <f>(C8-C9)</f>
        <v>8440</v>
      </c>
      <c r="D10" s="1840">
        <f>(D8-D9)</f>
        <v>10381</v>
      </c>
      <c r="E10" s="1839">
        <f>(E8-E9)</f>
        <v>15505</v>
      </c>
      <c r="F10" s="1841">
        <f>SUM(F8-F9)</f>
        <v>156746</v>
      </c>
    </row>
    <row r="11" spans="1:8" s="1080" customFormat="1" ht="14.25" thickTop="1" thickBot="1" x14ac:dyDescent="0.25">
      <c r="A11" s="1082" t="s">
        <v>1785</v>
      </c>
      <c r="B11" s="1842">
        <f>'Acct Summary 7-8'!C81</f>
        <v>409771</v>
      </c>
      <c r="C11" s="1842">
        <f>'Acct Summary 7-8'!D81</f>
        <v>102936</v>
      </c>
      <c r="D11" s="1842">
        <f>'Acct Summary 7-8'!F81</f>
        <v>103275</v>
      </c>
      <c r="E11" s="1842">
        <f>'Acct Summary 7-8'!I81</f>
        <v>28362</v>
      </c>
      <c r="F11" s="1843">
        <f>SUM(B11:E11)</f>
        <v>644344</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54" sqref="D5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47071161004</v>
      </c>
    </row>
    <row r="3" spans="1:2" x14ac:dyDescent="0.2">
      <c r="A3" t="s">
        <v>1013</v>
      </c>
      <c r="B3" s="138" t="str">
        <f>COVER!A15</f>
        <v>OGLE</v>
      </c>
    </row>
    <row r="4" spans="1:2" x14ac:dyDescent="0.2">
      <c r="A4" t="s">
        <v>1064</v>
      </c>
      <c r="B4" s="138" t="str">
        <f>COVER!A17</f>
        <v>Creston CCSD 61</v>
      </c>
    </row>
    <row r="5" spans="1:2" x14ac:dyDescent="0.2">
      <c r="A5" t="s">
        <v>728</v>
      </c>
      <c r="B5" s="138" t="str">
        <f>COVER!A38</f>
        <v>CURTIS RHEINGANS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060.004890</v>
      </c>
    </row>
    <row r="16" spans="1:2" x14ac:dyDescent="0.2">
      <c r="A16" t="s">
        <v>442</v>
      </c>
      <c r="B16" s="138" t="str">
        <f>COVER!T13</f>
        <v>Macchietto Roth &amp; Company, P.C.</v>
      </c>
    </row>
    <row r="17" spans="1:2" x14ac:dyDescent="0.2">
      <c r="A17" t="s">
        <v>939</v>
      </c>
      <c r="B17" s="138" t="str">
        <f>COVER!T15</f>
        <v>Cathy Macchietto</v>
      </c>
    </row>
    <row r="18" spans="1:2" x14ac:dyDescent="0.2">
      <c r="A18" t="s">
        <v>1212</v>
      </c>
      <c r="B18" s="138" t="str">
        <f>COVER!T17</f>
        <v>911 Lisbon Street</v>
      </c>
    </row>
    <row r="19" spans="1:2" x14ac:dyDescent="0.2">
      <c r="A19" t="s">
        <v>941</v>
      </c>
      <c r="B19" s="138" t="str">
        <f>COVER!T25</f>
        <v>cathy@macchietto-roth.com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815-941-9050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Yes</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410743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972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972</v>
      </c>
      <c r="C91" s="2" t="s">
        <v>594</v>
      </c>
      <c r="D91" s="2" t="str">
        <f t="shared" si="0"/>
        <v>Error?</v>
      </c>
    </row>
    <row r="92" spans="1:4" x14ac:dyDescent="0.2">
      <c r="A92" s="5">
        <v>31</v>
      </c>
      <c r="B92" s="138">
        <f>'Assets-Liab 5-6'!C39</f>
        <v>409771</v>
      </c>
      <c r="D92" s="2" t="str">
        <f t="shared" si="0"/>
        <v>Error?</v>
      </c>
    </row>
    <row r="93" spans="1:4" x14ac:dyDescent="0.2">
      <c r="A93" s="5">
        <v>32</v>
      </c>
      <c r="B93" s="138">
        <f>'Assets-Liab 5-6'!C41</f>
        <v>410743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102936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102936</v>
      </c>
      <c r="D123" s="2" t="str">
        <f t="shared" si="0"/>
        <v>Error?</v>
      </c>
    </row>
    <row r="124" spans="1:4" x14ac:dyDescent="0.2">
      <c r="A124" s="5">
        <v>63</v>
      </c>
      <c r="B124" s="138">
        <f>'Assets-Liab 5-6'!D41</f>
        <v>102936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214</v>
      </c>
      <c r="C139" s="2" t="s">
        <v>594</v>
      </c>
      <c r="D139" s="2" t="str">
        <f t="shared" si="1"/>
        <v>Error?</v>
      </c>
    </row>
    <row r="140" spans="1:4" x14ac:dyDescent="0.2">
      <c r="A140" s="5">
        <v>79</v>
      </c>
      <c r="B140" s="138">
        <f>'Assets-Liab 5-6'!E39</f>
        <v>-214</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103351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76</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103351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103587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1760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1760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103587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1220148</v>
      </c>
      <c r="D274" s="2" t="str">
        <f t="shared" si="3"/>
        <v>Error?</v>
      </c>
    </row>
    <row r="275" spans="1:4" x14ac:dyDescent="0.2">
      <c r="A275" s="5">
        <v>214</v>
      </c>
      <c r="B275" s="138">
        <f>'Assets-Liab 5-6'!M18</f>
        <v>0</v>
      </c>
      <c r="D275" s="2" t="str">
        <f t="shared" si="3"/>
        <v>Error?</v>
      </c>
    </row>
    <row r="276" spans="1:4" x14ac:dyDescent="0.2">
      <c r="A276" s="5">
        <v>215</v>
      </c>
      <c r="B276" s="138">
        <f>'Assets-Liab 5-6'!M19</f>
        <v>391282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1616430</v>
      </c>
      <c r="C279" s="2" t="s">
        <v>594</v>
      </c>
      <c r="D279" s="2" t="str">
        <f t="shared" si="3"/>
        <v>Error?</v>
      </c>
    </row>
    <row r="280" spans="1:4" x14ac:dyDescent="0.2">
      <c r="A280" s="5">
        <v>219</v>
      </c>
      <c r="B280" s="138">
        <f>'Assets-Liab 5-6'!M40</f>
        <v>1616430</v>
      </c>
      <c r="D280" s="2" t="str">
        <f t="shared" si="3"/>
        <v>Error?</v>
      </c>
    </row>
    <row r="281" spans="1:4" x14ac:dyDescent="0.2">
      <c r="A281" s="5">
        <v>220</v>
      </c>
      <c r="B281" s="138">
        <f>'Assets-Liab 5-6'!M41</f>
        <v>1616430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532550</v>
      </c>
      <c r="D283" s="2" t="str">
        <f t="shared" si="3"/>
        <v>Error?</v>
      </c>
    </row>
    <row r="284" spans="1:4" x14ac:dyDescent="0.2">
      <c r="A284" s="5">
        <v>223</v>
      </c>
      <c r="B284" s="138">
        <f>'Assets-Liab 5-6'!N23</f>
        <v>532550</v>
      </c>
      <c r="C284" s="2" t="s">
        <v>594</v>
      </c>
      <c r="D284" s="2" t="str">
        <f t="shared" si="3"/>
        <v>Error?</v>
      </c>
    </row>
    <row r="285" spans="1:4" x14ac:dyDescent="0.2">
      <c r="A285" s="5">
        <v>224</v>
      </c>
      <c r="B285" s="138">
        <f>'Assets-Liab 5-6'!N36</f>
        <v>532550</v>
      </c>
      <c r="D285" s="2" t="str">
        <f t="shared" si="3"/>
        <v>Error?</v>
      </c>
    </row>
    <row r="286" spans="1:4" x14ac:dyDescent="0.2">
      <c r="A286" s="10">
        <v>225</v>
      </c>
      <c r="D286" s="2" t="str">
        <f t="shared" si="3"/>
        <v>OK</v>
      </c>
    </row>
    <row r="287" spans="1:4" x14ac:dyDescent="0.2">
      <c r="A287" s="5">
        <v>226</v>
      </c>
      <c r="B287" s="138">
        <f>'Assets-Liab 5-6'!N37</f>
        <v>532550</v>
      </c>
      <c r="C287" s="2" t="s">
        <v>594</v>
      </c>
      <c r="D287" s="2" t="str">
        <f t="shared" si="3"/>
        <v>Error?</v>
      </c>
    </row>
    <row r="288" spans="1:4" x14ac:dyDescent="0.2">
      <c r="A288" s="5">
        <v>227</v>
      </c>
      <c r="B288" s="138">
        <f>'Assets-Liab 5-6'!N41</f>
        <v>532550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442936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496969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94290</v>
      </c>
      <c r="D733" s="2" t="str">
        <f t="shared" si="10"/>
        <v>Error?</v>
      </c>
    </row>
    <row r="734" spans="1:4" x14ac:dyDescent="0.2">
      <c r="A734" s="5">
        <v>673</v>
      </c>
      <c r="B734" s="138">
        <f>'Expenditures 15-22'!C53</f>
        <v>94290</v>
      </c>
      <c r="C734" s="2" t="s">
        <v>594</v>
      </c>
      <c r="D734" s="2" t="str">
        <f t="shared" si="10"/>
        <v>Error?</v>
      </c>
    </row>
    <row r="735" spans="1:4" x14ac:dyDescent="0.2">
      <c r="A735" s="5">
        <v>674</v>
      </c>
      <c r="B735" s="138">
        <f>'Expenditures 15-22'!C55</f>
        <v>42717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42717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128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138657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635626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50909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55178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4440</v>
      </c>
      <c r="D791" s="2" t="str">
        <f t="shared" si="11"/>
        <v>Error?</v>
      </c>
    </row>
    <row r="792" spans="1:4" x14ac:dyDescent="0.2">
      <c r="A792" s="5">
        <v>731</v>
      </c>
      <c r="B792" s="138">
        <f>'Expenditures 15-22'!D53</f>
        <v>4440</v>
      </c>
      <c r="C792" s="2" t="s">
        <v>594</v>
      </c>
      <c r="D792" s="2" t="str">
        <f t="shared" si="11"/>
        <v>Error?</v>
      </c>
    </row>
    <row r="793" spans="1:4" x14ac:dyDescent="0.2">
      <c r="A793" s="5">
        <v>732</v>
      </c>
      <c r="B793" s="138">
        <f>'Expenditures 15-22'!D55</f>
        <v>2426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2426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6866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62044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32049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32549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2165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2165</v>
      </c>
      <c r="C847" s="2" t="s">
        <v>594</v>
      </c>
      <c r="D847" s="2" t="str">
        <f t="shared" si="12"/>
        <v>Error?</v>
      </c>
    </row>
    <row r="848" spans="1:4" x14ac:dyDescent="0.2">
      <c r="A848" s="5">
        <v>787</v>
      </c>
      <c r="B848" s="138">
        <f>'Expenditures 15-22'!E49</f>
        <v>2624</v>
      </c>
      <c r="D848" s="2" t="str">
        <f t="shared" si="12"/>
        <v>Error?</v>
      </c>
    </row>
    <row r="849" spans="1:4" x14ac:dyDescent="0.2">
      <c r="A849" s="5">
        <v>788</v>
      </c>
      <c r="B849" s="138">
        <f>'Expenditures 15-22'!E50</f>
        <v>7890</v>
      </c>
      <c r="D849" s="2" t="str">
        <f t="shared" si="12"/>
        <v>Error?</v>
      </c>
    </row>
    <row r="850" spans="1:4" x14ac:dyDescent="0.2">
      <c r="A850" s="5">
        <v>789</v>
      </c>
      <c r="B850" s="138">
        <f>'Expenditures 15-22'!E53</f>
        <v>10514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17460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17460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30139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109302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17199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9088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26287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23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21666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21666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21689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47976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2672</v>
      </c>
      <c r="D1023" s="2" t="str">
        <f t="shared" ref="D1023:D1086" si="15">IF(ISBLANK(B1023),"OK",IF(A1023-B1023=0,"OK","Error?"))</f>
        <v>Error?</v>
      </c>
    </row>
    <row r="1024" spans="1:4" x14ac:dyDescent="0.2">
      <c r="A1024" s="5">
        <v>963</v>
      </c>
      <c r="B1024" s="138">
        <f>'Expenditures 15-22'!H53</f>
        <v>2672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2672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3771</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3771</v>
      </c>
      <c r="C1053" s="2" t="s">
        <v>594</v>
      </c>
      <c r="D1053" s="2" t="str">
        <f t="shared" si="15"/>
        <v>Error?</v>
      </c>
    </row>
    <row r="1054" spans="1:4" x14ac:dyDescent="0.2">
      <c r="A1054" s="5">
        <v>993</v>
      </c>
      <c r="B1054" s="138">
        <f>'Expenditures 15-22'!H114</f>
        <v>12318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549547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9088</v>
      </c>
      <c r="C1105" s="2" t="s">
        <v>594</v>
      </c>
      <c r="D1105" s="2" t="str">
        <f t="shared" si="16"/>
        <v>Error?</v>
      </c>
    </row>
    <row r="1106" spans="1:4" x14ac:dyDescent="0.2">
      <c r="A1106" s="5">
        <v>1045</v>
      </c>
      <c r="B1106" s="138">
        <f>'Expenditures 15-22'!K14</f>
        <v>3350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617437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2188</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2188</v>
      </c>
      <c r="C1119" s="2" t="s">
        <v>594</v>
      </c>
      <c r="D1119" s="2" t="str">
        <f t="shared" si="16"/>
        <v>Error?</v>
      </c>
    </row>
    <row r="1120" spans="1:4" x14ac:dyDescent="0.2">
      <c r="A1120" s="5">
        <v>1059</v>
      </c>
      <c r="B1120" s="138">
        <f>'Expenditures 15-22'!K49</f>
        <v>2624</v>
      </c>
      <c r="C1120" s="2" t="s">
        <v>594</v>
      </c>
      <c r="D1120" s="2" t="str">
        <f t="shared" si="16"/>
        <v>Error?</v>
      </c>
    </row>
    <row r="1121" spans="1:4" x14ac:dyDescent="0.2">
      <c r="A1121" s="5">
        <v>1060</v>
      </c>
      <c r="B1121" s="138">
        <f>'Expenditures 15-22'!K50</f>
        <v>109292</v>
      </c>
      <c r="C1121" s="2" t="s">
        <v>594</v>
      </c>
      <c r="D1121" s="2" t="str">
        <f t="shared" si="16"/>
        <v>Error?</v>
      </c>
    </row>
    <row r="1122" spans="1:4" x14ac:dyDescent="0.2">
      <c r="A1122" s="5">
        <v>1061</v>
      </c>
      <c r="B1122" s="138">
        <f>'Expenditures 15-22'!K53</f>
        <v>111916</v>
      </c>
      <c r="C1122" s="2" t="s">
        <v>594</v>
      </c>
      <c r="D1122" s="2" t="str">
        <f t="shared" si="16"/>
        <v>Error?</v>
      </c>
    </row>
    <row r="1123" spans="1:4" x14ac:dyDescent="0.2">
      <c r="A1123" s="5">
        <v>1062</v>
      </c>
      <c r="B1123" s="138">
        <f>'Expenditures 15-22'!K55</f>
        <v>45143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45143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17460</v>
      </c>
      <c r="C1127" s="2" t="s">
        <v>594</v>
      </c>
      <c r="D1127" s="2" t="str">
        <f t="shared" si="16"/>
        <v>Error?</v>
      </c>
    </row>
    <row r="1128" spans="1:4" x14ac:dyDescent="0.2">
      <c r="A1128" s="5">
        <v>1067</v>
      </c>
      <c r="B1128" s="138">
        <f>'Expenditures 15-22'!K61</f>
        <v>128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23188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40776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200023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46614</v>
      </c>
      <c r="C1145" s="2" t="s">
        <v>594</v>
      </c>
      <c r="D1145" s="2" t="str">
        <f t="shared" si="16"/>
        <v>Error?</v>
      </c>
    </row>
    <row r="1146" spans="1:4" x14ac:dyDescent="0.2">
      <c r="A1146" s="5">
        <v>1085</v>
      </c>
      <c r="B1146" s="138">
        <f>'Expenditures 15-22'!K105</f>
        <v>3771</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3771</v>
      </c>
      <c r="C1151" s="2" t="s">
        <v>594</v>
      </c>
      <c r="D1151" s="2" t="str">
        <f t="shared" ref="D1151:D1214" si="17">IF(ISBLANK(B1151),"OK",IF(A1151-B1151=0,"OK","Error?"))</f>
        <v>Error?</v>
      </c>
    </row>
    <row r="1152" spans="1:4" x14ac:dyDescent="0.2">
      <c r="A1152" s="5">
        <v>1091</v>
      </c>
      <c r="B1152" s="138">
        <f>'Expenditures 15-22'!K114</f>
        <v>867845</v>
      </c>
      <c r="C1152" s="2" t="s">
        <v>594</v>
      </c>
      <c r="D1152" s="2" t="str">
        <f t="shared" si="17"/>
        <v>Error?</v>
      </c>
    </row>
    <row r="1153" spans="1:4" x14ac:dyDescent="0.2">
      <c r="A1153" s="5">
        <v>1092</v>
      </c>
      <c r="B1153" s="138">
        <f>'Expenditures 15-22'!K115</f>
        <v>122420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16334</v>
      </c>
      <c r="D1221" s="2" t="str">
        <f t="shared" si="18"/>
        <v>Error?</v>
      </c>
    </row>
    <row r="1222" spans="1:4" x14ac:dyDescent="0.2">
      <c r="A1222" s="10">
        <v>1161</v>
      </c>
      <c r="D1222" s="2" t="str">
        <f t="shared" si="18"/>
        <v>OK</v>
      </c>
    </row>
    <row r="1223" spans="1:4" x14ac:dyDescent="0.2">
      <c r="A1223" s="5">
        <v>1162</v>
      </c>
      <c r="B1223" s="138">
        <f>'Expenditures 15-22'!C127</f>
        <v>16334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16334</v>
      </c>
      <c r="C1225" s="2" t="s">
        <v>594</v>
      </c>
      <c r="D1225" s="2" t="str">
        <f t="shared" si="18"/>
        <v>Error?</v>
      </c>
    </row>
    <row r="1226" spans="1:4" x14ac:dyDescent="0.2">
      <c r="A1226" s="5">
        <v>1165</v>
      </c>
      <c r="B1226" s="138">
        <f>'Expenditures 15-22'!C151</f>
        <v>16334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18715</v>
      </c>
      <c r="D1237" s="2" t="str">
        <f t="shared" si="18"/>
        <v>Error?</v>
      </c>
    </row>
    <row r="1238" spans="1:4" x14ac:dyDescent="0.2">
      <c r="A1238" s="10">
        <v>1177</v>
      </c>
      <c r="D1238" s="2" t="str">
        <f t="shared" si="18"/>
        <v>OK</v>
      </c>
    </row>
    <row r="1239" spans="1:4" x14ac:dyDescent="0.2">
      <c r="A1239" s="5">
        <v>1178</v>
      </c>
      <c r="B1239" s="138">
        <f>'Expenditures 15-22'!E127</f>
        <v>18715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18715</v>
      </c>
      <c r="C1241" s="2" t="s">
        <v>594</v>
      </c>
      <c r="D1241" s="2" t="str">
        <f t="shared" si="18"/>
        <v>Error?</v>
      </c>
    </row>
    <row r="1242" spans="1:4" x14ac:dyDescent="0.2">
      <c r="A1242" s="5">
        <v>1181</v>
      </c>
      <c r="B1242" s="138">
        <f>'Expenditures 15-22'!E151</f>
        <v>18715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34069</v>
      </c>
      <c r="D1245" s="2" t="str">
        <f t="shared" si="18"/>
        <v>Error?</v>
      </c>
    </row>
    <row r="1246" spans="1:4" x14ac:dyDescent="0.2">
      <c r="A1246" s="10">
        <v>1185</v>
      </c>
      <c r="D1246" s="2" t="str">
        <f t="shared" si="18"/>
        <v>OK</v>
      </c>
    </row>
    <row r="1247" spans="1:4" x14ac:dyDescent="0.2">
      <c r="A1247" s="5">
        <v>1186</v>
      </c>
      <c r="B1247" s="138">
        <f>'Expenditures 15-22'!F127</f>
        <v>34069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34069</v>
      </c>
      <c r="C1249" s="2" t="s">
        <v>594</v>
      </c>
      <c r="D1249" s="2" t="str">
        <f t="shared" si="18"/>
        <v>Error?</v>
      </c>
    </row>
    <row r="1250" spans="1:4" x14ac:dyDescent="0.2">
      <c r="A1250" s="5">
        <v>1189</v>
      </c>
      <c r="B1250" s="138">
        <f>'Expenditures 15-22'!F151</f>
        <v>34069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69118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69118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69118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69118</v>
      </c>
      <c r="C1288" s="2" t="s">
        <v>594</v>
      </c>
      <c r="D1288" s="2" t="str">
        <f t="shared" si="19"/>
        <v>Error?</v>
      </c>
    </row>
    <row r="1289" spans="1:4" x14ac:dyDescent="0.2">
      <c r="A1289" s="5">
        <v>1228</v>
      </c>
      <c r="B1289" s="138">
        <f>'Expenditures 15-22'!K152</f>
        <v>8440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26074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68285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94359</v>
      </c>
      <c r="C1317" s="2" t="s">
        <v>594</v>
      </c>
      <c r="D1317" s="2" t="str">
        <f t="shared" si="19"/>
        <v>Error?</v>
      </c>
    </row>
    <row r="1318" spans="1:4" x14ac:dyDescent="0.2">
      <c r="A1318" s="5">
        <v>1257</v>
      </c>
      <c r="B1318" s="138">
        <f>'Expenditures 15-22'!H174</f>
        <v>94359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26074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68285</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94359</v>
      </c>
      <c r="C1331" s="2" t="s">
        <v>594</v>
      </c>
      <c r="D1331" s="2" t="str">
        <f t="shared" si="19"/>
        <v>Error?</v>
      </c>
    </row>
    <row r="1332" spans="1:4" x14ac:dyDescent="0.2">
      <c r="A1332" s="5">
        <v>1271</v>
      </c>
      <c r="B1332" s="138">
        <f>'Expenditures 15-22'!K174</f>
        <v>94359</v>
      </c>
      <c r="C1332" s="2" t="s">
        <v>594</v>
      </c>
      <c r="D1332" s="2" t="str">
        <f t="shared" si="19"/>
        <v>Error?</v>
      </c>
    </row>
    <row r="1333" spans="1:4" x14ac:dyDescent="0.2">
      <c r="A1333" s="5">
        <v>1272</v>
      </c>
      <c r="B1333" s="138">
        <f>'Expenditures 15-22'!K175</f>
        <v>-28255</v>
      </c>
      <c r="C1333" s="2" t="s">
        <v>594</v>
      </c>
      <c r="D1333" s="2" t="str">
        <f t="shared" si="19"/>
        <v>Error?</v>
      </c>
    </row>
    <row r="1334" spans="1:4" x14ac:dyDescent="0.2">
      <c r="A1334" s="10">
        <v>1273</v>
      </c>
      <c r="D1334" s="2" t="str">
        <f t="shared" si="19"/>
        <v>OK</v>
      </c>
    </row>
    <row r="1335" spans="1:4" x14ac:dyDescent="0.2">
      <c r="A1335" s="5">
        <v>1274</v>
      </c>
      <c r="B1335" s="138">
        <f>'Expenditures 15-22'!C182</f>
        <v>7167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7167</v>
      </c>
      <c r="C1339" s="2" t="s">
        <v>594</v>
      </c>
      <c r="D1339" s="2" t="str">
        <f t="shared" si="19"/>
        <v>Error?</v>
      </c>
    </row>
    <row r="1340" spans="1:4" x14ac:dyDescent="0.2">
      <c r="A1340" s="5">
        <v>1279</v>
      </c>
      <c r="B1340" s="138">
        <f>'Expenditures 15-22'!C210</f>
        <v>7167</v>
      </c>
      <c r="C1340" s="2" t="s">
        <v>594</v>
      </c>
      <c r="D1340" s="2" t="str">
        <f t="shared" si="19"/>
        <v>Error?</v>
      </c>
    </row>
    <row r="1341" spans="1:4" x14ac:dyDescent="0.2">
      <c r="A1341" s="5">
        <v>1280</v>
      </c>
      <c r="B1341" s="138">
        <f>'Expenditures 15-22'!D182</f>
        <v>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68</v>
      </c>
      <c r="C1345" s="2" t="s">
        <v>594</v>
      </c>
      <c r="D1345" s="2" t="str">
        <f t="shared" si="20"/>
        <v>Error?</v>
      </c>
    </row>
    <row r="1346" spans="1:4" x14ac:dyDescent="0.2">
      <c r="A1346" s="5">
        <v>1285</v>
      </c>
      <c r="B1346" s="138">
        <f>'Expenditures 15-22'!D210</f>
        <v>68</v>
      </c>
      <c r="C1346" s="2" t="s">
        <v>594</v>
      </c>
      <c r="D1346" s="2" t="str">
        <f t="shared" si="20"/>
        <v>Error?</v>
      </c>
    </row>
    <row r="1347" spans="1:4" x14ac:dyDescent="0.2">
      <c r="A1347" s="5">
        <v>1286</v>
      </c>
      <c r="B1347" s="138">
        <f>'Expenditures 15-22'!E182</f>
        <v>14530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14530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14530</v>
      </c>
      <c r="C1353" s="2" t="s">
        <v>594</v>
      </c>
      <c r="D1353" s="2" t="str">
        <f t="shared" si="20"/>
        <v>Error?</v>
      </c>
    </row>
    <row r="1354" spans="1:4" x14ac:dyDescent="0.2">
      <c r="A1354" s="5">
        <v>1293</v>
      </c>
      <c r="B1354" s="138">
        <f>'Expenditures 15-22'!F182</f>
        <v>3080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3080</v>
      </c>
      <c r="C1358" s="2" t="s">
        <v>594</v>
      </c>
      <c r="D1358" s="2" t="str">
        <f t="shared" si="20"/>
        <v>Error?</v>
      </c>
    </row>
    <row r="1359" spans="1:4" x14ac:dyDescent="0.2">
      <c r="A1359" s="5">
        <v>1298</v>
      </c>
      <c r="B1359" s="138">
        <f>'Expenditures 15-22'!F210</f>
        <v>3080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5871</v>
      </c>
      <c r="C1376" s="2" t="s">
        <v>594</v>
      </c>
      <c r="D1376" s="2" t="str">
        <f t="shared" si="20"/>
        <v>Error?</v>
      </c>
    </row>
    <row r="1377" spans="1:4" x14ac:dyDescent="0.2">
      <c r="A1377" s="5">
        <v>1316</v>
      </c>
      <c r="B1377" s="138">
        <f>'Expenditures 15-22'!K182</f>
        <v>24845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24845</v>
      </c>
      <c r="C1381" s="2" t="s">
        <v>594</v>
      </c>
      <c r="D1381" s="2" t="str">
        <f t="shared" si="20"/>
        <v>Error?</v>
      </c>
    </row>
    <row r="1382" spans="1:4" x14ac:dyDescent="0.2">
      <c r="A1382" s="5">
        <v>1321</v>
      </c>
      <c r="B1382" s="138">
        <f>'Expenditures 15-22'!K196</f>
        <v>5871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30716</v>
      </c>
      <c r="C1388" s="2" t="s">
        <v>594</v>
      </c>
      <c r="D1388" s="2" t="str">
        <f t="shared" si="20"/>
        <v>Error?</v>
      </c>
    </row>
    <row r="1389" spans="1:4" x14ac:dyDescent="0.2">
      <c r="A1389" s="5">
        <v>1328</v>
      </c>
      <c r="B1389" s="138">
        <f>'Expenditures 15-22'!K211</f>
        <v>10381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15401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12858</v>
      </c>
      <c r="D1423" s="2" t="str">
        <f t="shared" si="21"/>
        <v>Error?</v>
      </c>
    </row>
    <row r="1424" spans="1:4" x14ac:dyDescent="0.2">
      <c r="A1424" s="5">
        <v>1363</v>
      </c>
      <c r="B1424" s="138">
        <f>'Expenditures 15-22'!D257</f>
        <v>12858</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3638</v>
      </c>
      <c r="D1431" s="2" t="str">
        <f t="shared" si="21"/>
        <v>Error?</v>
      </c>
    </row>
    <row r="1432" spans="1:4" x14ac:dyDescent="0.2">
      <c r="A1432" s="5">
        <v>1371</v>
      </c>
      <c r="B1432" s="138">
        <f>'Expenditures 15-22'!D267</f>
        <v>3097</v>
      </c>
      <c r="D1432" s="2" t="str">
        <f t="shared" si="21"/>
        <v>Error?</v>
      </c>
    </row>
    <row r="1433" spans="1:4" x14ac:dyDescent="0.2">
      <c r="A1433" s="5">
        <v>1372</v>
      </c>
      <c r="B1433" s="138">
        <f>'Expenditures 15-22'!D268</f>
        <v>422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7157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20015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35416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15401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12858</v>
      </c>
      <c r="C1487" s="2" t="s">
        <v>594</v>
      </c>
      <c r="D1487" s="2" t="str">
        <f t="shared" si="22"/>
        <v>Error?</v>
      </c>
    </row>
    <row r="1488" spans="1:4" x14ac:dyDescent="0.2">
      <c r="A1488" s="5">
        <v>1427</v>
      </c>
      <c r="B1488" s="138">
        <f>'Expenditures 15-22'!K257</f>
        <v>12858</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3638</v>
      </c>
      <c r="C1495" s="2" t="s">
        <v>594</v>
      </c>
      <c r="D1495" s="2" t="str">
        <f t="shared" si="22"/>
        <v>Error?</v>
      </c>
    </row>
    <row r="1496" spans="1:4" x14ac:dyDescent="0.2">
      <c r="A1496" s="5">
        <v>1435</v>
      </c>
      <c r="B1496" s="138">
        <f>'Expenditures 15-22'!K267</f>
        <v>3097</v>
      </c>
      <c r="C1496" s="2" t="s">
        <v>594</v>
      </c>
      <c r="D1496" s="2" t="str">
        <f t="shared" si="22"/>
        <v>Error?</v>
      </c>
    </row>
    <row r="1497" spans="1:4" x14ac:dyDescent="0.2">
      <c r="A1497" s="5">
        <v>1436</v>
      </c>
      <c r="B1497" s="138">
        <f>'Expenditures 15-22'!K268</f>
        <v>422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7157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20015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35416</v>
      </c>
      <c r="C1517" s="2" t="s">
        <v>594</v>
      </c>
      <c r="D1517" s="2" t="str">
        <f t="shared" si="22"/>
        <v>Error?</v>
      </c>
    </row>
    <row r="1518" spans="1:4" x14ac:dyDescent="0.2">
      <c r="A1518" s="5">
        <v>1457</v>
      </c>
      <c r="B1518" s="138">
        <f>'Expenditures 15-22'!K296</f>
        <v>28209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287351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409771</v>
      </c>
      <c r="C1630" s="2" t="s">
        <v>594</v>
      </c>
      <c r="D1630" s="2" t="str">
        <f t="shared" si="24"/>
        <v>Error?</v>
      </c>
    </row>
    <row r="1631" spans="1:4" x14ac:dyDescent="0.2">
      <c r="A1631" s="5">
        <v>1570</v>
      </c>
      <c r="B1631" s="138">
        <f>'Acct Summary 7-8'!D79</f>
        <v>94496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102936</v>
      </c>
      <c r="C1644" s="2" t="s">
        <v>594</v>
      </c>
      <c r="D1644" s="2" t="str">
        <f t="shared" si="24"/>
        <v>Error?</v>
      </c>
    </row>
    <row r="1645" spans="1:4" x14ac:dyDescent="0.2">
      <c r="A1645" s="5">
        <v>1584</v>
      </c>
      <c r="B1645" s="138">
        <f>'Acct Summary 7-8'!E79</f>
        <v>28041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-214</v>
      </c>
      <c r="C1658" s="2" t="s">
        <v>594</v>
      </c>
      <c r="D1658" s="2" t="str">
        <f t="shared" si="24"/>
        <v>Error?</v>
      </c>
    </row>
    <row r="1659" spans="1:4" x14ac:dyDescent="0.2">
      <c r="A1659" s="5">
        <v>1598</v>
      </c>
      <c r="B1659" s="138">
        <f>'Acct Summary 7-8'!F79</f>
        <v>92894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103275</v>
      </c>
      <c r="C1672" s="2" t="s">
        <v>594</v>
      </c>
      <c r="D1672" s="2" t="str">
        <f t="shared" si="25"/>
        <v>Error?</v>
      </c>
    </row>
    <row r="1673" spans="1:4" x14ac:dyDescent="0.2">
      <c r="A1673" s="5">
        <v>1612</v>
      </c>
      <c r="B1673" s="138">
        <f>'Acct Summary 7-8'!G79</f>
        <v>73618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101827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731802</v>
      </c>
      <c r="C1744" s="2" t="s">
        <v>594</v>
      </c>
      <c r="D1744" s="2" t="str">
        <f t="shared" si="26"/>
        <v>Error?</v>
      </c>
    </row>
    <row r="1745" spans="1:5" x14ac:dyDescent="0.2">
      <c r="A1745" s="5">
        <v>1684</v>
      </c>
      <c r="B1745" s="138">
        <f>'Tax Sched 23'!B5</f>
        <v>76872</v>
      </c>
      <c r="C1745" s="2" t="s">
        <v>594</v>
      </c>
      <c r="D1745" s="2" t="str">
        <f t="shared" si="26"/>
        <v>Error?</v>
      </c>
    </row>
    <row r="1746" spans="1:5" x14ac:dyDescent="0.2">
      <c r="A1746" s="5">
        <v>1685</v>
      </c>
      <c r="B1746" s="138">
        <f>'Tax Sched 23'!B6</f>
        <v>66094</v>
      </c>
      <c r="C1746" s="2" t="s">
        <v>594</v>
      </c>
      <c r="D1746" s="2" t="str">
        <f t="shared" si="26"/>
        <v>Error?</v>
      </c>
    </row>
    <row r="1747" spans="1:5" x14ac:dyDescent="0.2">
      <c r="A1747" s="5">
        <v>1686</v>
      </c>
      <c r="B1747" s="138">
        <f>'Tax Sched 23'!B7</f>
        <v>36899</v>
      </c>
      <c r="C1747" s="2" t="s">
        <v>594</v>
      </c>
      <c r="D1747" s="2" t="str">
        <f t="shared" si="26"/>
        <v>Error?</v>
      </c>
    </row>
    <row r="1748" spans="1:5" x14ac:dyDescent="0.2">
      <c r="A1748" s="5">
        <v>1687</v>
      </c>
      <c r="B1748" s="138">
        <f>'Tax Sched 23'!B8</f>
        <v>31515</v>
      </c>
      <c r="C1748" s="2" t="s">
        <v>594</v>
      </c>
      <c r="D1748" s="2" t="str">
        <f t="shared" si="26"/>
        <v>Error?</v>
      </c>
    </row>
    <row r="1749" spans="1:5" x14ac:dyDescent="0.2">
      <c r="A1749" s="5">
        <v>1688</v>
      </c>
      <c r="B1749" s="138">
        <f>'Tax Sched 23'!B10</f>
        <v>15375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164906</v>
      </c>
      <c r="C1752" s="2" t="s">
        <v>594</v>
      </c>
      <c r="D1752" s="2" t="str">
        <f t="shared" si="26"/>
        <v>Error?</v>
      </c>
    </row>
    <row r="1753" spans="1:5" x14ac:dyDescent="0.2">
      <c r="A1753" s="5">
        <v>1692</v>
      </c>
      <c r="B1753" s="138">
        <f>'Tax Sched 23'!B12</f>
        <v>8858</v>
      </c>
      <c r="C1753" s="2" t="s">
        <v>594</v>
      </c>
      <c r="D1753" s="2" t="str">
        <f t="shared" si="26"/>
        <v>Error?</v>
      </c>
    </row>
    <row r="1754" spans="1:5" x14ac:dyDescent="0.2">
      <c r="A1754" s="5">
        <v>1693</v>
      </c>
      <c r="B1754" s="138">
        <f>'Tax Sched 23'!B14</f>
        <v>6150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1185361</v>
      </c>
      <c r="C1759" s="2" t="s">
        <v>594</v>
      </c>
      <c r="D1759" s="2" t="str">
        <f t="shared" si="26"/>
        <v>Error?</v>
      </c>
    </row>
    <row r="1760" spans="1:5" x14ac:dyDescent="0.2">
      <c r="A1760" s="5">
        <v>1699</v>
      </c>
      <c r="B1760" s="138">
        <f>'Tax Sched 23'!D4</f>
        <v>310148</v>
      </c>
      <c r="C1760" s="2" t="s">
        <v>594</v>
      </c>
      <c r="D1760" s="2" t="str">
        <f t="shared" si="26"/>
        <v>Error?</v>
      </c>
    </row>
    <row r="1761" spans="1:5" x14ac:dyDescent="0.2">
      <c r="A1761" s="5">
        <v>1700</v>
      </c>
      <c r="B1761" s="138">
        <f>'Tax Sched 23'!D5</f>
        <v>32581</v>
      </c>
      <c r="C1761" s="2" t="s">
        <v>594</v>
      </c>
      <c r="D1761" s="2" t="str">
        <f t="shared" si="26"/>
        <v>Error?</v>
      </c>
    </row>
    <row r="1762" spans="1:5" s="8" customFormat="1" x14ac:dyDescent="0.2">
      <c r="A1762" s="5">
        <v>1701</v>
      </c>
      <c r="B1762" s="138">
        <f>'Tax Sched 23'!D6</f>
        <v>37020</v>
      </c>
      <c r="C1762" s="2" t="s">
        <v>594</v>
      </c>
      <c r="D1762" s="2" t="str">
        <f t="shared" si="26"/>
        <v>Error?</v>
      </c>
      <c r="E1762" s="9"/>
    </row>
    <row r="1763" spans="1:5" x14ac:dyDescent="0.2">
      <c r="A1763" s="5">
        <v>1702</v>
      </c>
      <c r="B1763" s="138">
        <f>'Tax Sched 23'!D7</f>
        <v>15639</v>
      </c>
      <c r="C1763" s="2" t="s">
        <v>594</v>
      </c>
      <c r="D1763" s="2" t="str">
        <f t="shared" si="26"/>
        <v>Error?</v>
      </c>
    </row>
    <row r="1764" spans="1:5" x14ac:dyDescent="0.2">
      <c r="A1764" s="5">
        <v>1703</v>
      </c>
      <c r="B1764" s="138">
        <f>'Tax Sched 23'!D8</f>
        <v>13399</v>
      </c>
      <c r="C1764" s="2" t="s">
        <v>594</v>
      </c>
      <c r="D1764" s="2" t="str">
        <f t="shared" si="26"/>
        <v>Error?</v>
      </c>
    </row>
    <row r="1765" spans="1:5" x14ac:dyDescent="0.2">
      <c r="A1765" s="5">
        <v>1704</v>
      </c>
      <c r="B1765" s="138">
        <f>'Tax Sched 23'!D10</f>
        <v>6517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70482</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2697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508399</v>
      </c>
      <c r="C1775" s="2" t="s">
        <v>594</v>
      </c>
      <c r="D1775" s="2" t="str">
        <f t="shared" si="26"/>
        <v>Error?</v>
      </c>
    </row>
    <row r="1776" spans="1:5" x14ac:dyDescent="0.2">
      <c r="A1776" s="5">
        <v>1715</v>
      </c>
      <c r="B1776" s="138">
        <f>'Tax Sched 23'!C4</f>
        <v>421654</v>
      </c>
      <c r="D1776" s="2" t="str">
        <f t="shared" si="26"/>
        <v>Error?</v>
      </c>
    </row>
    <row r="1777" spans="1:4" x14ac:dyDescent="0.2">
      <c r="A1777" s="5">
        <v>1716</v>
      </c>
      <c r="B1777" s="138">
        <f>'Tax Sched 23'!C5</f>
        <v>44291</v>
      </c>
      <c r="D1777" s="2" t="str">
        <f t="shared" si="26"/>
        <v>Error?</v>
      </c>
    </row>
    <row r="1778" spans="1:4" x14ac:dyDescent="0.2">
      <c r="A1778" s="5">
        <v>1717</v>
      </c>
      <c r="B1778" s="138">
        <f>'Tax Sched 23'!C6</f>
        <v>29074</v>
      </c>
      <c r="D1778" s="2" t="str">
        <f t="shared" si="26"/>
        <v>Error?</v>
      </c>
    </row>
    <row r="1779" spans="1:4" x14ac:dyDescent="0.2">
      <c r="A1779" s="5">
        <v>1718</v>
      </c>
      <c r="B1779" s="138">
        <f>'Tax Sched 23'!C7</f>
        <v>21260</v>
      </c>
      <c r="D1779" s="2" t="str">
        <f t="shared" si="26"/>
        <v>Error?</v>
      </c>
    </row>
    <row r="1780" spans="1:4" x14ac:dyDescent="0.2">
      <c r="A1780" s="5">
        <v>1719</v>
      </c>
      <c r="B1780" s="138">
        <f>'Tax Sched 23'!C8</f>
        <v>18116</v>
      </c>
      <c r="D1780" s="2" t="str">
        <f t="shared" si="26"/>
        <v>Error?</v>
      </c>
    </row>
    <row r="1781" spans="1:4" x14ac:dyDescent="0.2">
      <c r="A1781" s="5">
        <v>1720</v>
      </c>
      <c r="B1781" s="138">
        <f>'Tax Sched 23'!C10</f>
        <v>8858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94424</v>
      </c>
      <c r="D1784" s="2" t="str">
        <f t="shared" si="26"/>
        <v>Error?</v>
      </c>
    </row>
    <row r="1785" spans="1:4" x14ac:dyDescent="0.2">
      <c r="A1785" s="5">
        <v>1724</v>
      </c>
      <c r="B1785" s="138">
        <f>'Tax Sched 23'!C12</f>
        <v>8858</v>
      </c>
      <c r="D1785" s="2" t="str">
        <f t="shared" si="26"/>
        <v>Error?</v>
      </c>
    </row>
    <row r="1786" spans="1:4" x14ac:dyDescent="0.2">
      <c r="A1786" s="5">
        <v>1725</v>
      </c>
      <c r="B1786" s="138">
        <f>'Tax Sched 23'!C14</f>
        <v>3453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676962</v>
      </c>
      <c r="C1791" s="2" t="s">
        <v>594</v>
      </c>
      <c r="D1791" s="2" t="str">
        <f t="shared" ref="D1791:D1854" si="27">IF(ISBLANK(B1791),"OK",IF(A1791-B1791=0,"OK","Error?"))</f>
        <v>Error?</v>
      </c>
    </row>
    <row r="1792" spans="1:4" x14ac:dyDescent="0.2">
      <c r="A1792" s="5">
        <v>1731</v>
      </c>
      <c r="B1792" s="138">
        <f>'Tax Sched 23'!F4</f>
        <v>345648</v>
      </c>
      <c r="C1792" s="2" t="s">
        <v>594</v>
      </c>
      <c r="D1792" s="2" t="str">
        <f t="shared" si="27"/>
        <v>Error?</v>
      </c>
    </row>
    <row r="1793" spans="1:4" x14ac:dyDescent="0.2">
      <c r="A1793" s="5">
        <v>1732</v>
      </c>
      <c r="B1793" s="138">
        <f>'Tax Sched 23'!F5</f>
        <v>36308</v>
      </c>
      <c r="C1793" s="2" t="s">
        <v>594</v>
      </c>
      <c r="D1793" s="2" t="str">
        <f t="shared" si="27"/>
        <v>Error?</v>
      </c>
    </row>
    <row r="1794" spans="1:4" x14ac:dyDescent="0.2">
      <c r="A1794" s="5">
        <v>1733</v>
      </c>
      <c r="B1794" s="138">
        <f>'Tax Sched 23'!F6</f>
        <v>23879</v>
      </c>
      <c r="C1794" s="2" t="s">
        <v>594</v>
      </c>
      <c r="D1794" s="2" t="str">
        <f t="shared" si="27"/>
        <v>Error?</v>
      </c>
    </row>
    <row r="1795" spans="1:4" x14ac:dyDescent="0.2">
      <c r="A1795" s="5">
        <v>1734</v>
      </c>
      <c r="B1795" s="138">
        <f>'Tax Sched 23'!F7</f>
        <v>17427</v>
      </c>
      <c r="C1795" s="2" t="s">
        <v>594</v>
      </c>
      <c r="D1795" s="2" t="str">
        <f t="shared" si="27"/>
        <v>Error?</v>
      </c>
    </row>
    <row r="1796" spans="1:4" x14ac:dyDescent="0.2">
      <c r="A1796" s="5">
        <v>1735</v>
      </c>
      <c r="B1796" s="138">
        <f>'Tax Sched 23'!F8</f>
        <v>14854</v>
      </c>
      <c r="C1796" s="2" t="s">
        <v>594</v>
      </c>
      <c r="D1796" s="2" t="str">
        <f t="shared" si="27"/>
        <v>Error?</v>
      </c>
    </row>
    <row r="1797" spans="1:4" x14ac:dyDescent="0.2">
      <c r="A1797" s="5">
        <v>1736</v>
      </c>
      <c r="B1797" s="138">
        <f>'Tax Sched 23'!F10</f>
        <v>7262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77417</v>
      </c>
      <c r="C1800" s="2" t="s">
        <v>594</v>
      </c>
      <c r="D1800" s="2" t="str">
        <f t="shared" si="27"/>
        <v>Error?</v>
      </c>
    </row>
    <row r="1801" spans="1:4" x14ac:dyDescent="0.2">
      <c r="A1801" s="5">
        <v>1740</v>
      </c>
      <c r="B1801" s="138">
        <f>'Tax Sched 23'!F12</f>
        <v>7208</v>
      </c>
      <c r="C1801" s="2" t="s">
        <v>594</v>
      </c>
      <c r="D1801" s="2" t="str">
        <f t="shared" si="27"/>
        <v>Error?</v>
      </c>
    </row>
    <row r="1802" spans="1:4" x14ac:dyDescent="0.2">
      <c r="A1802" s="5">
        <v>1741</v>
      </c>
      <c r="B1802" s="138">
        <f>'Tax Sched 23'!F14</f>
        <v>2995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555114</v>
      </c>
      <c r="C1807" s="2" t="s">
        <v>594</v>
      </c>
      <c r="D1807" s="2" t="str">
        <f t="shared" si="27"/>
        <v>Error?</v>
      </c>
    </row>
    <row r="1808" spans="1:4" x14ac:dyDescent="0.2">
      <c r="A1808" s="5">
        <v>1747</v>
      </c>
      <c r="B1808" s="138">
        <f>'Tax Sched 23'!E4</f>
        <v>767302</v>
      </c>
      <c r="D1808" s="2" t="str">
        <f t="shared" si="27"/>
        <v>Error?</v>
      </c>
    </row>
    <row r="1809" spans="1:4" x14ac:dyDescent="0.2">
      <c r="A1809" s="5">
        <v>1748</v>
      </c>
      <c r="B1809" s="138">
        <f>'Tax Sched 23'!E5</f>
        <v>80599</v>
      </c>
      <c r="D1809" s="2" t="str">
        <f t="shared" si="27"/>
        <v>Error?</v>
      </c>
    </row>
    <row r="1810" spans="1:4" x14ac:dyDescent="0.2">
      <c r="A1810" s="5">
        <v>1749</v>
      </c>
      <c r="B1810" s="138">
        <f>'Tax Sched 23'!E6</f>
        <v>52953</v>
      </c>
      <c r="D1810" s="2" t="str">
        <f t="shared" si="27"/>
        <v>Error?</v>
      </c>
    </row>
    <row r="1811" spans="1:4" x14ac:dyDescent="0.2">
      <c r="A1811" s="5">
        <v>1750</v>
      </c>
      <c r="B1811" s="138">
        <f>'Tax Sched 23'!E7</f>
        <v>38687</v>
      </c>
      <c r="D1811" s="2" t="str">
        <f t="shared" si="27"/>
        <v>Error?</v>
      </c>
    </row>
    <row r="1812" spans="1:4" x14ac:dyDescent="0.2">
      <c r="A1812" s="5">
        <v>1751</v>
      </c>
      <c r="B1812" s="138">
        <f>'Tax Sched 23'!E8</f>
        <v>32970</v>
      </c>
      <c r="D1812" s="2" t="str">
        <f t="shared" si="27"/>
        <v>Error?</v>
      </c>
    </row>
    <row r="1813" spans="1:4" x14ac:dyDescent="0.2">
      <c r="A1813" s="5">
        <v>1752</v>
      </c>
      <c r="B1813" s="138">
        <f>'Tax Sched 23'!E10</f>
        <v>16120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171841</v>
      </c>
      <c r="D1816" s="2" t="str">
        <f t="shared" si="27"/>
        <v>Error?</v>
      </c>
    </row>
    <row r="1817" spans="1:4" x14ac:dyDescent="0.2">
      <c r="A1817" s="5">
        <v>1756</v>
      </c>
      <c r="B1817" s="138">
        <f>'Tax Sched 23'!E12</f>
        <v>16066</v>
      </c>
      <c r="D1817" s="2" t="str">
        <f t="shared" si="27"/>
        <v>Error?</v>
      </c>
    </row>
    <row r="1818" spans="1:4" x14ac:dyDescent="0.2">
      <c r="A1818" s="5">
        <v>1757</v>
      </c>
      <c r="B1818" s="138">
        <f>'Tax Sched 23'!E14</f>
        <v>6448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1232076</v>
      </c>
      <c r="C1823" s="2" t="s">
        <v>594</v>
      </c>
      <c r="D1823" s="2" t="str">
        <f t="shared" si="27"/>
        <v>Error?</v>
      </c>
    </row>
    <row r="1824" spans="1:4" x14ac:dyDescent="0.2">
      <c r="A1824" s="10">
        <v>1763</v>
      </c>
      <c r="D1824" s="2" t="str">
        <f t="shared" si="27"/>
        <v>OK</v>
      </c>
    </row>
    <row r="1825" spans="1:4" x14ac:dyDescent="0.2">
      <c r="A1825" s="5">
        <v>1764</v>
      </c>
      <c r="B1825" s="138">
        <f>'Short-Term Long-Term Debt 24'!C6</f>
        <v>150000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150000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150000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150000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600835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6150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6150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668984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328916</v>
      </c>
      <c r="D2011" s="2" t="str">
        <f t="shared" si="30"/>
        <v>Error?</v>
      </c>
    </row>
    <row r="2012" spans="1:4" x14ac:dyDescent="0.2">
      <c r="A2012" s="5">
        <v>1951</v>
      </c>
      <c r="B2012" s="138">
        <f>'Cap Outlay Deprec 26'!C13</f>
        <v>85561</v>
      </c>
      <c r="D2012" s="2" t="str">
        <f t="shared" si="30"/>
        <v>Error?</v>
      </c>
    </row>
    <row r="2013" spans="1:4" x14ac:dyDescent="0.2">
      <c r="A2013" s="5">
        <v>1952</v>
      </c>
      <c r="B2013" s="138">
        <f>'Cap Outlay Deprec 26'!C16</f>
        <v>1620780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18845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23195</v>
      </c>
      <c r="D2024" s="2" t="str">
        <f t="shared" si="30"/>
        <v>Error?</v>
      </c>
    </row>
    <row r="2025" spans="1:4" x14ac:dyDescent="0.2">
      <c r="A2025" s="5">
        <v>1964</v>
      </c>
      <c r="B2025" s="138">
        <f>'Cap Outlay Deprec 26'!E16</f>
        <v>23195</v>
      </c>
      <c r="C2025" s="2" t="s">
        <v>594</v>
      </c>
      <c r="D2025" s="2" t="str">
        <f t="shared" si="30"/>
        <v>Error?</v>
      </c>
    </row>
    <row r="2026" spans="1:4" x14ac:dyDescent="0.2">
      <c r="A2026" s="5">
        <v>1965</v>
      </c>
      <c r="B2026" s="138">
        <f>'Cap Outlay Deprec 26'!F5</f>
        <v>5000</v>
      </c>
      <c r="C2026" s="2" t="s">
        <v>594</v>
      </c>
      <c r="D2026" s="2" t="str">
        <f t="shared" si="30"/>
        <v>Error?</v>
      </c>
    </row>
    <row r="2027" spans="1:4" x14ac:dyDescent="0.2">
      <c r="A2027" s="5">
        <v>1966</v>
      </c>
      <c r="B2027" s="138">
        <f>'Cap Outlay Deprec 26'!F8</f>
        <v>668984</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328916</v>
      </c>
      <c r="C2029" s="2" t="s">
        <v>594</v>
      </c>
      <c r="D2029" s="2" t="str">
        <f t="shared" si="30"/>
        <v>Error?</v>
      </c>
    </row>
    <row r="2030" spans="1:4" x14ac:dyDescent="0.2">
      <c r="A2030" s="5">
        <v>1969</v>
      </c>
      <c r="B2030" s="138">
        <f>'Cap Outlay Deprec 26'!F13</f>
        <v>62366</v>
      </c>
      <c r="C2030" s="2" t="s">
        <v>594</v>
      </c>
      <c r="D2030" s="2" t="str">
        <f t="shared" si="30"/>
        <v>Error?</v>
      </c>
    </row>
    <row r="2031" spans="1:4" x14ac:dyDescent="0.2">
      <c r="A2031" s="5">
        <v>1970</v>
      </c>
      <c r="B2031" s="138">
        <f>'Cap Outlay Deprec 26'!F16</f>
        <v>1616430</v>
      </c>
      <c r="C2031" s="2" t="s">
        <v>594</v>
      </c>
      <c r="D2031" s="2" t="str">
        <f t="shared" si="30"/>
        <v>Error?</v>
      </c>
    </row>
    <row r="2032" spans="1:4" x14ac:dyDescent="0.2">
      <c r="A2032" s="10">
        <v>1971</v>
      </c>
      <c r="D2032" s="2" t="str">
        <f t="shared" si="30"/>
        <v>OK</v>
      </c>
    </row>
    <row r="2033" spans="1:4" x14ac:dyDescent="0.2">
      <c r="A2033" s="5">
        <v>1972</v>
      </c>
      <c r="B2033" s="138">
        <f>'Cap Outlay Deprec 26'!H8</f>
        <v>502762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273683</v>
      </c>
      <c r="D2035" s="2" t="str">
        <f t="shared" si="30"/>
        <v>Error?</v>
      </c>
    </row>
    <row r="2036" spans="1:4" x14ac:dyDescent="0.2">
      <c r="A2036" s="5">
        <v>1975</v>
      </c>
      <c r="B2036" s="138">
        <f>'Cap Outlay Deprec 26'!H13</f>
        <v>85561</v>
      </c>
      <c r="D2036" s="2" t="str">
        <f t="shared" si="30"/>
        <v>Error?</v>
      </c>
    </row>
    <row r="2037" spans="1:4" x14ac:dyDescent="0.2">
      <c r="A2037" s="5">
        <v>1976</v>
      </c>
      <c r="B2037" s="138">
        <f>'Cap Outlay Deprec 26'!H16</f>
        <v>934570</v>
      </c>
      <c r="C2037" s="2" t="s">
        <v>594</v>
      </c>
      <c r="D2037" s="2" t="str">
        <f t="shared" si="30"/>
        <v>Error?</v>
      </c>
    </row>
    <row r="2038" spans="1:4" x14ac:dyDescent="0.2">
      <c r="A2038" s="10">
        <v>1977</v>
      </c>
      <c r="D2038" s="2" t="str">
        <f t="shared" si="30"/>
        <v>OK</v>
      </c>
    </row>
    <row r="2039" spans="1:4" x14ac:dyDescent="0.2">
      <c r="A2039" s="5">
        <v>1978</v>
      </c>
      <c r="B2039" s="138">
        <f>'Cap Outlay Deprec 26'!I8</f>
        <v>13379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9132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50070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23195</v>
      </c>
      <c r="D2048" s="2" t="str">
        <f t="shared" si="31"/>
        <v>Error?</v>
      </c>
    </row>
    <row r="2049" spans="1:4" x14ac:dyDescent="0.2">
      <c r="A2049" s="5">
        <v>1988</v>
      </c>
      <c r="B2049" s="138">
        <f>'Cap Outlay Deprec 26'!J16</f>
        <v>23195</v>
      </c>
      <c r="C2049" s="2" t="s">
        <v>594</v>
      </c>
      <c r="D2049" s="2" t="str">
        <f t="shared" si="31"/>
        <v>Error?</v>
      </c>
    </row>
    <row r="2050" spans="1:4" x14ac:dyDescent="0.2">
      <c r="A2050" s="10">
        <v>1989</v>
      </c>
      <c r="D2050" s="2" t="str">
        <f t="shared" si="31"/>
        <v>OK</v>
      </c>
    </row>
    <row r="2051" spans="1:4" x14ac:dyDescent="0.2">
      <c r="A2051" s="5">
        <v>1990</v>
      </c>
      <c r="B2051" s="138">
        <f>'Cap Outlay Deprec 26'!K8</f>
        <v>516141</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282815</v>
      </c>
      <c r="C2053" s="2" t="s">
        <v>594</v>
      </c>
      <c r="D2053" s="2" t="str">
        <f t="shared" si="31"/>
        <v>Error?</v>
      </c>
    </row>
    <row r="2054" spans="1:4" x14ac:dyDescent="0.2">
      <c r="A2054" s="5">
        <v>1993</v>
      </c>
      <c r="B2054" s="138">
        <f>'Cap Outlay Deprec 26'!K13</f>
        <v>62366</v>
      </c>
      <c r="C2054" s="2" t="s">
        <v>594</v>
      </c>
      <c r="D2054" s="2" t="str">
        <f t="shared" si="31"/>
        <v>Error?</v>
      </c>
    </row>
    <row r="2055" spans="1:4" x14ac:dyDescent="0.2">
      <c r="A2055" s="5">
        <v>1994</v>
      </c>
      <c r="B2055" s="138">
        <f>'Cap Outlay Deprec 26'!K16</f>
        <v>961445</v>
      </c>
      <c r="C2055" s="2" t="s">
        <v>594</v>
      </c>
      <c r="D2055" s="2" t="str">
        <f t="shared" si="31"/>
        <v>Error?</v>
      </c>
    </row>
    <row r="2056" spans="1:4" x14ac:dyDescent="0.2">
      <c r="A2056" s="5">
        <v>1995</v>
      </c>
      <c r="B2056" s="138">
        <f>'Cap Outlay Deprec 26'!L5</f>
        <v>5000</v>
      </c>
      <c r="C2056" s="2" t="s">
        <v>594</v>
      </c>
      <c r="D2056" s="2" t="str">
        <f t="shared" si="31"/>
        <v>Error?</v>
      </c>
    </row>
    <row r="2057" spans="1:4" x14ac:dyDescent="0.2">
      <c r="A2057" s="5">
        <v>1996</v>
      </c>
      <c r="B2057" s="138">
        <f>'Cap Outlay Deprec 26'!L8</f>
        <v>152843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46101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654985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46614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103275</v>
      </c>
      <c r="D2475" s="2" t="str">
        <f t="shared" si="37"/>
        <v>Error?</v>
      </c>
    </row>
    <row r="2476" spans="1:4" x14ac:dyDescent="0.2">
      <c r="A2476" s="10">
        <v>2415</v>
      </c>
      <c r="D2476" s="2" t="str">
        <f t="shared" si="37"/>
        <v>OK</v>
      </c>
    </row>
    <row r="2477" spans="1:4" x14ac:dyDescent="0.2">
      <c r="A2477" s="5">
        <v>2416</v>
      </c>
      <c r="B2477" s="138">
        <f>'Assets-Liab 5-6'!G38</f>
        <v>101827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806287</v>
      </c>
      <c r="C2551" s="2" t="s">
        <v>594</v>
      </c>
      <c r="D2551" s="2" t="str">
        <f t="shared" si="38"/>
        <v>Error?</v>
      </c>
    </row>
    <row r="2552" spans="1:4" x14ac:dyDescent="0.2">
      <c r="A2552" s="10">
        <v>2491</v>
      </c>
      <c r="D2552" s="2" t="str">
        <f t="shared" si="38"/>
        <v>OK</v>
      </c>
    </row>
    <row r="2553" spans="1:4" x14ac:dyDescent="0.2">
      <c r="A2553" s="5">
        <v>2492</v>
      </c>
      <c r="B2553" s="138">
        <f>'Acct Summary 7-8'!C6</f>
        <v>123198</v>
      </c>
      <c r="C2553" s="2" t="s">
        <v>594</v>
      </c>
      <c r="D2553" s="2" t="str">
        <f t="shared" si="38"/>
        <v>Error?</v>
      </c>
    </row>
    <row r="2554" spans="1:4" x14ac:dyDescent="0.2">
      <c r="A2554" s="5">
        <v>2493</v>
      </c>
      <c r="B2554" s="138">
        <f>'Acct Summary 7-8'!C7</f>
        <v>60780</v>
      </c>
      <c r="C2554" s="2" t="s">
        <v>594</v>
      </c>
      <c r="D2554" s="2" t="str">
        <f t="shared" si="38"/>
        <v>Error?</v>
      </c>
    </row>
    <row r="2555" spans="1:4" x14ac:dyDescent="0.2">
      <c r="A2555" s="5">
        <v>2494</v>
      </c>
      <c r="B2555" s="138">
        <f>'Acct Summary 7-8'!C8</f>
        <v>990265</v>
      </c>
      <c r="C2555" s="2" t="s">
        <v>594</v>
      </c>
      <c r="D2555" s="2" t="str">
        <f t="shared" si="38"/>
        <v>Error?</v>
      </c>
    </row>
    <row r="2556" spans="1:4" x14ac:dyDescent="0.2">
      <c r="A2556" s="5">
        <v>2495</v>
      </c>
      <c r="B2556" s="138">
        <f>'Acct Summary 7-8'!C12</f>
        <v>617437</v>
      </c>
      <c r="C2556" s="2" t="s">
        <v>594</v>
      </c>
      <c r="D2556" s="2" t="str">
        <f t="shared" si="38"/>
        <v>Error?</v>
      </c>
    </row>
    <row r="2557" spans="1:4" x14ac:dyDescent="0.2">
      <c r="A2557" s="5">
        <v>2496</v>
      </c>
      <c r="B2557" s="138">
        <f>'Acct Summary 7-8'!C13</f>
        <v>200023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46614</v>
      </c>
      <c r="C2559" s="2" t="s">
        <v>594</v>
      </c>
      <c r="D2559" s="2" t="str">
        <f t="shared" ref="D2559:D2622" si="39">IF(ISBLANK(B2559),"OK",IF(A2559-B2559=0,"OK","Error?"))</f>
        <v>Error?</v>
      </c>
    </row>
    <row r="2560" spans="1:4" x14ac:dyDescent="0.2">
      <c r="A2560" s="5">
        <v>2499</v>
      </c>
      <c r="B2560" s="138">
        <f>'Acct Summary 7-8'!C16</f>
        <v>3771</v>
      </c>
      <c r="C2560" s="2" t="s">
        <v>594</v>
      </c>
      <c r="D2560" s="2" t="str">
        <f t="shared" si="39"/>
        <v>Error?</v>
      </c>
    </row>
    <row r="2561" spans="1:4" x14ac:dyDescent="0.2">
      <c r="A2561" s="5">
        <v>2500</v>
      </c>
      <c r="B2561" s="138">
        <f>'Acct Summary 7-8'!C17</f>
        <v>867845</v>
      </c>
      <c r="C2561" s="2" t="s">
        <v>594</v>
      </c>
      <c r="D2561" s="2" t="str">
        <f t="shared" si="39"/>
        <v>Error?</v>
      </c>
    </row>
    <row r="2562" spans="1:4" x14ac:dyDescent="0.2">
      <c r="A2562" s="5">
        <v>2501</v>
      </c>
      <c r="B2562" s="138">
        <f>'Acct Summary 7-8'!C20</f>
        <v>122420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77558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77558</v>
      </c>
      <c r="C2568" s="2" t="s">
        <v>594</v>
      </c>
      <c r="D2568" s="2" t="str">
        <f t="shared" si="39"/>
        <v>Error?</v>
      </c>
    </row>
    <row r="2569" spans="1:4" x14ac:dyDescent="0.2">
      <c r="A2569" s="5">
        <v>2508</v>
      </c>
      <c r="B2569" s="138">
        <f>'Acct Summary 7-8'!D13</f>
        <v>69118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69118</v>
      </c>
      <c r="C2573" s="2" t="s">
        <v>594</v>
      </c>
      <c r="D2573" s="2" t="str">
        <f t="shared" si="39"/>
        <v>Error?</v>
      </c>
    </row>
    <row r="2574" spans="1:4" x14ac:dyDescent="0.2">
      <c r="A2574" s="5">
        <v>2513</v>
      </c>
      <c r="B2574" s="138">
        <f>'Acct Summary 7-8'!D20</f>
        <v>8440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37610</v>
      </c>
      <c r="C2591" s="2" t="s">
        <v>594</v>
      </c>
      <c r="D2591" s="2" t="str">
        <f t="shared" si="39"/>
        <v>Error?</v>
      </c>
    </row>
    <row r="2592" spans="1:4" x14ac:dyDescent="0.2">
      <c r="A2592" s="10">
        <v>2531</v>
      </c>
      <c r="D2592" s="2" t="str">
        <f t="shared" si="39"/>
        <v>OK</v>
      </c>
    </row>
    <row r="2593" spans="1:4" x14ac:dyDescent="0.2">
      <c r="A2593" s="5">
        <v>2532</v>
      </c>
      <c r="B2593" s="138">
        <f>'Acct Summary 7-8'!F6</f>
        <v>3487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41097</v>
      </c>
      <c r="C2595" s="2" t="s">
        <v>594</v>
      </c>
      <c r="D2595" s="2" t="str">
        <f t="shared" si="39"/>
        <v>Error?</v>
      </c>
    </row>
    <row r="2596" spans="1:4" x14ac:dyDescent="0.2">
      <c r="A2596" s="5">
        <v>2535</v>
      </c>
      <c r="B2596" s="138">
        <f>'Acct Summary 7-8'!F13</f>
        <v>24845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5871</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30716</v>
      </c>
      <c r="C2600" s="2" t="s">
        <v>594</v>
      </c>
      <c r="D2600" s="2" t="str">
        <f t="shared" si="39"/>
        <v>Error?</v>
      </c>
    </row>
    <row r="2601" spans="1:4" x14ac:dyDescent="0.2">
      <c r="A2601" s="5">
        <v>2540</v>
      </c>
      <c r="B2601" s="138">
        <f>'Acct Summary 7-8'!F20</f>
        <v>10381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63625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63625</v>
      </c>
      <c r="C2606" s="2" t="s">
        <v>594</v>
      </c>
      <c r="D2606" s="2" t="str">
        <f t="shared" si="39"/>
        <v>Error?</v>
      </c>
    </row>
    <row r="2607" spans="1:4" x14ac:dyDescent="0.2">
      <c r="A2607" s="5">
        <v>2546</v>
      </c>
      <c r="B2607" s="138">
        <f>'Acct Summary 7-8'!G12</f>
        <v>15401</v>
      </c>
      <c r="C2607" s="2" t="s">
        <v>594</v>
      </c>
      <c r="D2607" s="2" t="str">
        <f t="shared" si="39"/>
        <v>Error?</v>
      </c>
    </row>
    <row r="2608" spans="1:4" x14ac:dyDescent="0.2">
      <c r="A2608" s="5">
        <v>2547</v>
      </c>
      <c r="B2608" s="138">
        <f>'Acct Summary 7-8'!G13</f>
        <v>20015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35416</v>
      </c>
      <c r="C2612" s="2" t="s">
        <v>594</v>
      </c>
      <c r="D2612" s="2" t="str">
        <f t="shared" si="39"/>
        <v>Error?</v>
      </c>
    </row>
    <row r="2613" spans="1:4" x14ac:dyDescent="0.2">
      <c r="A2613" s="5">
        <v>2552</v>
      </c>
      <c r="B2613" s="138">
        <f>'Acct Summary 7-8'!G20</f>
        <v>28209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66104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66104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94359</v>
      </c>
      <c r="C2634" s="2" t="s">
        <v>594</v>
      </c>
      <c r="D2634" s="2" t="str">
        <f t="shared" si="40"/>
        <v>Error?</v>
      </c>
    </row>
    <row r="2635" spans="1:4" x14ac:dyDescent="0.2">
      <c r="A2635" s="5">
        <v>2574</v>
      </c>
      <c r="B2635" s="138">
        <f>'Acct Summary 7-8'!E17</f>
        <v>94359</v>
      </c>
      <c r="C2635" s="2" t="s">
        <v>594</v>
      </c>
      <c r="D2635" s="2" t="str">
        <f t="shared" si="40"/>
        <v>Error?</v>
      </c>
    </row>
    <row r="2636" spans="1:4" x14ac:dyDescent="0.2">
      <c r="A2636" s="5">
        <v>2575</v>
      </c>
      <c r="B2636" s="138">
        <f>'Acct Summary 7-8'!E20</f>
        <v>-28255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46614</v>
      </c>
      <c r="C2789" s="2" t="s">
        <v>594</v>
      </c>
      <c r="D2789" s="2" t="str">
        <f t="shared" si="42"/>
        <v>Error?</v>
      </c>
    </row>
    <row r="2790" spans="1:4" x14ac:dyDescent="0.2">
      <c r="A2790" s="5">
        <v>2729</v>
      </c>
      <c r="B2790" s="138">
        <f>'Expenditures 15-22'!E102</f>
        <v>46614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5871</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5871</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5871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28362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2985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28362</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28362</v>
      </c>
      <c r="C2913" s="2" t="s">
        <v>594</v>
      </c>
      <c r="D2913" s="2" t="str">
        <f t="shared" si="44"/>
        <v>Error?</v>
      </c>
    </row>
    <row r="2914" spans="1:4" x14ac:dyDescent="0.2">
      <c r="A2914" s="5">
        <v>2853</v>
      </c>
      <c r="B2914" s="138">
        <f>'Assets-Liab 5-6'!L33</f>
        <v>2985</v>
      </c>
      <c r="D2914" s="2" t="str">
        <f t="shared" si="44"/>
        <v>Error?</v>
      </c>
    </row>
    <row r="2915" spans="1:4" x14ac:dyDescent="0.2">
      <c r="A2915" s="10">
        <v>2854</v>
      </c>
      <c r="D2915" s="2" t="str">
        <f t="shared" si="44"/>
        <v>OK</v>
      </c>
    </row>
    <row r="2916" spans="1:4" x14ac:dyDescent="0.2">
      <c r="A2916" s="5">
        <v>2855</v>
      </c>
      <c r="B2916" s="138">
        <f>'Assets-Liab 5-6'!L34</f>
        <v>2985</v>
      </c>
      <c r="C2916" s="2" t="s">
        <v>594</v>
      </c>
      <c r="D2916" s="2" t="str">
        <f t="shared" si="44"/>
        <v>Error?</v>
      </c>
    </row>
    <row r="2917" spans="1:4" x14ac:dyDescent="0.2">
      <c r="A2917" s="5">
        <v>2856</v>
      </c>
      <c r="B2917" s="138">
        <f>'Assets-Liab 5-6'!L41</f>
        <v>2985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27776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18838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27776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18838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5871</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5871</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16079</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500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16579</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15505</v>
      </c>
      <c r="C3225" s="2" t="s">
        <v>594</v>
      </c>
      <c r="D3225" s="2" t="str">
        <f t="shared" si="49"/>
        <v>Error?</v>
      </c>
    </row>
    <row r="3226" spans="1:4" x14ac:dyDescent="0.2">
      <c r="A3226" s="5">
        <v>3165</v>
      </c>
      <c r="B3226" s="138">
        <f>'Acct Summary 7-8'!I8</f>
        <v>15505</v>
      </c>
      <c r="C3226" s="2" t="s">
        <v>594</v>
      </c>
      <c r="D3226" s="2" t="str">
        <f t="shared" si="49"/>
        <v>Error?</v>
      </c>
    </row>
    <row r="3227" spans="1:4" x14ac:dyDescent="0.2">
      <c r="A3227" s="5">
        <v>3166</v>
      </c>
      <c r="B3227" s="138">
        <f>'Acct Summary 7-8'!I20</f>
        <v>15505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122420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8440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10381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28209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-28255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15505</v>
      </c>
      <c r="C3320" s="2" t="s">
        <v>594</v>
      </c>
      <c r="D3320" s="2" t="str">
        <f t="shared" si="50"/>
        <v>Error?</v>
      </c>
    </row>
    <row r="3321" spans="1:4" x14ac:dyDescent="0.2">
      <c r="A3321" s="5">
        <v>3260</v>
      </c>
      <c r="B3321" s="138">
        <f>'Acct Summary 7-8'!I79</f>
        <v>12857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28362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34604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38873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14759</v>
      </c>
      <c r="D3387" s="2" t="str">
        <f t="shared" si="51"/>
        <v>Error?</v>
      </c>
    </row>
    <row r="3388" spans="1:4" x14ac:dyDescent="0.2">
      <c r="A3388" s="5">
        <v>3327</v>
      </c>
      <c r="B3388" s="138">
        <f>'Expenditures 15-22'!D217</f>
        <v>642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14759</v>
      </c>
      <c r="C3390" s="2" t="s">
        <v>594</v>
      </c>
      <c r="D3390" s="2" t="str">
        <f t="shared" si="51"/>
        <v>Error?</v>
      </c>
    </row>
    <row r="3391" spans="1:4" x14ac:dyDescent="0.2">
      <c r="A3391" s="5">
        <v>3330</v>
      </c>
      <c r="B3391" s="138">
        <f>'Expenditures 15-22'!K217</f>
        <v>642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410743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102936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103351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103587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28362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31515</v>
      </c>
      <c r="C3446" s="2" t="s">
        <v>594</v>
      </c>
      <c r="D3446" s="2" t="str">
        <f t="shared" si="52"/>
        <v>Error?</v>
      </c>
    </row>
    <row r="3447" spans="1:4" x14ac:dyDescent="0.2">
      <c r="A3447" s="5">
        <v>3386</v>
      </c>
      <c r="B3447" s="138">
        <f>'Tax Sched 23'!D16</f>
        <v>13399</v>
      </c>
      <c r="C3447" s="2" t="s">
        <v>594</v>
      </c>
      <c r="D3447" s="2" t="str">
        <f t="shared" si="52"/>
        <v>Error?</v>
      </c>
    </row>
    <row r="3448" spans="1:4" x14ac:dyDescent="0.2">
      <c r="A3448" s="5">
        <v>3387</v>
      </c>
      <c r="B3448" s="138">
        <f>'Tax Sched 23'!C16</f>
        <v>18116</v>
      </c>
      <c r="D3448" s="2" t="str">
        <f t="shared" si="52"/>
        <v>Error?</v>
      </c>
    </row>
    <row r="3449" spans="1:4" x14ac:dyDescent="0.2">
      <c r="A3449" s="5">
        <v>3388</v>
      </c>
      <c r="B3449" s="138">
        <f>'Tax Sched 23'!F16</f>
        <v>14854</v>
      </c>
      <c r="C3449" s="2" t="s">
        <v>594</v>
      </c>
      <c r="D3449" s="2" t="str">
        <f t="shared" si="52"/>
        <v>Error?</v>
      </c>
    </row>
    <row r="3450" spans="1:4" x14ac:dyDescent="0.2">
      <c r="A3450" s="5">
        <v>3389</v>
      </c>
      <c r="B3450" s="138">
        <f>'Tax Sched 23'!E16</f>
        <v>32970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105788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105788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105788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105788</v>
      </c>
      <c r="C3568" s="2" t="s">
        <v>594</v>
      </c>
      <c r="D3568" s="2" t="str">
        <f t="shared" si="54"/>
        <v>Error?</v>
      </c>
    </row>
    <row r="3569" spans="1:4" x14ac:dyDescent="0.2">
      <c r="A3569" s="5">
        <v>3508</v>
      </c>
      <c r="B3569" s="138">
        <f>'Acct Summary 7-8'!K4</f>
        <v>9629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9629</v>
      </c>
      <c r="C3571" s="2" t="s">
        <v>594</v>
      </c>
      <c r="D3571" s="2" t="str">
        <f t="shared" si="54"/>
        <v>Error?</v>
      </c>
    </row>
    <row r="3572" spans="1:4" x14ac:dyDescent="0.2">
      <c r="A3572" s="5">
        <v>3511</v>
      </c>
      <c r="B3572" s="138">
        <f>'Acct Summary 7-8'!K13</f>
        <v>18845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18845</v>
      </c>
      <c r="C3575" s="2" t="s">
        <v>594</v>
      </c>
      <c r="D3575" s="2" t="str">
        <f t="shared" si="54"/>
        <v>Error?</v>
      </c>
    </row>
    <row r="3576" spans="1:4" x14ac:dyDescent="0.2">
      <c r="A3576" s="5">
        <v>3515</v>
      </c>
      <c r="B3576" s="138">
        <f>'Acct Summary 7-8'!K20</f>
        <v>-9216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-9216</v>
      </c>
      <c r="C3588" s="2" t="s">
        <v>594</v>
      </c>
      <c r="D3588" s="2" t="str">
        <f t="shared" si="55"/>
        <v>Error?</v>
      </c>
    </row>
    <row r="3589" spans="1:4" x14ac:dyDescent="0.2">
      <c r="A3589" s="5">
        <v>3528</v>
      </c>
      <c r="B3589" s="138">
        <f>'Acct Summary 7-8'!K79</f>
        <v>115004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105788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18845</v>
      </c>
      <c r="D3646" s="2" t="str">
        <f t="shared" si="55"/>
        <v>Error?</v>
      </c>
    </row>
    <row r="3647" spans="1:4" x14ac:dyDescent="0.2">
      <c r="A3647" s="5">
        <v>3586</v>
      </c>
      <c r="B3647" s="138">
        <f>'Expenditures 15-22'!G350</f>
        <v>18845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18845</v>
      </c>
      <c r="C3649" s="2" t="s">
        <v>594</v>
      </c>
      <c r="D3649" s="2" t="str">
        <f t="shared" si="56"/>
        <v>Error?</v>
      </c>
    </row>
    <row r="3650" spans="1:4" x14ac:dyDescent="0.2">
      <c r="A3650" s="5">
        <v>3589</v>
      </c>
      <c r="B3650" s="138">
        <f>'Expenditures 15-22'!G367</f>
        <v>18845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18845</v>
      </c>
      <c r="C3669" s="2" t="s">
        <v>594</v>
      </c>
      <c r="D3669" s="2" t="str">
        <f t="shared" si="56"/>
        <v>Error?</v>
      </c>
    </row>
    <row r="3670" spans="1:4" x14ac:dyDescent="0.2">
      <c r="A3670" s="5">
        <v>3609</v>
      </c>
      <c r="B3670" s="138">
        <f>'Expenditures 15-22'!K350</f>
        <v>18845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18845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18845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-9216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15375</v>
      </c>
      <c r="C3725" s="2" t="s">
        <v>594</v>
      </c>
      <c r="D3725" s="2" t="str">
        <f t="shared" si="57"/>
        <v>Error?</v>
      </c>
    </row>
    <row r="3726" spans="1:4" x14ac:dyDescent="0.2">
      <c r="A3726" s="5">
        <v>3665</v>
      </c>
      <c r="B3726" s="138">
        <f>'Tax Sched 23'!D13</f>
        <v>6517</v>
      </c>
      <c r="C3726" s="2" t="s">
        <v>594</v>
      </c>
      <c r="D3726" s="2" t="str">
        <f t="shared" si="57"/>
        <v>Error?</v>
      </c>
    </row>
    <row r="3727" spans="1:4" x14ac:dyDescent="0.2">
      <c r="A3727" s="5">
        <v>3666</v>
      </c>
      <c r="B3727" s="138">
        <f>'Tax Sched 23'!C13</f>
        <v>8858</v>
      </c>
      <c r="D3727" s="2" t="str">
        <f t="shared" si="57"/>
        <v>Error?</v>
      </c>
    </row>
    <row r="3728" spans="1:4" x14ac:dyDescent="0.2">
      <c r="A3728" s="5">
        <v>3667</v>
      </c>
      <c r="B3728" s="138">
        <f>'Tax Sched 23'!F13</f>
        <v>7262</v>
      </c>
      <c r="C3728" s="2" t="s">
        <v>594</v>
      </c>
      <c r="D3728" s="2" t="str">
        <f t="shared" si="57"/>
        <v>Error?</v>
      </c>
    </row>
    <row r="3729" spans="1:4" x14ac:dyDescent="0.2">
      <c r="A3729" s="5">
        <v>3668</v>
      </c>
      <c r="B3729" s="138">
        <f>'Tax Sched 23'!E13</f>
        <v>16120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521346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1511611</v>
      </c>
      <c r="C4122" s="2" t="s">
        <v>594</v>
      </c>
      <c r="D4122" s="2" t="str">
        <f t="shared" si="63"/>
        <v>Error?</v>
      </c>
    </row>
    <row r="4123" spans="1:4" x14ac:dyDescent="0.2">
      <c r="A4123" s="5">
        <v>4062</v>
      </c>
      <c r="B4123" s="138">
        <f>'Acct Summary 7-8'!D10</f>
        <v>77558</v>
      </c>
      <c r="C4123" s="2" t="s">
        <v>594</v>
      </c>
      <c r="D4123" s="2" t="str">
        <f t="shared" si="63"/>
        <v>Error?</v>
      </c>
    </row>
    <row r="4124" spans="1:4" x14ac:dyDescent="0.2">
      <c r="A4124" s="5">
        <v>4063</v>
      </c>
      <c r="B4124" s="138">
        <f>'Acct Summary 7-8'!E10</f>
        <v>66104</v>
      </c>
      <c r="C4124" s="2" t="s">
        <v>594</v>
      </c>
      <c r="D4124" s="2" t="str">
        <f t="shared" si="63"/>
        <v>Error?</v>
      </c>
    </row>
    <row r="4125" spans="1:4" x14ac:dyDescent="0.2">
      <c r="A4125" s="5">
        <v>4064</v>
      </c>
      <c r="B4125" s="138">
        <f>'Acct Summary 7-8'!F10</f>
        <v>41097</v>
      </c>
      <c r="C4125" s="2" t="s">
        <v>594</v>
      </c>
      <c r="D4125" s="2" t="str">
        <f t="shared" si="63"/>
        <v>Error?</v>
      </c>
    </row>
    <row r="4126" spans="1:4" x14ac:dyDescent="0.2">
      <c r="A4126" s="5">
        <v>4065</v>
      </c>
      <c r="B4126" s="138">
        <f>'Acct Summary 7-8'!G10</f>
        <v>63625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15505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9629</v>
      </c>
      <c r="C4130" s="2" t="s">
        <v>594</v>
      </c>
      <c r="D4130" s="2" t="str">
        <f t="shared" si="63"/>
        <v>Error?</v>
      </c>
    </row>
    <row r="4131" spans="1:4" x14ac:dyDescent="0.2">
      <c r="A4131" s="5">
        <v>4070</v>
      </c>
      <c r="B4131" s="138">
        <f>'Acct Summary 7-8'!C18</f>
        <v>521346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1389191</v>
      </c>
      <c r="C4136" s="2" t="s">
        <v>594</v>
      </c>
      <c r="D4136" s="2" t="str">
        <f t="shared" si="63"/>
        <v>Error?</v>
      </c>
    </row>
    <row r="4137" spans="1:4" x14ac:dyDescent="0.2">
      <c r="A4137" s="5">
        <v>4076</v>
      </c>
      <c r="B4137" s="138">
        <f>'Acct Summary 7-8'!D19</f>
        <v>69118</v>
      </c>
      <c r="C4137" s="2" t="s">
        <v>594</v>
      </c>
      <c r="D4137" s="2" t="str">
        <f t="shared" si="63"/>
        <v>Error?</v>
      </c>
    </row>
    <row r="4138" spans="1:4" x14ac:dyDescent="0.2">
      <c r="A4138" s="5">
        <v>4077</v>
      </c>
      <c r="B4138" s="138">
        <f>'Acct Summary 7-8'!E19</f>
        <v>94359</v>
      </c>
      <c r="C4138" s="2" t="s">
        <v>594</v>
      </c>
      <c r="D4138" s="2" t="str">
        <f t="shared" si="63"/>
        <v>Error?</v>
      </c>
    </row>
    <row r="4139" spans="1:4" x14ac:dyDescent="0.2">
      <c r="A4139" s="5">
        <v>4078</v>
      </c>
      <c r="B4139" s="138">
        <f>'Acct Summary 7-8'!F19</f>
        <v>30716</v>
      </c>
      <c r="C4139" s="2" t="s">
        <v>594</v>
      </c>
      <c r="D4139" s="2" t="str">
        <f t="shared" si="63"/>
        <v>Error?</v>
      </c>
    </row>
    <row r="4140" spans="1:4" x14ac:dyDescent="0.2">
      <c r="A4140" s="5">
        <v>4079</v>
      </c>
      <c r="B4140" s="138">
        <f>'Acct Summary 7-8'!G19</f>
        <v>35416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18845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532550</v>
      </c>
      <c r="C4171" s="2" t="s">
        <v>594</v>
      </c>
      <c r="D4171" s="2" t="str">
        <f t="shared" si="64"/>
        <v>Error?</v>
      </c>
    </row>
    <row r="4172" spans="1:4" x14ac:dyDescent="0.2">
      <c r="A4172" s="5">
        <v>4111</v>
      </c>
      <c r="B4172" s="138">
        <f>'Short-Term Long-Term Debt 24'!J49</f>
        <v>532550</v>
      </c>
      <c r="C4172" s="2" t="s">
        <v>594</v>
      </c>
      <c r="D4172" s="2" t="str">
        <f t="shared" si="64"/>
        <v>Error?</v>
      </c>
    </row>
    <row r="4173" spans="1:4" x14ac:dyDescent="0.2">
      <c r="A4173" s="5">
        <v>4112</v>
      </c>
      <c r="B4173" s="138">
        <f>'Short-Term Long-Term Debt 24'!H49</f>
        <v>68285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2750</v>
      </c>
      <c r="C4268" s="2" t="s">
        <v>594</v>
      </c>
      <c r="D4268" s="2" t="str">
        <f t="shared" si="65"/>
        <v>Error?</v>
      </c>
    </row>
    <row r="4269" spans="1:5" x14ac:dyDescent="0.2">
      <c r="A4269" s="12">
        <v>4208</v>
      </c>
      <c r="B4269" s="138">
        <f>'FP Info 3'!J16</f>
        <v>644344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8237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1616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1337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18818</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32235662</v>
      </c>
      <c r="D4995" s="2" t="str">
        <f t="shared" si="77"/>
        <v>Error?</v>
      </c>
    </row>
    <row r="4996" spans="1:4" x14ac:dyDescent="0.2">
      <c r="A4996" s="12">
        <v>4935</v>
      </c>
      <c r="B4996" s="138">
        <f>'FP Info 3'!H31</f>
        <v>2224260.6780000003</v>
      </c>
      <c r="D4996" s="2" t="str">
        <f t="shared" si="77"/>
        <v>Error?</v>
      </c>
    </row>
    <row r="4997" spans="1:4" x14ac:dyDescent="0.2">
      <c r="A4997" s="12">
        <v>4936</v>
      </c>
      <c r="B4997" s="138">
        <f>'FP Info 3'!H37</f>
        <v>532550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15375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731802</v>
      </c>
      <c r="D5061" s="2" t="str">
        <f t="shared" si="78"/>
        <v>Error?</v>
      </c>
    </row>
    <row r="5062" spans="1:4" x14ac:dyDescent="0.2">
      <c r="A5062" s="10">
        <v>5001</v>
      </c>
      <c r="D5062" s="2" t="str">
        <f t="shared" si="78"/>
        <v>OK</v>
      </c>
    </row>
    <row r="5063" spans="1:4" x14ac:dyDescent="0.2">
      <c r="A5063" s="5">
        <v>5002</v>
      </c>
      <c r="B5063" s="138">
        <f>'Revenues 9-14'!C7</f>
        <v>6150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753327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13034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13034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6915</v>
      </c>
      <c r="C5096" s="2" t="s">
        <v>594</v>
      </c>
      <c r="D5096" s="2" t="str">
        <f t="shared" si="78"/>
        <v>Error?</v>
      </c>
    </row>
    <row r="5097" spans="1:4" x14ac:dyDescent="0.2">
      <c r="A5097" s="5">
        <v>5036</v>
      </c>
      <c r="B5097" s="138">
        <f>'Revenues 9-14'!C77</f>
        <v>2224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572</v>
      </c>
      <c r="D5101" s="2" t="str">
        <f t="shared" si="78"/>
        <v>Error?</v>
      </c>
    </row>
    <row r="5102" spans="1:4" x14ac:dyDescent="0.2">
      <c r="A5102" s="5">
        <v>5041</v>
      </c>
      <c r="B5102" s="138">
        <f>'Revenues 9-14'!C82</f>
        <v>6636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10708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13334</v>
      </c>
      <c r="D5119" s="2" t="str">
        <f t="shared" ref="D5119:D5182" si="79">IF(ISBLANK(B5119),"OK",IF(A5119-B5119=0,"OK","Error?"))</f>
        <v>Error?</v>
      </c>
    </row>
    <row r="5120" spans="1:4" x14ac:dyDescent="0.2">
      <c r="A5120" s="5">
        <v>5059</v>
      </c>
      <c r="B5120" s="138">
        <f>'Revenues 9-14'!C108</f>
        <v>25042</v>
      </c>
      <c r="C5120" s="2" t="s">
        <v>594</v>
      </c>
      <c r="D5120" s="2" t="str">
        <f t="shared" si="79"/>
        <v>Error?</v>
      </c>
    </row>
    <row r="5121" spans="1:4" x14ac:dyDescent="0.2">
      <c r="A5121" s="5">
        <v>5060</v>
      </c>
      <c r="B5121" s="138">
        <f>'Revenues 9-14'!C109</f>
        <v>806287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111479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111479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6994</v>
      </c>
      <c r="D5134" s="2" t="str">
        <f t="shared" si="79"/>
        <v>Error?</v>
      </c>
    </row>
    <row r="5135" spans="1:4" x14ac:dyDescent="0.2">
      <c r="A5135" s="5">
        <v>5074</v>
      </c>
      <c r="B5135" s="138">
        <f>'Revenues 9-14'!C126</f>
        <v>4500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11494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11719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123198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18818</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16584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16584</v>
      </c>
      <c r="C5246" s="2" t="s">
        <v>594</v>
      </c>
      <c r="D5246" s="2" t="str">
        <f t="shared" si="80"/>
        <v>Error?</v>
      </c>
    </row>
    <row r="5247" spans="1:4" x14ac:dyDescent="0.2">
      <c r="A5247" s="5">
        <v>5186</v>
      </c>
      <c r="B5247" s="138">
        <f>'Revenues 9-14'!C203</f>
        <v>12428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8237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12428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41962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60780</v>
      </c>
      <c r="C5326" s="2" t="s">
        <v>594</v>
      </c>
      <c r="D5326" s="2" t="str">
        <f t="shared" si="82"/>
        <v>Error?</v>
      </c>
    </row>
    <row r="5327" spans="1:4" x14ac:dyDescent="0.2">
      <c r="A5327" s="5">
        <v>5266</v>
      </c>
      <c r="B5327" s="138">
        <f>'Revenues 9-14'!C275</f>
        <v>990265</v>
      </c>
      <c r="C5327" s="2" t="s">
        <v>594</v>
      </c>
      <c r="D5327" s="2" t="str">
        <f t="shared" si="82"/>
        <v>Error?</v>
      </c>
    </row>
    <row r="5328" spans="1:4" x14ac:dyDescent="0.2">
      <c r="A5328" s="5">
        <v>5267</v>
      </c>
      <c r="B5328" s="138">
        <f>'Revenues 9-14'!D5</f>
        <v>76872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76872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77558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77558</v>
      </c>
      <c r="C5508" s="2" t="s">
        <v>594</v>
      </c>
      <c r="D5508" s="2" t="str">
        <f t="shared" si="85"/>
        <v>Error?</v>
      </c>
    </row>
    <row r="5509" spans="1:4" x14ac:dyDescent="0.2">
      <c r="A5509" s="5">
        <v>5448</v>
      </c>
      <c r="B5509" s="138">
        <f>'Revenues 9-14'!E5</f>
        <v>66094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66094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66104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66104</v>
      </c>
      <c r="C5552" s="2" t="s">
        <v>594</v>
      </c>
      <c r="D5552" s="2" t="str">
        <f t="shared" si="85"/>
        <v>Error?</v>
      </c>
    </row>
    <row r="5553" spans="1:4" x14ac:dyDescent="0.2">
      <c r="A5553" s="5">
        <v>5492</v>
      </c>
      <c r="B5553" s="138">
        <f>'Revenues 9-14'!F5</f>
        <v>36899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36899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37610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3487</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3487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3487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3487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41097</v>
      </c>
      <c r="C5720" s="2" t="s">
        <v>594</v>
      </c>
      <c r="D5720" s="2" t="str">
        <f t="shared" si="88"/>
        <v>Error?</v>
      </c>
    </row>
    <row r="5721" spans="1:4" x14ac:dyDescent="0.2">
      <c r="A5721" s="5">
        <v>5660</v>
      </c>
      <c r="B5721" s="138">
        <f>'Revenues 9-14'!G5</f>
        <v>31515</v>
      </c>
      <c r="D5721" s="2" t="str">
        <f t="shared" si="88"/>
        <v>Error?</v>
      </c>
    </row>
    <row r="5722" spans="1:4" x14ac:dyDescent="0.2">
      <c r="A5722" s="5">
        <v>5661</v>
      </c>
      <c r="B5722" s="138">
        <f>'Revenues 9-14'!G7</f>
        <v>0</v>
      </c>
      <c r="D5722" s="2" t="str">
        <f t="shared" si="88"/>
        <v>Error?</v>
      </c>
    </row>
    <row r="5723" spans="1:4" x14ac:dyDescent="0.2">
      <c r="A5723" s="5">
        <v>5662</v>
      </c>
      <c r="B5723" s="138">
        <f>'Revenues 9-14'!G8</f>
        <v>31515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63030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595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63625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15375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15375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15505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8858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8858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771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9629</v>
      </c>
      <c r="C6023" s="2" t="s">
        <v>594</v>
      </c>
      <c r="D6023" s="2" t="str">
        <f t="shared" si="93"/>
        <v>Error?</v>
      </c>
    </row>
    <row r="6024" spans="1:5" x14ac:dyDescent="0.2">
      <c r="A6024" s="5">
        <v>5963</v>
      </c>
      <c r="B6024" s="138">
        <f>'Revenues 9-14'!G109</f>
        <v>63625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15505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9629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6915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83.55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108056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214</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324</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324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107732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108056</v>
      </c>
      <c r="D6216" s="2" t="str">
        <f t="shared" si="96"/>
        <v>Error?</v>
      </c>
      <c r="E6216" s="2" t="s">
        <v>199</v>
      </c>
    </row>
    <row r="6217" spans="1:5" x14ac:dyDescent="0.2">
      <c r="A6217">
        <v>6156</v>
      </c>
      <c r="B6217" s="138">
        <f>'Assets-Liab 5-6'!J4</f>
        <v>108056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165440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165440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165440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168356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168356</v>
      </c>
      <c r="D6229" s="2" t="str">
        <f t="shared" si="96"/>
        <v>Error?</v>
      </c>
      <c r="E6229" s="2" t="s">
        <v>199</v>
      </c>
    </row>
    <row r="6230" spans="1:5" x14ac:dyDescent="0.2">
      <c r="A6230">
        <v>6169</v>
      </c>
      <c r="B6230" s="138">
        <f>'Acct Summary 7-8'!J20</f>
        <v>-2916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-2916</v>
      </c>
      <c r="D6263" s="2" t="str">
        <f t="shared" si="96"/>
        <v>Error?</v>
      </c>
      <c r="E6263" s="2" t="s">
        <v>199</v>
      </c>
    </row>
    <row r="6264" spans="1:5" x14ac:dyDescent="0.2">
      <c r="A6264">
        <v>6203</v>
      </c>
      <c r="B6264" s="138">
        <f>'Acct Summary 7-8'!J79</f>
        <v>110648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107732</v>
      </c>
      <c r="D6266" s="2" t="str">
        <f t="shared" si="96"/>
        <v>Error?</v>
      </c>
      <c r="E6266" s="2" t="s">
        <v>199</v>
      </c>
    </row>
    <row r="6267" spans="1:5" x14ac:dyDescent="0.2">
      <c r="A6267">
        <v>6206</v>
      </c>
      <c r="B6267" s="138">
        <f>'Acct Summary 7-8'!C82</f>
        <v>122420</v>
      </c>
      <c r="D6267" s="2" t="str">
        <f t="shared" si="96"/>
        <v>Error?</v>
      </c>
      <c r="E6267" s="2" t="s">
        <v>199</v>
      </c>
    </row>
    <row r="6268" spans="1:5" x14ac:dyDescent="0.2">
      <c r="A6268">
        <v>6207</v>
      </c>
      <c r="B6268" s="138">
        <f>'Acct Summary 7-8'!D82</f>
        <v>8440</v>
      </c>
      <c r="D6268" s="2" t="str">
        <f t="shared" si="96"/>
        <v>Error?</v>
      </c>
      <c r="E6268" s="2" t="s">
        <v>199</v>
      </c>
    </row>
    <row r="6269" spans="1:5" x14ac:dyDescent="0.2">
      <c r="A6269">
        <v>6208</v>
      </c>
      <c r="B6269" s="138">
        <f>'Acct Summary 7-8'!E82</f>
        <v>-28255</v>
      </c>
      <c r="D6269" s="2" t="str">
        <f t="shared" si="96"/>
        <v>Error?</v>
      </c>
      <c r="E6269" s="2" t="s">
        <v>199</v>
      </c>
    </row>
    <row r="6270" spans="1:5" x14ac:dyDescent="0.2">
      <c r="A6270">
        <v>6209</v>
      </c>
      <c r="B6270" s="138">
        <f>'Acct Summary 7-8'!F82</f>
        <v>10381</v>
      </c>
      <c r="D6270" s="2" t="str">
        <f t="shared" si="96"/>
        <v>Error?</v>
      </c>
      <c r="E6270" s="2" t="s">
        <v>199</v>
      </c>
    </row>
    <row r="6271" spans="1:5" x14ac:dyDescent="0.2">
      <c r="A6271">
        <v>6210</v>
      </c>
      <c r="B6271" s="138">
        <f>'Acct Summary 7-8'!G82</f>
        <v>28209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15505</v>
      </c>
      <c r="D6273" s="2" t="str">
        <f t="shared" si="97"/>
        <v>Error?</v>
      </c>
      <c r="E6273" s="2" t="s">
        <v>199</v>
      </c>
    </row>
    <row r="6274" spans="1:5" x14ac:dyDescent="0.2">
      <c r="A6274">
        <v>6213</v>
      </c>
      <c r="B6274" s="138">
        <f>'Acct Summary 7-8'!J82</f>
        <v>-2916</v>
      </c>
      <c r="D6274" s="2" t="str">
        <f t="shared" si="97"/>
        <v>Error?</v>
      </c>
      <c r="E6274" s="2" t="s">
        <v>199</v>
      </c>
    </row>
    <row r="6275" spans="1:5" x14ac:dyDescent="0.2">
      <c r="A6275">
        <v>6214</v>
      </c>
      <c r="B6275" s="138">
        <f>'Acct Summary 7-8'!K82</f>
        <v>-9216</v>
      </c>
      <c r="D6275" s="2" t="str">
        <f t="shared" si="97"/>
        <v>Error?</v>
      </c>
      <c r="E6275" s="2" t="s">
        <v>199</v>
      </c>
    </row>
    <row r="6276" spans="1:5" x14ac:dyDescent="0.2">
      <c r="A6276">
        <v>6215</v>
      </c>
      <c r="B6276" s="138">
        <f>'Acct Summary 7-8'!C83</f>
        <v>0.29875222990401956</v>
      </c>
      <c r="D6276" s="2" t="str">
        <f t="shared" si="97"/>
        <v>Error?</v>
      </c>
      <c r="E6276" s="2" t="s">
        <v>199</v>
      </c>
    </row>
    <row r="6277" spans="1:5" x14ac:dyDescent="0.2">
      <c r="A6277">
        <v>6216</v>
      </c>
      <c r="B6277" s="138">
        <f>'Acct Summary 7-8'!D83</f>
        <v>8.1992694489780055E-2</v>
      </c>
      <c r="D6277" s="2" t="str">
        <f t="shared" si="97"/>
        <v>Error?</v>
      </c>
      <c r="E6277" s="2" t="s">
        <v>199</v>
      </c>
    </row>
    <row r="6278" spans="1:5" x14ac:dyDescent="0.2">
      <c r="A6278">
        <v>6217</v>
      </c>
      <c r="B6278" s="138">
        <f>'Acct Summary 7-8'!E83</f>
        <v>132.03271028037383</v>
      </c>
      <c r="D6278" s="2" t="str">
        <f t="shared" si="97"/>
        <v>Error?</v>
      </c>
      <c r="E6278" s="2" t="s">
        <v>199</v>
      </c>
    </row>
    <row r="6279" spans="1:5" x14ac:dyDescent="0.2">
      <c r="A6279">
        <v>6218</v>
      </c>
      <c r="B6279" s="138">
        <f>'Acct Summary 7-8'!F83</f>
        <v>0.10051803437424353</v>
      </c>
      <c r="D6279" s="2" t="str">
        <f t="shared" si="97"/>
        <v>Error?</v>
      </c>
      <c r="E6279" s="2" t="s">
        <v>199</v>
      </c>
    </row>
    <row r="6280" spans="1:5" x14ac:dyDescent="0.2">
      <c r="A6280">
        <v>6219</v>
      </c>
      <c r="B6280" s="138">
        <f>'Acct Summary 7-8'!G83</f>
        <v>0.27702868590845259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0.54668218038220151</v>
      </c>
      <c r="D6282" s="2" t="str">
        <f t="shared" si="97"/>
        <v>Error?</v>
      </c>
      <c r="E6282" s="2" t="s">
        <v>199</v>
      </c>
    </row>
    <row r="6283" spans="1:5" x14ac:dyDescent="0.2">
      <c r="A6283">
        <v>6222</v>
      </c>
      <c r="B6283" s="138">
        <f>'Acct Summary 7-8'!J83</f>
        <v>-2.7067166672854862E-2</v>
      </c>
      <c r="D6283" s="2" t="str">
        <f t="shared" si="97"/>
        <v>Error?</v>
      </c>
      <c r="E6283" s="2" t="s">
        <v>199</v>
      </c>
    </row>
    <row r="6284" spans="1:5" x14ac:dyDescent="0.2">
      <c r="A6284">
        <v>6223</v>
      </c>
      <c r="B6284" s="138">
        <f>'Acct Summary 7-8'!K83</f>
        <v>-8.7117631489393887E-2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164906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164906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534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534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165440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3771</v>
      </c>
      <c r="D7018" s="2" t="str">
        <f t="shared" si="108"/>
        <v>Error?</v>
      </c>
    </row>
    <row r="7019" spans="1:4" x14ac:dyDescent="0.2">
      <c r="A7019">
        <v>6958</v>
      </c>
      <c r="B7019" s="138">
        <f>'Expenditures 15-22'!K112</f>
        <v>3771</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168356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165440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1698</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1698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15575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15575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114272</v>
      </c>
      <c r="D7172" s="2" t="str">
        <f t="shared" si="111"/>
        <v>Error?</v>
      </c>
    </row>
    <row r="7173" spans="1:4" x14ac:dyDescent="0.2">
      <c r="A7173">
        <v>7112</v>
      </c>
      <c r="B7173" s="138">
        <f>'Expenditures 15-22'!D325</f>
        <v>20208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134480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7500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7500</v>
      </c>
      <c r="D7198" s="2" t="str">
        <f t="shared" si="111"/>
        <v>Error?</v>
      </c>
    </row>
    <row r="7199" spans="1:4" x14ac:dyDescent="0.2">
      <c r="A7199">
        <v>7138</v>
      </c>
      <c r="B7199" s="138">
        <f>'Expenditures 15-22'!C330</f>
        <v>114272</v>
      </c>
      <c r="D7199" s="2" t="str">
        <f t="shared" si="111"/>
        <v>Error?</v>
      </c>
    </row>
    <row r="7200" spans="1:4" x14ac:dyDescent="0.2">
      <c r="A7200">
        <v>7139</v>
      </c>
      <c r="B7200" s="138">
        <f>'Expenditures 15-22'!D330</f>
        <v>21906</v>
      </c>
      <c r="D7200" s="2" t="str">
        <f t="shared" si="111"/>
        <v>Error?</v>
      </c>
    </row>
    <row r="7201" spans="1:4" x14ac:dyDescent="0.2">
      <c r="A7201">
        <v>7140</v>
      </c>
      <c r="B7201" s="138">
        <f>'Expenditures 15-22'!E330</f>
        <v>32178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168356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114272</v>
      </c>
      <c r="D7216" s="2" t="str">
        <f t="shared" si="111"/>
        <v>Error?</v>
      </c>
    </row>
    <row r="7217" spans="1:4" x14ac:dyDescent="0.2">
      <c r="A7217">
        <v>7156</v>
      </c>
      <c r="B7217" s="138">
        <f>'Expenditures 15-22'!D342</f>
        <v>21906</v>
      </c>
      <c r="D7217" s="2" t="str">
        <f t="shared" si="111"/>
        <v>Error?</v>
      </c>
    </row>
    <row r="7218" spans="1:4" x14ac:dyDescent="0.2">
      <c r="A7218">
        <v>7157</v>
      </c>
      <c r="B7218" s="138">
        <f>'Expenditures 15-22'!E342</f>
        <v>32178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168356</v>
      </c>
      <c r="D7224" s="2" t="str">
        <f t="shared" si="111"/>
        <v>Error?</v>
      </c>
    </row>
    <row r="7225" spans="1:4" x14ac:dyDescent="0.2">
      <c r="A7225">
        <v>7164</v>
      </c>
      <c r="B7225" s="138">
        <f>'Expenditures 15-22'!K343</f>
        <v>-2916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532319</v>
      </c>
      <c r="D7606" s="2" t="str">
        <f t="shared" si="122"/>
        <v>Error?</v>
      </c>
      <c r="E7606" s="2" t="s">
        <v>19</v>
      </c>
    </row>
    <row r="7607" spans="1:5" x14ac:dyDescent="0.2">
      <c r="A7607">
        <f t="shared" si="123"/>
        <v>7546</v>
      </c>
      <c r="B7607" s="138">
        <f>'Cap Outlay Deprec 26'!D9</f>
        <v>18845</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551164</v>
      </c>
      <c r="D7609" s="2" t="str">
        <f t="shared" si="122"/>
        <v>Error?</v>
      </c>
      <c r="E7609" s="2" t="s">
        <v>19</v>
      </c>
    </row>
    <row r="7610" spans="1:5" x14ac:dyDescent="0.2">
      <c r="A7610">
        <f t="shared" si="123"/>
        <v>7549</v>
      </c>
      <c r="B7610" s="138">
        <f>'Cap Outlay Deprec 26'!H9</f>
        <v>72564</v>
      </c>
      <c r="D7610" s="2" t="str">
        <f t="shared" si="122"/>
        <v>Error?</v>
      </c>
      <c r="E7610" s="2" t="s">
        <v>19</v>
      </c>
    </row>
    <row r="7611" spans="1:5" x14ac:dyDescent="0.2">
      <c r="A7611">
        <f t="shared" si="123"/>
        <v>7550</v>
      </c>
      <c r="B7611" s="138">
        <f>'Cap Outlay Deprec 26'!I9</f>
        <v>27559</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100123</v>
      </c>
      <c r="D7613" s="2" t="str">
        <f t="shared" si="122"/>
        <v>Error?</v>
      </c>
      <c r="E7613" s="2" t="s">
        <v>19</v>
      </c>
    </row>
    <row r="7614" spans="1:5" x14ac:dyDescent="0.2">
      <c r="A7614">
        <f t="shared" si="123"/>
        <v>7553</v>
      </c>
      <c r="B7614" s="138">
        <f>'Cap Outlay Deprec 26'!L9</f>
        <v>451041</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50070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9103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9103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6150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3067</v>
      </c>
      <c r="D7797" s="2" t="str">
        <f t="shared" si="127"/>
        <v>Error?</v>
      </c>
      <c r="E7797" s="4" t="s">
        <v>2019</v>
      </c>
    </row>
    <row r="7798" spans="1:5" x14ac:dyDescent="0.2">
      <c r="A7798">
        <v>7737</v>
      </c>
      <c r="B7798" s="138">
        <f>'Contracts Paid in CY 29'!F141</f>
        <v>3067</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Creston CCSD 61</v>
      </c>
      <c r="B7" s="2423"/>
      <c r="C7" s="2423"/>
      <c r="D7" s="2424"/>
      <c r="E7" s="2425">
        <f>COVER!A13</f>
        <v>47071161004</v>
      </c>
      <c r="F7" s="2426"/>
      <c r="G7" s="2432" t="str">
        <f>COVER!T23</f>
        <v>060.004890</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Macchietto Roth &amp; Company, P.C.</v>
      </c>
      <c r="H9" s="2438"/>
      <c r="I9" s="2438"/>
      <c r="J9" s="2438"/>
      <c r="K9" s="2438"/>
      <c r="L9" s="2439"/>
    </row>
    <row r="10" spans="1:29" ht="13.5" customHeight="1" x14ac:dyDescent="0.2">
      <c r="A10" s="2412" t="str">
        <f>COVER!A38</f>
        <v>CURTIS RHEINGANS</v>
      </c>
      <c r="B10" s="2413"/>
      <c r="C10" s="2413"/>
      <c r="D10" s="2413"/>
      <c r="E10" s="2413"/>
      <c r="F10" s="2414"/>
      <c r="G10" s="2406" t="str">
        <f>COVER!T17</f>
        <v>911 Lisbon Street</v>
      </c>
      <c r="H10" s="2407"/>
      <c r="I10" s="2407"/>
      <c r="J10" s="2407"/>
      <c r="K10" s="2407"/>
      <c r="L10" s="2408"/>
    </row>
    <row r="11" spans="1:29" ht="13.5" customHeight="1" x14ac:dyDescent="0.2">
      <c r="A11" s="1185" t="s">
        <v>1599</v>
      </c>
      <c r="B11" s="1186"/>
      <c r="C11" s="1187"/>
      <c r="D11" s="1192"/>
      <c r="E11" s="1187"/>
      <c r="F11" s="1191"/>
      <c r="G11" s="2406" t="str">
        <f>COVER!T19</f>
        <v>Morris</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cathy@macchietto-roth.com</v>
      </c>
      <c r="J13" s="2419"/>
      <c r="K13" s="2419"/>
      <c r="L13" s="2420"/>
    </row>
    <row r="14" spans="1:29" ht="13.5" customHeight="1" x14ac:dyDescent="0.2">
      <c r="A14" s="2406" t="str">
        <f>COVER!A19</f>
        <v>202 W SOUTH STREET</v>
      </c>
      <c r="B14" s="2407"/>
      <c r="C14" s="2407"/>
      <c r="D14" s="2407"/>
      <c r="E14" s="2407"/>
      <c r="F14" s="2408"/>
      <c r="G14" s="1196" t="s">
        <v>1247</v>
      </c>
      <c r="H14" s="1194"/>
      <c r="I14" s="1194"/>
      <c r="J14" s="1194"/>
      <c r="K14" s="1194"/>
      <c r="L14" s="1195"/>
    </row>
    <row r="15" spans="1:29" ht="13.5" customHeight="1" x14ac:dyDescent="0.2">
      <c r="A15" s="2406" t="str">
        <f>COVER!A21</f>
        <v>CRESTON</v>
      </c>
      <c r="B15" s="2407"/>
      <c r="C15" s="2407"/>
      <c r="D15" s="2407"/>
      <c r="E15" s="2407"/>
      <c r="F15" s="2408"/>
      <c r="G15" s="2403" t="str">
        <f>COVER!T15</f>
        <v>Cathy Macchietto</v>
      </c>
      <c r="H15" s="2404"/>
      <c r="I15" s="2404"/>
      <c r="J15" s="2404"/>
      <c r="K15" s="2404"/>
      <c r="L15" s="2405"/>
    </row>
    <row r="16" spans="1:29" ht="12.2" customHeight="1" x14ac:dyDescent="0.2">
      <c r="A16" s="2428">
        <f>COVER!A25</f>
        <v>60113</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815-941-9050</v>
      </c>
      <c r="H18" s="2423"/>
      <c r="I18" s="2423"/>
      <c r="J18" s="2423"/>
      <c r="K18" s="2422" t="str">
        <f>COVER!X21</f>
        <v>815-941-4506</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Creston CCSD 61</v>
      </c>
      <c r="B1" s="2421"/>
      <c r="C1" s="2421"/>
      <c r="D1" s="2421"/>
    </row>
    <row r="2" spans="1:11" s="1215" customFormat="1" ht="12.75" x14ac:dyDescent="0.2">
      <c r="A2" s="2445">
        <f>'Single Audit Cover'!E7</f>
        <v>47071161004</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Creston CCSD 61</v>
      </c>
      <c r="B1" s="2448"/>
      <c r="C1" s="2448"/>
      <c r="D1" s="2448"/>
      <c r="E1" s="2448"/>
    </row>
    <row r="2" spans="1:5" x14ac:dyDescent="0.2">
      <c r="A2" s="2449">
        <f>'Single Audit Cover'!E7</f>
        <v>47071161004</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60780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60780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60780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60780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Creston CCSD 61</v>
      </c>
      <c r="B1" s="2461"/>
      <c r="C1" s="2461"/>
      <c r="D1" s="2461"/>
      <c r="E1" s="2461"/>
      <c r="F1" s="2461"/>
    </row>
    <row r="2" spans="1:7" ht="13.5" customHeight="1" x14ac:dyDescent="0.2">
      <c r="A2" s="2462">
        <f>'Single Audit Cover'!E7</f>
        <v>47071161004</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0" t="s">
        <v>1332</v>
      </c>
      <c r="D15" s="2458" t="s">
        <v>1331</v>
      </c>
      <c r="E15" s="2458"/>
      <c r="F15" s="2458"/>
    </row>
    <row r="16" spans="1:7" ht="13.5" customHeight="1" x14ac:dyDescent="0.2">
      <c r="A16" s="1282"/>
      <c r="B16" s="1276" t="s">
        <v>1330</v>
      </c>
      <c r="C16" s="1870"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5">
        <f>+C33+C34</f>
        <v>0</v>
      </c>
      <c r="F34" s="2456"/>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69"/>
      <c r="C50" s="1869"/>
      <c r="D50" s="1869"/>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Creston CCSD 61</v>
      </c>
      <c r="C1" s="2465"/>
      <c r="D1" s="2465"/>
      <c r="E1" s="2465"/>
      <c r="F1" s="2465"/>
      <c r="G1" s="2465"/>
      <c r="H1" s="2465"/>
      <c r="I1" s="2465"/>
      <c r="J1" s="2465"/>
      <c r="K1" s="2465"/>
      <c r="L1" s="2465"/>
      <c r="M1" s="2465"/>
    </row>
    <row r="2" spans="2:14" ht="15" x14ac:dyDescent="0.2">
      <c r="B2" s="2462">
        <f>'Single Audit Cover'!E7</f>
        <v>47071161004</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t="s">
        <v>2085</v>
      </c>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2085</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2085</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2095</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2086</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2"/>
      <c r="G118" s="1958">
        <v>43419</v>
      </c>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Creston CCSD 61</v>
      </c>
      <c r="C1" s="2480"/>
      <c r="D1" s="2480"/>
      <c r="E1" s="2480"/>
      <c r="F1" s="2480"/>
      <c r="G1" s="2480"/>
      <c r="H1" s="2480"/>
      <c r="I1" s="2480"/>
      <c r="J1" s="1422"/>
    </row>
    <row r="2" spans="2:10" s="317" customFormat="1" ht="12.75" customHeight="1" x14ac:dyDescent="0.2">
      <c r="B2" s="2481">
        <f>'Single Audit Cover'!E7</f>
        <v>47071161004</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1951</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Creston CCSD 61</v>
      </c>
      <c r="C1" s="2479"/>
      <c r="D1" s="2479"/>
      <c r="E1" s="2479"/>
      <c r="F1" s="2479"/>
      <c r="G1" s="2479"/>
      <c r="H1" s="2479"/>
      <c r="I1" s="2479"/>
      <c r="J1" s="2479"/>
      <c r="K1" s="2479"/>
      <c r="L1" s="1374"/>
      <c r="M1" s="1374"/>
    </row>
    <row r="2" spans="1:13" ht="12" customHeight="1" x14ac:dyDescent="0.2">
      <c r="B2" s="2481">
        <f>'Single Audit Cover'!E7</f>
        <v>47071161004</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Creston CCSD 61</v>
      </c>
      <c r="C1" s="2502"/>
      <c r="D1" s="2502"/>
      <c r="E1" s="2502"/>
      <c r="F1" s="2502"/>
      <c r="G1" s="2502"/>
      <c r="H1" s="2502"/>
      <c r="I1" s="2502"/>
      <c r="J1" s="2502"/>
      <c r="K1" s="2502"/>
      <c r="L1" s="1465"/>
    </row>
    <row r="2" spans="1:12" ht="12.75" customHeight="1" x14ac:dyDescent="0.2">
      <c r="B2" s="2503">
        <f>'Single Audit Cover'!E7</f>
        <v>47071161004</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Creston CCSD 61</v>
      </c>
      <c r="C1" s="2479"/>
      <c r="D1" s="2479"/>
      <c r="E1" s="1491"/>
    </row>
    <row r="2" spans="2:5" s="1282" customFormat="1" ht="12.75" customHeight="1" x14ac:dyDescent="0.2">
      <c r="B2" s="2481">
        <f>'Single Audit Cover'!E7</f>
        <v>47071161004</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32235662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2.3800000000000002E-2</v>
      </c>
      <c r="E10" s="356" t="s">
        <v>1062</v>
      </c>
      <c r="F10" s="355">
        <v>2.5000000000000001E-3</v>
      </c>
      <c r="G10" s="356" t="s">
        <v>1062</v>
      </c>
      <c r="H10" s="355">
        <v>1.1999999999999999E-3</v>
      </c>
      <c r="I10" s="356" t="s">
        <v>1063</v>
      </c>
      <c r="J10" s="1754">
        <f>ROUND(D10+F10+H10,5)</f>
        <v>2.75E-2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1124425</v>
      </c>
      <c r="E16" s="356"/>
      <c r="F16" s="1755">
        <f>SUM('Acct Summary 7-8'!C17,'Acct Summary 7-8'!D17,'Acct Summary 7-8'!F17)</f>
        <v>967679</v>
      </c>
      <c r="G16" s="356"/>
      <c r="H16" s="1755">
        <f>SUM(D16-F16)</f>
        <v>156746</v>
      </c>
      <c r="I16" s="222"/>
      <c r="J16" s="1755">
        <f>SUM('Acct Summary 7-8'!C81,'Acct Summary 7-8'!D81,'Acct Summary 7-8'!F81,'Acct Summary 7-8'!I81)</f>
        <v>644344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2085</v>
      </c>
      <c r="C31" s="367" t="s">
        <v>607</v>
      </c>
      <c r="D31" s="237" t="s">
        <v>1132</v>
      </c>
      <c r="E31" s="222"/>
      <c r="F31" s="222"/>
      <c r="G31" s="363"/>
      <c r="H31" s="1757">
        <f>IF(B31="X",(J7*0.069),IF(B32="X",(J7*0.138),"Enter x in a.or b."))</f>
        <v>2224260.6780000003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532550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Creston CCSD 61</v>
      </c>
      <c r="E7" s="391"/>
      <c r="G7" s="252"/>
      <c r="H7" s="387"/>
      <c r="I7" s="387"/>
      <c r="J7" s="387"/>
      <c r="K7" s="387"/>
      <c r="L7" s="329"/>
      <c r="M7" s="329"/>
      <c r="N7" s="329"/>
      <c r="O7" s="329"/>
      <c r="P7" s="329"/>
    </row>
    <row r="8" spans="1:18" ht="12.75" x14ac:dyDescent="0.2">
      <c r="A8" s="329"/>
      <c r="B8" s="329"/>
      <c r="C8" s="389" t="s">
        <v>1187</v>
      </c>
      <c r="D8" s="392">
        <f>COVER!A13</f>
        <v>47071161004</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644344</v>
      </c>
      <c r="I12" s="404"/>
      <c r="J12" s="404"/>
      <c r="K12" s="405">
        <f>TRUNC((H12/H13*100000),5)/100000</f>
        <v>0.57304311090000004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1124425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967679</v>
      </c>
      <c r="I17" s="404"/>
      <c r="J17" s="416"/>
      <c r="K17" s="405">
        <f>TRUNC((H17/H18*100000),5)/100000</f>
        <v>0.86059897280000008</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1124425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645392</v>
      </c>
      <c r="I24" s="422"/>
      <c r="J24" s="422"/>
      <c r="K24" s="423">
        <f>TRUNC(((H24/H25*100000)/100000),2)</f>
        <v>240.1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2687.9972200000002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753508.59924999997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532550</v>
      </c>
      <c r="I32" s="420"/>
      <c r="J32" s="420"/>
      <c r="K32" s="423">
        <f>TRUNC(100-((((H32/H33*100))*100)/100),2)</f>
        <v>76.05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2224260.6780000003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6" activePane="bottomLeft" state="frozen"/>
      <selection activeCell="A47" sqref="A47"/>
      <selection pane="bottomLeft" activeCell="A29" sqref="A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410743</v>
      </c>
      <c r="D4" s="466">
        <v>102936</v>
      </c>
      <c r="E4" s="466">
        <v>0</v>
      </c>
      <c r="F4" s="466">
        <v>103351</v>
      </c>
      <c r="G4" s="466">
        <v>103587</v>
      </c>
      <c r="H4" s="466"/>
      <c r="I4" s="466">
        <v>28362</v>
      </c>
      <c r="J4" s="467">
        <v>108056</v>
      </c>
      <c r="K4" s="466">
        <v>105788</v>
      </c>
      <c r="L4" s="466">
        <v>2985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410743</v>
      </c>
      <c r="D13" s="1759">
        <f t="shared" ref="D13:L13" si="0">SUM(D4:D12)</f>
        <v>102936</v>
      </c>
      <c r="E13" s="1759">
        <f t="shared" si="0"/>
        <v>0</v>
      </c>
      <c r="F13" s="1759">
        <f t="shared" si="0"/>
        <v>103351</v>
      </c>
      <c r="G13" s="1759">
        <f t="shared" si="0"/>
        <v>103587</v>
      </c>
      <c r="H13" s="1759">
        <f t="shared" si="0"/>
        <v>0</v>
      </c>
      <c r="I13" s="1759">
        <f t="shared" si="0"/>
        <v>28362</v>
      </c>
      <c r="J13" s="1759">
        <f t="shared" si="0"/>
        <v>108056</v>
      </c>
      <c r="K13" s="1759">
        <f t="shared" si="0"/>
        <v>105788</v>
      </c>
      <c r="L13" s="1759">
        <f t="shared" si="0"/>
        <v>2985</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5000</v>
      </c>
      <c r="N16" s="484"/>
    </row>
    <row r="17" spans="1:14" s="485" customFormat="1" ht="12.75" customHeight="1" x14ac:dyDescent="0.2">
      <c r="A17" s="482" t="s">
        <v>1470</v>
      </c>
      <c r="B17" s="483">
        <v>230</v>
      </c>
      <c r="C17" s="477"/>
      <c r="D17" s="477"/>
      <c r="E17" s="477"/>
      <c r="F17" s="477"/>
      <c r="G17" s="477"/>
      <c r="H17" s="477"/>
      <c r="I17" s="477"/>
      <c r="J17" s="477"/>
      <c r="K17" s="477"/>
      <c r="L17" s="477"/>
      <c r="M17" s="467">
        <v>1220148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45684+345598</f>
        <v>391282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532550</v>
      </c>
    </row>
    <row r="23" spans="1:14" ht="13.5" customHeight="1" thickBot="1" x14ac:dyDescent="0.25">
      <c r="A23" s="1758" t="s">
        <v>664</v>
      </c>
      <c r="B23" s="1763"/>
      <c r="C23" s="468"/>
      <c r="D23" s="468"/>
      <c r="E23" s="468"/>
      <c r="F23" s="468"/>
      <c r="G23" s="468"/>
      <c r="H23" s="468"/>
      <c r="I23" s="468"/>
      <c r="J23" s="468"/>
      <c r="K23" s="468"/>
      <c r="L23" s="468"/>
      <c r="M23" s="1710">
        <f>SUM(M15:M22)</f>
        <v>1616430</v>
      </c>
      <c r="N23" s="1710">
        <f>SUM(N21:N22)</f>
        <v>532550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v>214</v>
      </c>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972</v>
      </c>
      <c r="D31" s="467"/>
      <c r="E31" s="467"/>
      <c r="F31" s="466">
        <v>76</v>
      </c>
      <c r="G31" s="467">
        <v>1760</v>
      </c>
      <c r="H31" s="467"/>
      <c r="I31" s="467"/>
      <c r="J31" s="467">
        <v>324</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2985</v>
      </c>
      <c r="M33" s="468"/>
      <c r="N33" s="469"/>
    </row>
    <row r="34" spans="1:14" ht="13.5" customHeight="1" thickBot="1" x14ac:dyDescent="0.25">
      <c r="A34" s="1760" t="s">
        <v>675</v>
      </c>
      <c r="B34" s="1761"/>
      <c r="C34" s="1762">
        <f>SUM(C25:C33)</f>
        <v>972</v>
      </c>
      <c r="D34" s="1762">
        <f t="shared" ref="D34:K34" si="1">SUM(D25:D33)</f>
        <v>0</v>
      </c>
      <c r="E34" s="1762">
        <f t="shared" si="1"/>
        <v>214</v>
      </c>
      <c r="F34" s="1762">
        <f t="shared" si="1"/>
        <v>76</v>
      </c>
      <c r="G34" s="1762">
        <f t="shared" si="1"/>
        <v>1760</v>
      </c>
      <c r="H34" s="1762">
        <f t="shared" si="1"/>
        <v>0</v>
      </c>
      <c r="I34" s="1762">
        <f t="shared" si="1"/>
        <v>0</v>
      </c>
      <c r="J34" s="1762">
        <f t="shared" si="1"/>
        <v>324</v>
      </c>
      <c r="K34" s="1762">
        <f t="shared" si="1"/>
        <v>0</v>
      </c>
      <c r="L34" s="1743">
        <f>SUM(L33)</f>
        <v>2985</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532550</v>
      </c>
    </row>
    <row r="37" spans="1:14" ht="13.5" thickBot="1" x14ac:dyDescent="0.25">
      <c r="A37" s="1758" t="s">
        <v>674</v>
      </c>
      <c r="B37" s="1763"/>
      <c r="C37" s="477"/>
      <c r="D37" s="477"/>
      <c r="E37" s="477"/>
      <c r="F37" s="477"/>
      <c r="G37" s="477"/>
      <c r="H37" s="477"/>
      <c r="I37" s="477"/>
      <c r="J37" s="477"/>
      <c r="K37" s="477"/>
      <c r="L37" s="480"/>
      <c r="M37" s="468"/>
      <c r="N37" s="1710">
        <f>SUM(N36:N36)</f>
        <v>532550</v>
      </c>
    </row>
    <row r="38" spans="1:14" s="329" customFormat="1" ht="13.5" customHeight="1" thickTop="1" x14ac:dyDescent="0.2">
      <c r="A38" s="496" t="s">
        <v>440</v>
      </c>
      <c r="B38" s="483">
        <v>714</v>
      </c>
      <c r="C38" s="466"/>
      <c r="D38" s="466"/>
      <c r="E38" s="466"/>
      <c r="F38" s="466">
        <v>103275</v>
      </c>
      <c r="G38" s="466">
        <v>101827</v>
      </c>
      <c r="H38" s="466"/>
      <c r="I38" s="466">
        <v>28362</v>
      </c>
      <c r="J38" s="467">
        <v>107732</v>
      </c>
      <c r="K38" s="466">
        <v>105788</v>
      </c>
      <c r="L38" s="481"/>
      <c r="M38" s="497"/>
      <c r="N38" s="497"/>
    </row>
    <row r="39" spans="1:14" s="329" customFormat="1" ht="13.5" customHeight="1" x14ac:dyDescent="0.2">
      <c r="A39" s="496" t="s">
        <v>360</v>
      </c>
      <c r="B39" s="483">
        <v>730</v>
      </c>
      <c r="C39" s="466">
        <v>409771</v>
      </c>
      <c r="D39" s="466">
        <v>102936</v>
      </c>
      <c r="E39" s="466">
        <v>-214</v>
      </c>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1616430</v>
      </c>
      <c r="N40" s="497"/>
    </row>
    <row r="41" spans="1:14" ht="13.5" customHeight="1" thickBot="1" x14ac:dyDescent="0.25">
      <c r="A41" s="1758" t="s">
        <v>676</v>
      </c>
      <c r="B41" s="1728"/>
      <c r="C41" s="1710">
        <f>(SUM(C34,C37,C38,C39))</f>
        <v>410743</v>
      </c>
      <c r="D41" s="1710">
        <f t="shared" ref="D41:L41" si="2">SUM(D34,D37,D38:D39)</f>
        <v>102936</v>
      </c>
      <c r="E41" s="1710">
        <f t="shared" si="2"/>
        <v>0</v>
      </c>
      <c r="F41" s="1710">
        <f t="shared" si="2"/>
        <v>103351</v>
      </c>
      <c r="G41" s="1710">
        <f t="shared" si="2"/>
        <v>103587</v>
      </c>
      <c r="H41" s="1710">
        <f t="shared" si="2"/>
        <v>0</v>
      </c>
      <c r="I41" s="1710">
        <f t="shared" si="2"/>
        <v>28362</v>
      </c>
      <c r="J41" s="1710">
        <f t="shared" si="2"/>
        <v>108056</v>
      </c>
      <c r="K41" s="1710">
        <f t="shared" si="2"/>
        <v>105788</v>
      </c>
      <c r="L41" s="1710">
        <f t="shared" si="2"/>
        <v>2985</v>
      </c>
      <c r="M41" s="1710">
        <f>SUM(M40)</f>
        <v>1616430</v>
      </c>
      <c r="N41" s="1710">
        <f>SUM(N37)</f>
        <v>532550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8" activePane="bottomLeft" state="frozenSplit"/>
      <selection activeCell="A47" sqref="A47"/>
      <selection pane="bottomLeft" activeCell="G80" sqref="G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3" t="s">
        <v>1579</v>
      </c>
      <c r="B4" s="1954">
        <v>1000</v>
      </c>
      <c r="C4" s="1764">
        <f>'Revenues 9-14'!C109</f>
        <v>806287</v>
      </c>
      <c r="D4" s="1764">
        <f>'Revenues 9-14'!D109</f>
        <v>77558</v>
      </c>
      <c r="E4" s="1764">
        <f>'Revenues 9-14'!E109</f>
        <v>66104</v>
      </c>
      <c r="F4" s="1764">
        <f>'Revenues 9-14'!F109</f>
        <v>37610</v>
      </c>
      <c r="G4" s="1764">
        <f>'Revenues 9-14'!G109</f>
        <v>63625</v>
      </c>
      <c r="H4" s="1764">
        <f>'Revenues 9-14'!H109</f>
        <v>0</v>
      </c>
      <c r="I4" s="1764">
        <f>'Revenues 9-14'!I109</f>
        <v>15505</v>
      </c>
      <c r="J4" s="1764">
        <f>'Revenues 9-14'!J109</f>
        <v>165440</v>
      </c>
      <c r="K4" s="1764">
        <f>'Revenues 9-14'!K109</f>
        <v>9629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123198</v>
      </c>
      <c r="D6" s="1765">
        <f>'Revenues 9-14'!D173</f>
        <v>0</v>
      </c>
      <c r="E6" s="1765">
        <f>'Revenues 9-14'!E173</f>
        <v>0</v>
      </c>
      <c r="F6" s="1765">
        <f>'Revenues 9-14'!F173</f>
        <v>3487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60780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990265</v>
      </c>
      <c r="D8" s="1710">
        <f t="shared" ref="D8:K8" si="0">SUM(D4:D7)</f>
        <v>77558</v>
      </c>
      <c r="E8" s="1710">
        <f t="shared" si="0"/>
        <v>66104</v>
      </c>
      <c r="F8" s="1710">
        <f t="shared" si="0"/>
        <v>41097</v>
      </c>
      <c r="G8" s="1710">
        <f t="shared" si="0"/>
        <v>63625</v>
      </c>
      <c r="H8" s="1710">
        <f t="shared" si="0"/>
        <v>0</v>
      </c>
      <c r="I8" s="1710">
        <f t="shared" si="0"/>
        <v>15505</v>
      </c>
      <c r="J8" s="1710">
        <f t="shared" si="0"/>
        <v>165440</v>
      </c>
      <c r="K8" s="1710">
        <f t="shared" si="0"/>
        <v>9629</v>
      </c>
      <c r="L8" s="347"/>
    </row>
    <row r="9" spans="1:13" ht="15.75" thickTop="1" x14ac:dyDescent="0.2">
      <c r="A9" s="514" t="s">
        <v>1752</v>
      </c>
      <c r="B9" s="515">
        <v>3998</v>
      </c>
      <c r="C9" s="481">
        <v>521346</v>
      </c>
      <c r="D9" s="516"/>
      <c r="E9" s="481"/>
      <c r="F9" s="481"/>
      <c r="G9" s="517"/>
      <c r="H9" s="481"/>
      <c r="I9" s="509" t="s">
        <v>1231</v>
      </c>
      <c r="J9" s="478"/>
      <c r="K9" s="481"/>
      <c r="L9" s="347"/>
    </row>
    <row r="10" spans="1:13" s="519" customFormat="1" ht="13.5" thickBot="1" x14ac:dyDescent="0.25">
      <c r="A10" s="1758" t="s">
        <v>1235</v>
      </c>
      <c r="B10" s="1731"/>
      <c r="C10" s="1710">
        <f>SUM(C8:C9)</f>
        <v>1511611</v>
      </c>
      <c r="D10" s="1710">
        <f t="shared" ref="D10:K10" si="1">SUM(D8:D9)</f>
        <v>77558</v>
      </c>
      <c r="E10" s="1710">
        <f t="shared" si="1"/>
        <v>66104</v>
      </c>
      <c r="F10" s="1710">
        <f t="shared" si="1"/>
        <v>41097</v>
      </c>
      <c r="G10" s="1710">
        <f t="shared" si="1"/>
        <v>63625</v>
      </c>
      <c r="H10" s="1710">
        <f t="shared" si="1"/>
        <v>0</v>
      </c>
      <c r="I10" s="1710">
        <f t="shared" si="1"/>
        <v>15505</v>
      </c>
      <c r="J10" s="1710">
        <f t="shared" si="1"/>
        <v>165440</v>
      </c>
      <c r="K10" s="1710">
        <f t="shared" si="1"/>
        <v>9629</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617437</v>
      </c>
      <c r="D12" s="520" t="s">
        <v>1231</v>
      </c>
      <c r="E12" s="468" t="s">
        <v>1231</v>
      </c>
      <c r="F12" s="468" t="s">
        <v>1231</v>
      </c>
      <c r="G12" s="1764">
        <f>'Expenditures 15-22'!K229</f>
        <v>15401</v>
      </c>
      <c r="H12" s="521"/>
      <c r="I12" s="468" t="s">
        <v>1231</v>
      </c>
      <c r="J12" s="468" t="s">
        <v>1231</v>
      </c>
      <c r="K12" s="521" t="s">
        <v>1231</v>
      </c>
      <c r="L12" s="347"/>
    </row>
    <row r="13" spans="1:13" ht="15.75" customHeight="1" x14ac:dyDescent="0.2">
      <c r="A13" s="1598" t="s">
        <v>477</v>
      </c>
      <c r="B13" s="1600">
        <v>2000</v>
      </c>
      <c r="C13" s="1765">
        <f>'Expenditures 15-22'!K74</f>
        <v>200023</v>
      </c>
      <c r="D13" s="1765">
        <f>'Expenditures 15-22'!K129</f>
        <v>69118</v>
      </c>
      <c r="E13" s="469" t="s">
        <v>1231</v>
      </c>
      <c r="F13" s="1765">
        <f>'Expenditures 15-22'!K184</f>
        <v>24845</v>
      </c>
      <c r="G13" s="1765">
        <f>'Expenditures 15-22'!K279</f>
        <v>20015</v>
      </c>
      <c r="H13" s="1765">
        <f>'Expenditures 15-22'!K303</f>
        <v>0</v>
      </c>
      <c r="I13" s="468" t="s">
        <v>1231</v>
      </c>
      <c r="J13" s="1765">
        <f>'Expenditures 15-22'!K330</f>
        <v>168356</v>
      </c>
      <c r="K13" s="1769">
        <f>'Expenditures 15-22'!K352</f>
        <v>18845</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46614</v>
      </c>
      <c r="D15" s="1765">
        <f>'Expenditures 15-22'!K139</f>
        <v>0</v>
      </c>
      <c r="E15" s="1765">
        <f>'Expenditures 15-22'!K160</f>
        <v>0</v>
      </c>
      <c r="F15" s="1765">
        <f>'Expenditures 15-22'!K196</f>
        <v>5871</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3771</v>
      </c>
      <c r="D16" s="1765">
        <f>'Expenditures 15-22'!K149</f>
        <v>0</v>
      </c>
      <c r="E16" s="1765">
        <f>'Expenditures 15-22'!K172</f>
        <v>94359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867845</v>
      </c>
      <c r="D17" s="1710">
        <f t="shared" si="2"/>
        <v>69118</v>
      </c>
      <c r="E17" s="1710">
        <f t="shared" si="2"/>
        <v>94359</v>
      </c>
      <c r="F17" s="1710">
        <f t="shared" si="2"/>
        <v>30716</v>
      </c>
      <c r="G17" s="1710">
        <f t="shared" si="2"/>
        <v>35416</v>
      </c>
      <c r="H17" s="1710">
        <f t="shared" si="2"/>
        <v>0</v>
      </c>
      <c r="I17" s="468"/>
      <c r="J17" s="1710">
        <f>SUM(J12:J16)</f>
        <v>168356</v>
      </c>
      <c r="K17" s="1710">
        <f>SUM(K12:K16)</f>
        <v>18845</v>
      </c>
      <c r="L17" s="347"/>
    </row>
    <row r="18" spans="1:12" ht="15" customHeight="1" thickTop="1" x14ac:dyDescent="0.2">
      <c r="A18" s="1766" t="s">
        <v>1753</v>
      </c>
      <c r="B18" s="1767">
        <v>4180</v>
      </c>
      <c r="C18" s="1764">
        <f t="shared" ref="C18:H18" si="3">C9</f>
        <v>521346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1389191</v>
      </c>
      <c r="D19" s="1710">
        <f t="shared" si="4"/>
        <v>69118</v>
      </c>
      <c r="E19" s="1710">
        <f t="shared" si="4"/>
        <v>94359</v>
      </c>
      <c r="F19" s="1710">
        <f t="shared" si="4"/>
        <v>30716</v>
      </c>
      <c r="G19" s="1710">
        <f t="shared" si="4"/>
        <v>35416</v>
      </c>
      <c r="H19" s="1710">
        <f t="shared" si="4"/>
        <v>0</v>
      </c>
      <c r="I19" s="468"/>
      <c r="J19" s="1710">
        <f>SUM(J17:J18)</f>
        <v>168356</v>
      </c>
      <c r="K19" s="1710">
        <f>SUM(K17:K18)</f>
        <v>18845</v>
      </c>
      <c r="L19" s="347"/>
    </row>
    <row r="20" spans="1:12" ht="16.5" thickTop="1" thickBot="1" x14ac:dyDescent="0.25">
      <c r="A20" s="2145" t="s">
        <v>1754</v>
      </c>
      <c r="B20" s="2146"/>
      <c r="C20" s="1768">
        <f>C8-C17</f>
        <v>122420</v>
      </c>
      <c r="D20" s="1768">
        <f t="shared" ref="D20:K20" si="5">D8-D17</f>
        <v>8440</v>
      </c>
      <c r="E20" s="1768">
        <f t="shared" si="5"/>
        <v>-28255</v>
      </c>
      <c r="F20" s="1768">
        <f t="shared" si="5"/>
        <v>10381</v>
      </c>
      <c r="G20" s="1768">
        <f t="shared" si="5"/>
        <v>28209</v>
      </c>
      <c r="H20" s="1768">
        <f t="shared" si="5"/>
        <v>0</v>
      </c>
      <c r="I20" s="1768">
        <f t="shared" si="5"/>
        <v>15505</v>
      </c>
      <c r="J20" s="1768">
        <f t="shared" si="5"/>
        <v>-2916</v>
      </c>
      <c r="K20" s="1768">
        <f t="shared" si="5"/>
        <v>-9216</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122420</v>
      </c>
      <c r="D78" s="1724">
        <f t="shared" si="9"/>
        <v>8440</v>
      </c>
      <c r="E78" s="1724">
        <f t="shared" si="9"/>
        <v>-28255</v>
      </c>
      <c r="F78" s="1724">
        <f t="shared" si="9"/>
        <v>10381</v>
      </c>
      <c r="G78" s="1724">
        <f t="shared" si="9"/>
        <v>28209</v>
      </c>
      <c r="H78" s="1724">
        <f t="shared" si="9"/>
        <v>0</v>
      </c>
      <c r="I78" s="1724">
        <f t="shared" si="9"/>
        <v>15505</v>
      </c>
      <c r="J78" s="1724">
        <f t="shared" si="9"/>
        <v>-2916</v>
      </c>
      <c r="K78" s="1724">
        <f t="shared" si="9"/>
        <v>-9216</v>
      </c>
      <c r="L78" s="533"/>
    </row>
    <row r="79" spans="1:12" ht="13.5" thickTop="1" x14ac:dyDescent="0.2">
      <c r="A79" s="1516" t="s">
        <v>2071</v>
      </c>
      <c r="B79" s="534"/>
      <c r="C79" s="478">
        <v>287351</v>
      </c>
      <c r="D79" s="535">
        <v>94496</v>
      </c>
      <c r="E79" s="535">
        <v>28041</v>
      </c>
      <c r="F79" s="535">
        <v>92894</v>
      </c>
      <c r="G79" s="535">
        <v>73618</v>
      </c>
      <c r="H79" s="535"/>
      <c r="I79" s="535">
        <v>12857</v>
      </c>
      <c r="J79" s="535">
        <v>110648</v>
      </c>
      <c r="K79" s="535">
        <v>115004</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10">
        <f>(SUM(C78:C80))</f>
        <v>409771</v>
      </c>
      <c r="D81" s="1710">
        <f>SUM(D78:D80)</f>
        <v>102936</v>
      </c>
      <c r="E81" s="1710">
        <f t="shared" ref="E81:K81" si="10">SUM(E78:E80)</f>
        <v>-214</v>
      </c>
      <c r="F81" s="1710">
        <f t="shared" si="10"/>
        <v>103275</v>
      </c>
      <c r="G81" s="1710">
        <f t="shared" si="10"/>
        <v>101827</v>
      </c>
      <c r="H81" s="1710">
        <f t="shared" si="10"/>
        <v>0</v>
      </c>
      <c r="I81" s="1710">
        <f t="shared" si="10"/>
        <v>28362</v>
      </c>
      <c r="J81" s="1710">
        <f t="shared" si="10"/>
        <v>107732</v>
      </c>
      <c r="K81" s="1710">
        <f t="shared" si="10"/>
        <v>105788</v>
      </c>
      <c r="L81" s="347"/>
    </row>
    <row r="82" spans="1:12" ht="0.75" customHeight="1" thickTop="1" thickBot="1" x14ac:dyDescent="0.25">
      <c r="A82" s="536" t="s">
        <v>361</v>
      </c>
      <c r="B82" s="537"/>
      <c r="C82" s="538">
        <f>(C81-C79)</f>
        <v>122420</v>
      </c>
      <c r="D82" s="538">
        <f t="shared" ref="D82:K82" si="11">(D81-D79)</f>
        <v>8440</v>
      </c>
      <c r="E82" s="538">
        <f t="shared" si="11"/>
        <v>-28255</v>
      </c>
      <c r="F82" s="538">
        <f t="shared" si="11"/>
        <v>10381</v>
      </c>
      <c r="G82" s="538">
        <f t="shared" si="11"/>
        <v>28209</v>
      </c>
      <c r="H82" s="538">
        <f t="shared" si="11"/>
        <v>0</v>
      </c>
      <c r="I82" s="538">
        <f t="shared" si="11"/>
        <v>15505</v>
      </c>
      <c r="J82" s="538">
        <f t="shared" si="11"/>
        <v>-2916</v>
      </c>
      <c r="K82" s="538">
        <f t="shared" si="11"/>
        <v>-9216</v>
      </c>
    </row>
    <row r="83" spans="1:12" ht="14.25" hidden="1" thickTop="1" thickBot="1" x14ac:dyDescent="0.25">
      <c r="A83" s="539" t="s">
        <v>362</v>
      </c>
      <c r="B83" s="464"/>
      <c r="C83" s="540">
        <f>C82/C81</f>
        <v>0.29875222990401956</v>
      </c>
      <c r="D83" s="540">
        <f t="shared" ref="D83:K83" si="12">D82/D81</f>
        <v>8.1992694489780055E-2</v>
      </c>
      <c r="E83" s="540">
        <f t="shared" si="12"/>
        <v>132.03271028037383</v>
      </c>
      <c r="F83" s="540">
        <f t="shared" si="12"/>
        <v>0.10051803437424353</v>
      </c>
      <c r="G83" s="540">
        <f t="shared" si="12"/>
        <v>0.27702868590845259</v>
      </c>
      <c r="H83" s="540" t="e">
        <f t="shared" si="12"/>
        <v>#DIV/0!</v>
      </c>
      <c r="I83" s="540">
        <f t="shared" si="12"/>
        <v>0.54668218038220151</v>
      </c>
      <c r="J83" s="540">
        <f t="shared" si="12"/>
        <v>-2.7067166672854862E-2</v>
      </c>
      <c r="K83" s="540">
        <f t="shared" si="12"/>
        <v>-8.7117631489393887E-2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731802</v>
      </c>
      <c r="D5" s="481">
        <v>76872</v>
      </c>
      <c r="E5" s="466">
        <v>66094</v>
      </c>
      <c r="F5" s="548">
        <v>36899</v>
      </c>
      <c r="G5" s="466">
        <v>31515</v>
      </c>
      <c r="H5" s="466"/>
      <c r="I5" s="466">
        <v>15375</v>
      </c>
      <c r="J5" s="467">
        <v>164906</v>
      </c>
      <c r="K5" s="466">
        <v>8858</v>
      </c>
    </row>
    <row r="6" spans="1:12" ht="15" x14ac:dyDescent="0.2">
      <c r="A6" s="463" t="s">
        <v>1761</v>
      </c>
      <c r="B6" s="470">
        <v>1130</v>
      </c>
      <c r="C6" s="466">
        <v>15375</v>
      </c>
      <c r="D6" s="466"/>
      <c r="E6" s="475"/>
      <c r="F6" s="475"/>
      <c r="G6" s="468"/>
      <c r="H6" s="468"/>
      <c r="I6" s="468"/>
      <c r="J6" s="468"/>
      <c r="K6" s="468"/>
    </row>
    <row r="7" spans="1:12" x14ac:dyDescent="0.2">
      <c r="A7" s="463" t="s">
        <v>112</v>
      </c>
      <c r="B7" s="549">
        <v>1140</v>
      </c>
      <c r="C7" s="466">
        <v>6150</v>
      </c>
      <c r="D7" s="466"/>
      <c r="E7" s="468"/>
      <c r="F7" s="467"/>
      <c r="G7" s="467"/>
      <c r="H7" s="467"/>
      <c r="I7" s="468"/>
      <c r="J7" s="468"/>
      <c r="K7" s="468"/>
    </row>
    <row r="8" spans="1:12" x14ac:dyDescent="0.2">
      <c r="A8" s="463" t="s">
        <v>433</v>
      </c>
      <c r="B8" s="470">
        <v>1150</v>
      </c>
      <c r="C8" s="475"/>
      <c r="D8" s="475"/>
      <c r="E8" s="477"/>
      <c r="F8" s="477"/>
      <c r="G8" s="481">
        <v>31515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753327</v>
      </c>
      <c r="D12" s="1729">
        <f t="shared" si="0"/>
        <v>76872</v>
      </c>
      <c r="E12" s="1729">
        <f t="shared" si="0"/>
        <v>66094</v>
      </c>
      <c r="F12" s="1729">
        <f t="shared" si="0"/>
        <v>36899</v>
      </c>
      <c r="G12" s="1729">
        <f t="shared" si="0"/>
        <v>63030</v>
      </c>
      <c r="H12" s="1729">
        <f t="shared" si="0"/>
        <v>0</v>
      </c>
      <c r="I12" s="1729">
        <f t="shared" si="0"/>
        <v>15375</v>
      </c>
      <c r="J12" s="1729">
        <f t="shared" si="0"/>
        <v>164906</v>
      </c>
      <c r="K12" s="1710">
        <f t="shared" si="0"/>
        <v>8858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13034</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13034</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1333</v>
      </c>
      <c r="D65" s="466">
        <v>686</v>
      </c>
      <c r="E65" s="466">
        <v>10</v>
      </c>
      <c r="F65" s="467">
        <v>711</v>
      </c>
      <c r="G65" s="466">
        <v>595</v>
      </c>
      <c r="H65" s="466"/>
      <c r="I65" s="466">
        <v>130</v>
      </c>
      <c r="J65" s="467">
        <v>534</v>
      </c>
      <c r="K65" s="466">
        <v>771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1333</v>
      </c>
      <c r="D67" s="1710">
        <f t="shared" ref="D67:K67" si="2">SUM(D65:D66)</f>
        <v>686</v>
      </c>
      <c r="E67" s="1710">
        <f t="shared" si="2"/>
        <v>10</v>
      </c>
      <c r="F67" s="1710">
        <f t="shared" si="2"/>
        <v>711</v>
      </c>
      <c r="G67" s="1710">
        <f t="shared" si="2"/>
        <v>595</v>
      </c>
      <c r="H67" s="1710">
        <f t="shared" si="2"/>
        <v>0</v>
      </c>
      <c r="I67" s="1710">
        <f t="shared" si="2"/>
        <v>130</v>
      </c>
      <c r="J67" s="1710">
        <f t="shared" si="2"/>
        <v>534</v>
      </c>
      <c r="K67" s="1710">
        <f t="shared" si="2"/>
        <v>771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6915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6915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2224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3840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572</v>
      </c>
      <c r="D81" s="466"/>
      <c r="E81" s="468"/>
      <c r="F81" s="468"/>
      <c r="G81" s="468"/>
      <c r="H81" s="468"/>
      <c r="I81" s="468"/>
      <c r="J81" s="468"/>
      <c r="K81" s="468"/>
    </row>
    <row r="82" spans="1:11" ht="12.75" customHeight="1" thickBot="1" x14ac:dyDescent="0.25">
      <c r="A82" s="1730" t="s">
        <v>259</v>
      </c>
      <c r="B82" s="1731"/>
      <c r="C82" s="1729">
        <f>SUM(C77:C81)</f>
        <v>6636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10708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13334</v>
      </c>
      <c r="D107" s="466"/>
      <c r="E107" s="466"/>
      <c r="F107" s="466"/>
      <c r="G107" s="466"/>
      <c r="H107" s="466"/>
      <c r="I107" s="466"/>
      <c r="J107" s="467"/>
      <c r="K107" s="466"/>
    </row>
    <row r="108" spans="1:12" ht="12.75" customHeight="1" thickBot="1" x14ac:dyDescent="0.25">
      <c r="A108" s="1730" t="s">
        <v>508</v>
      </c>
      <c r="B108" s="1734"/>
      <c r="C108" s="1729">
        <f>SUM(C95:C107)</f>
        <v>25042</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806287</v>
      </c>
      <c r="D109" s="1737">
        <f t="shared" si="4"/>
        <v>77558</v>
      </c>
      <c r="E109" s="1737">
        <f t="shared" si="4"/>
        <v>66104</v>
      </c>
      <c r="F109" s="1737">
        <f t="shared" si="4"/>
        <v>37610</v>
      </c>
      <c r="G109" s="1737">
        <f t="shared" si="4"/>
        <v>63625</v>
      </c>
      <c r="H109" s="1737">
        <f t="shared" si="4"/>
        <v>0</v>
      </c>
      <c r="I109" s="1737">
        <f t="shared" si="4"/>
        <v>15505</v>
      </c>
      <c r="J109" s="1737">
        <f t="shared" si="4"/>
        <v>165440</v>
      </c>
      <c r="K109" s="1724">
        <f t="shared" si="4"/>
        <v>9629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111479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111479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6994</v>
      </c>
      <c r="D125" s="561"/>
      <c r="E125" s="468"/>
      <c r="F125" s="466"/>
      <c r="G125" s="468"/>
      <c r="H125" s="468"/>
      <c r="I125" s="468"/>
      <c r="J125" s="468"/>
      <c r="K125" s="468"/>
    </row>
    <row r="126" spans="1:11" ht="12.75" customHeight="1" x14ac:dyDescent="0.2">
      <c r="A126" s="463" t="s">
        <v>922</v>
      </c>
      <c r="B126" s="562">
        <v>3110</v>
      </c>
      <c r="C126" s="551">
        <v>4500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11494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3487</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3487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11719</v>
      </c>
      <c r="D172" s="1744">
        <f t="shared" si="6"/>
        <v>0</v>
      </c>
      <c r="E172" s="1744">
        <f t="shared" si="6"/>
        <v>0</v>
      </c>
      <c r="F172" s="1744">
        <f t="shared" si="6"/>
        <v>3487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123198</v>
      </c>
      <c r="D173" s="1737">
        <f>SUM(D121,D172)</f>
        <v>0</v>
      </c>
      <c r="E173" s="1737">
        <f>SUM(E121,E172)</f>
        <v>0</v>
      </c>
      <c r="F173" s="1737">
        <f t="shared" ref="F173:K173" si="7">SUM(F121,F172)</f>
        <v>3487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18818</v>
      </c>
      <c r="D177" s="466"/>
      <c r="E177" s="467"/>
      <c r="F177" s="466"/>
      <c r="G177" s="466"/>
      <c r="H177" s="467"/>
      <c r="I177" s="467"/>
      <c r="J177" s="467"/>
      <c r="K177" s="467"/>
    </row>
    <row r="178" spans="1:11" ht="13.5" thickBot="1" x14ac:dyDescent="0.25">
      <c r="A178" s="2169" t="s">
        <v>1764</v>
      </c>
      <c r="B178" s="2170"/>
      <c r="C178" s="1729">
        <f>SUM(C176:C177)</f>
        <v>18818</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16584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16584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12428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12428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8237</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8237</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1760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1760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1616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1337</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41962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60780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990265</v>
      </c>
      <c r="D275" s="1737">
        <f t="shared" si="12"/>
        <v>77558</v>
      </c>
      <c r="E275" s="1737">
        <f t="shared" si="12"/>
        <v>66104</v>
      </c>
      <c r="F275" s="1737">
        <f t="shared" si="12"/>
        <v>41097</v>
      </c>
      <c r="G275" s="1737">
        <f t="shared" si="12"/>
        <v>63625</v>
      </c>
      <c r="H275" s="1737">
        <f t="shared" si="12"/>
        <v>0</v>
      </c>
      <c r="I275" s="1737">
        <f t="shared" si="12"/>
        <v>15505</v>
      </c>
      <c r="J275" s="1737">
        <f t="shared" si="12"/>
        <v>165440</v>
      </c>
      <c r="K275" s="1724">
        <f t="shared" si="12"/>
        <v>9629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7" activePane="bottomLeft" state="frozen"/>
      <selection activeCell="A47" sqref="A47"/>
      <selection pane="bottomLeft" activeCell="G354" sqref="G35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442936</v>
      </c>
      <c r="D5" s="466">
        <v>50909</v>
      </c>
      <c r="E5" s="466">
        <v>32049</v>
      </c>
      <c r="F5" s="466">
        <v>17199</v>
      </c>
      <c r="G5" s="466">
        <v>579</v>
      </c>
      <c r="H5" s="466">
        <v>5875</v>
      </c>
      <c r="I5" s="467"/>
      <c r="J5" s="467"/>
      <c r="K5" s="1693">
        <f>SUM(C5:J5)</f>
        <v>549547</v>
      </c>
      <c r="L5" s="466">
        <v>680850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34604</v>
      </c>
      <c r="D8" s="466">
        <v>4269</v>
      </c>
      <c r="E8" s="466"/>
      <c r="F8" s="466"/>
      <c r="G8" s="466"/>
      <c r="H8" s="466"/>
      <c r="I8" s="467"/>
      <c r="J8" s="467"/>
      <c r="K8" s="1693">
        <f t="shared" si="0"/>
        <v>38873</v>
      </c>
      <c r="L8" s="466">
        <v>93500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16079</v>
      </c>
      <c r="D10" s="466"/>
      <c r="E10" s="466">
        <v>500</v>
      </c>
      <c r="F10" s="466"/>
      <c r="G10" s="466"/>
      <c r="H10" s="466"/>
      <c r="I10" s="467"/>
      <c r="J10" s="467"/>
      <c r="K10" s="1693">
        <f t="shared" si="0"/>
        <v>16579</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f>1767+7321</f>
        <v>9088</v>
      </c>
      <c r="G13" s="466"/>
      <c r="H13" s="466"/>
      <c r="I13" s="467"/>
      <c r="J13" s="467"/>
      <c r="K13" s="1693">
        <f t="shared" si="0"/>
        <v>9088</v>
      </c>
      <c r="L13" s="466"/>
    </row>
    <row r="14" spans="1:14" x14ac:dyDescent="0.2">
      <c r="A14" s="1526" t="s">
        <v>1020</v>
      </c>
      <c r="B14" s="615">
        <v>1500</v>
      </c>
      <c r="C14" s="466">
        <v>3350</v>
      </c>
      <c r="D14" s="466"/>
      <c r="E14" s="466"/>
      <c r="F14" s="466"/>
      <c r="G14" s="466"/>
      <c r="H14" s="466"/>
      <c r="I14" s="467"/>
      <c r="J14" s="467"/>
      <c r="K14" s="1693">
        <f t="shared" si="0"/>
        <v>3350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496969</v>
      </c>
      <c r="D33" s="1692">
        <f t="shared" ref="D33:L33" si="1">SUM(D5:D32)</f>
        <v>55178</v>
      </c>
      <c r="E33" s="1692">
        <f t="shared" si="1"/>
        <v>32549</v>
      </c>
      <c r="F33" s="1692">
        <f t="shared" si="1"/>
        <v>26287</v>
      </c>
      <c r="G33" s="1692">
        <f t="shared" si="1"/>
        <v>579</v>
      </c>
      <c r="H33" s="1692">
        <f t="shared" si="1"/>
        <v>5875</v>
      </c>
      <c r="I33" s="1692">
        <f t="shared" si="1"/>
        <v>0</v>
      </c>
      <c r="J33" s="1692">
        <f t="shared" si="1"/>
        <v>0</v>
      </c>
      <c r="K33" s="1692">
        <f t="shared" si="1"/>
        <v>617437</v>
      </c>
      <c r="L33" s="1692">
        <f t="shared" si="1"/>
        <v>774350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2165</v>
      </c>
      <c r="F44" s="481">
        <v>23</v>
      </c>
      <c r="G44" s="481"/>
      <c r="H44" s="481"/>
      <c r="I44" s="467"/>
      <c r="J44" s="467"/>
      <c r="K44" s="1694">
        <f>SUM(C44:J44)</f>
        <v>2188</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2165</v>
      </c>
      <c r="F47" s="1692">
        <f t="shared" si="4"/>
        <v>23</v>
      </c>
      <c r="G47" s="1692">
        <f t="shared" si="4"/>
        <v>0</v>
      </c>
      <c r="H47" s="1692">
        <f t="shared" si="4"/>
        <v>0</v>
      </c>
      <c r="I47" s="1692">
        <f t="shared" si="4"/>
        <v>0</v>
      </c>
      <c r="J47" s="1692">
        <f t="shared" si="4"/>
        <v>0</v>
      </c>
      <c r="K47" s="1692">
        <f t="shared" si="4"/>
        <v>2188</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2624</v>
      </c>
      <c r="F49" s="481"/>
      <c r="G49" s="481"/>
      <c r="H49" s="481"/>
      <c r="I49" s="467"/>
      <c r="J49" s="467"/>
      <c r="K49" s="1694">
        <f>SUM(C49:J49)</f>
        <v>2624</v>
      </c>
      <c r="L49" s="481"/>
    </row>
    <row r="50" spans="1:14" x14ac:dyDescent="0.2">
      <c r="A50" s="1526" t="s">
        <v>872</v>
      </c>
      <c r="B50" s="615">
        <v>2320</v>
      </c>
      <c r="C50" s="466">
        <v>94290</v>
      </c>
      <c r="D50" s="466">
        <v>4440</v>
      </c>
      <c r="E50" s="466">
        <f>5961+1929</f>
        <v>7890</v>
      </c>
      <c r="F50" s="466"/>
      <c r="G50" s="466"/>
      <c r="H50" s="466">
        <v>2672</v>
      </c>
      <c r="I50" s="467"/>
      <c r="J50" s="467"/>
      <c r="K50" s="1694">
        <f>SUM(C50:J50)</f>
        <v>109292</v>
      </c>
      <c r="L50" s="466">
        <v>101900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94290</v>
      </c>
      <c r="D53" s="1692">
        <f t="shared" ref="D53:L53" si="5">SUM(D49:D52)</f>
        <v>4440</v>
      </c>
      <c r="E53" s="1692">
        <f t="shared" si="5"/>
        <v>10514</v>
      </c>
      <c r="F53" s="1692">
        <f t="shared" si="5"/>
        <v>0</v>
      </c>
      <c r="G53" s="1692">
        <f t="shared" si="5"/>
        <v>0</v>
      </c>
      <c r="H53" s="1692">
        <f t="shared" si="5"/>
        <v>2672</v>
      </c>
      <c r="I53" s="1692">
        <f t="shared" si="5"/>
        <v>0</v>
      </c>
      <c r="J53" s="1692">
        <f t="shared" si="5"/>
        <v>0</v>
      </c>
      <c r="K53" s="1692">
        <f t="shared" si="5"/>
        <v>111916</v>
      </c>
      <c r="L53" s="1692">
        <f t="shared" si="5"/>
        <v>101900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23899+18818</f>
        <v>42717</v>
      </c>
      <c r="D55" s="481">
        <f>1149+1277</f>
        <v>2426</v>
      </c>
      <c r="E55" s="481"/>
      <c r="F55" s="481"/>
      <c r="G55" s="481"/>
      <c r="H55" s="481"/>
      <c r="I55" s="467"/>
      <c r="J55" s="467"/>
      <c r="K55" s="1694">
        <f>SUM(C55:J55)</f>
        <v>45143</v>
      </c>
      <c r="L55" s="481">
        <v>68700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42717</v>
      </c>
      <c r="D57" s="1696">
        <f t="shared" ref="D57:K57" si="6">SUM(D55:D56)</f>
        <v>2426</v>
      </c>
      <c r="E57" s="1696">
        <f t="shared" si="6"/>
        <v>0</v>
      </c>
      <c r="F57" s="1696">
        <f t="shared" si="6"/>
        <v>0</v>
      </c>
      <c r="G57" s="1696">
        <f t="shared" si="6"/>
        <v>0</v>
      </c>
      <c r="H57" s="1696">
        <f t="shared" si="6"/>
        <v>0</v>
      </c>
      <c r="I57" s="1696">
        <f t="shared" si="6"/>
        <v>0</v>
      </c>
      <c r="J57" s="1696">
        <f t="shared" si="6"/>
        <v>0</v>
      </c>
      <c r="K57" s="1696">
        <f t="shared" si="6"/>
        <v>45143</v>
      </c>
      <c r="L57" s="1692">
        <f>SUM(L55:L56)</f>
        <v>68700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17460</v>
      </c>
      <c r="F60" s="466"/>
      <c r="G60" s="466"/>
      <c r="H60" s="466"/>
      <c r="I60" s="467"/>
      <c r="J60" s="467"/>
      <c r="K60" s="1694">
        <f t="shared" si="7"/>
        <v>17460</v>
      </c>
      <c r="L60" s="466">
        <v>17700</v>
      </c>
      <c r="M60" s="610"/>
      <c r="N60" s="610"/>
    </row>
    <row r="61" spans="1:14" s="343" customFormat="1" x14ac:dyDescent="0.2">
      <c r="A61" s="1526" t="s">
        <v>206</v>
      </c>
      <c r="B61" s="615">
        <v>2540</v>
      </c>
      <c r="C61" s="466">
        <v>128</v>
      </c>
      <c r="D61" s="466"/>
      <c r="E61" s="466"/>
      <c r="F61" s="466"/>
      <c r="G61" s="466"/>
      <c r="H61" s="466"/>
      <c r="I61" s="467"/>
      <c r="J61" s="467"/>
      <c r="K61" s="1694">
        <f t="shared" si="7"/>
        <v>128</v>
      </c>
      <c r="L61" s="466">
        <v>14000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1522</v>
      </c>
      <c r="D63" s="466"/>
      <c r="E63" s="466"/>
      <c r="F63" s="466">
        <v>21666</v>
      </c>
      <c r="G63" s="466"/>
      <c r="H63" s="466"/>
      <c r="I63" s="467"/>
      <c r="J63" s="467"/>
      <c r="K63" s="1694">
        <f t="shared" si="7"/>
        <v>23188</v>
      </c>
      <c r="L63" s="466">
        <v>4000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1650</v>
      </c>
      <c r="D65" s="1692">
        <f t="shared" ref="D65:L65" si="8">SUM(D59:D64)</f>
        <v>0</v>
      </c>
      <c r="E65" s="1692">
        <f t="shared" si="8"/>
        <v>17460</v>
      </c>
      <c r="F65" s="1692">
        <f t="shared" si="8"/>
        <v>21666</v>
      </c>
      <c r="G65" s="1692">
        <f t="shared" si="8"/>
        <v>0</v>
      </c>
      <c r="H65" s="1692">
        <f t="shared" si="8"/>
        <v>0</v>
      </c>
      <c r="I65" s="1692">
        <f t="shared" si="8"/>
        <v>0</v>
      </c>
      <c r="J65" s="1692">
        <f t="shared" si="8"/>
        <v>0</v>
      </c>
      <c r="K65" s="1692">
        <f t="shared" si="8"/>
        <v>40776</v>
      </c>
      <c r="L65" s="1692">
        <f t="shared" si="8"/>
        <v>35700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138657</v>
      </c>
      <c r="D74" s="1699">
        <f t="shared" ref="D74:K74" si="10">SUM(D42,D47,D53,D57,D65,D72,D73)</f>
        <v>6866</v>
      </c>
      <c r="E74" s="1699">
        <f t="shared" si="10"/>
        <v>30139</v>
      </c>
      <c r="F74" s="1699">
        <f t="shared" si="10"/>
        <v>21689</v>
      </c>
      <c r="G74" s="1699">
        <f t="shared" si="10"/>
        <v>0</v>
      </c>
      <c r="H74" s="1699">
        <f t="shared" si="10"/>
        <v>2672</v>
      </c>
      <c r="I74" s="1699">
        <f t="shared" si="10"/>
        <v>0</v>
      </c>
      <c r="J74" s="1699">
        <f t="shared" si="10"/>
        <v>0</v>
      </c>
      <c r="K74" s="1699">
        <f t="shared" si="10"/>
        <v>200023</v>
      </c>
      <c r="L74" s="1699">
        <f>SUM(L42,L47,L53,L57,L65,L72,L73)</f>
        <v>206300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27776</v>
      </c>
      <c r="F79" s="617"/>
      <c r="G79" s="617"/>
      <c r="H79" s="466"/>
      <c r="I79" s="477"/>
      <c r="J79" s="477"/>
      <c r="K79" s="1693">
        <f t="shared" si="11"/>
        <v>27776</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18838</v>
      </c>
      <c r="F83" s="617"/>
      <c r="G83" s="617"/>
      <c r="H83" s="466"/>
      <c r="I83" s="477"/>
      <c r="J83" s="477"/>
      <c r="K83" s="1693">
        <f t="shared" si="11"/>
        <v>18838</v>
      </c>
      <c r="L83" s="466"/>
    </row>
    <row r="84" spans="1:12" ht="13.5" thickBot="1" x14ac:dyDescent="0.25">
      <c r="A84" s="1690" t="s">
        <v>1565</v>
      </c>
      <c r="B84" s="1700">
        <v>4100</v>
      </c>
      <c r="C84" s="617"/>
      <c r="D84" s="617"/>
      <c r="E84" s="1692">
        <f>SUM(E78:E83)</f>
        <v>46614</v>
      </c>
      <c r="F84" s="617"/>
      <c r="G84" s="617"/>
      <c r="H84" s="1692">
        <f>SUM(H78:H83)</f>
        <v>0</v>
      </c>
      <c r="I84" s="477"/>
      <c r="J84" s="477"/>
      <c r="K84" s="1692">
        <f>SUM(K78:K83)</f>
        <v>46614</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46614</v>
      </c>
      <c r="F102" s="617"/>
      <c r="G102" s="617"/>
      <c r="H102" s="1699">
        <f>SUM(H84,H92,H100,H101)</f>
        <v>0</v>
      </c>
      <c r="I102" s="477"/>
      <c r="J102" s="477"/>
      <c r="K102" s="1699">
        <f>SUM(K84,K92,K100,K101)</f>
        <v>46614</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3771</v>
      </c>
      <c r="I105" s="468"/>
      <c r="J105" s="468"/>
      <c r="K105" s="1693">
        <f>H105</f>
        <v>3771</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3771</v>
      </c>
      <c r="I110" s="468"/>
      <c r="J110" s="468"/>
      <c r="K110" s="1692">
        <f>SUM(K105:K109)</f>
        <v>3771</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3771</v>
      </c>
      <c r="I112" s="468"/>
      <c r="J112" s="468"/>
      <c r="K112" s="1692">
        <f>SUM(K110:K111)</f>
        <v>3771</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635626</v>
      </c>
      <c r="D114" s="1692">
        <f t="shared" ref="D114:K114" si="13">SUM(D33,D74,D75,D102,D112,D113)</f>
        <v>62044</v>
      </c>
      <c r="E114" s="1692">
        <f t="shared" si="13"/>
        <v>109302</v>
      </c>
      <c r="F114" s="1692">
        <f t="shared" si="13"/>
        <v>47976</v>
      </c>
      <c r="G114" s="1692">
        <f t="shared" si="13"/>
        <v>579</v>
      </c>
      <c r="H114" s="1692">
        <f>SUM(H33,H74,H75,H102,H112,H113)</f>
        <v>12318</v>
      </c>
      <c r="I114" s="1692">
        <f t="shared" si="13"/>
        <v>0</v>
      </c>
      <c r="J114" s="1692">
        <f t="shared" si="13"/>
        <v>0</v>
      </c>
      <c r="K114" s="1692">
        <f t="shared" si="13"/>
        <v>867845</v>
      </c>
      <c r="L114" s="1692">
        <f>SUM(L33,L74,L75,L102,L112,L113)</f>
        <v>980650</v>
      </c>
    </row>
    <row r="115" spans="1:14" ht="13.5" thickTop="1" x14ac:dyDescent="0.2">
      <c r="A115" s="2200" t="s">
        <v>1053</v>
      </c>
      <c r="B115" s="2201"/>
      <c r="C115" s="619"/>
      <c r="D115" s="619"/>
      <c r="E115" s="619"/>
      <c r="F115" s="619"/>
      <c r="G115" s="619"/>
      <c r="H115" s="619"/>
      <c r="I115" s="619"/>
      <c r="J115" s="619"/>
      <c r="K115" s="1706">
        <f>'Revenues 9-14'!C275-'Expenditures 15-22'!K114</f>
        <v>122420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16334</v>
      </c>
      <c r="D124" s="466"/>
      <c r="E124" s="466">
        <v>18715</v>
      </c>
      <c r="F124" s="466">
        <f>5178+28891</f>
        <v>34069</v>
      </c>
      <c r="G124" s="466"/>
      <c r="H124" s="466"/>
      <c r="I124" s="467"/>
      <c r="J124" s="467"/>
      <c r="K124" s="1692">
        <f>SUM(C124:J124)</f>
        <v>69118</v>
      </c>
      <c r="L124" s="466">
        <v>67000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16334</v>
      </c>
      <c r="D127" s="1692">
        <f t="shared" ref="D127:L127" si="14">SUM(D122:D126)</f>
        <v>0</v>
      </c>
      <c r="E127" s="1692">
        <f t="shared" si="14"/>
        <v>18715</v>
      </c>
      <c r="F127" s="1692">
        <f t="shared" si="14"/>
        <v>34069</v>
      </c>
      <c r="G127" s="1692">
        <f t="shared" si="14"/>
        <v>0</v>
      </c>
      <c r="H127" s="1692">
        <f t="shared" si="14"/>
        <v>0</v>
      </c>
      <c r="I127" s="1692">
        <f t="shared" si="14"/>
        <v>0</v>
      </c>
      <c r="J127" s="1692">
        <f t="shared" si="14"/>
        <v>0</v>
      </c>
      <c r="K127" s="1692">
        <f t="shared" si="14"/>
        <v>69118</v>
      </c>
      <c r="L127" s="1692">
        <f t="shared" si="14"/>
        <v>67000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16334</v>
      </c>
      <c r="D129" s="1699">
        <f t="shared" ref="D129:L129" si="15">SUM(D120,D127,D128)</f>
        <v>0</v>
      </c>
      <c r="E129" s="1699">
        <f t="shared" si="15"/>
        <v>18715</v>
      </c>
      <c r="F129" s="1699">
        <f t="shared" si="15"/>
        <v>34069</v>
      </c>
      <c r="G129" s="1699">
        <f t="shared" si="15"/>
        <v>0</v>
      </c>
      <c r="H129" s="1699">
        <f t="shared" si="15"/>
        <v>0</v>
      </c>
      <c r="I129" s="1699">
        <f t="shared" si="15"/>
        <v>0</v>
      </c>
      <c r="J129" s="1699">
        <f t="shared" si="15"/>
        <v>0</v>
      </c>
      <c r="K129" s="1699">
        <f t="shared" si="15"/>
        <v>69118</v>
      </c>
      <c r="L129" s="1699">
        <f t="shared" si="15"/>
        <v>67000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16334</v>
      </c>
      <c r="D151" s="1692">
        <f t="shared" ref="D151:K151" si="16">SUM(D129,D130,D139,D149,D150)</f>
        <v>0</v>
      </c>
      <c r="E151" s="1692">
        <f t="shared" si="16"/>
        <v>18715</v>
      </c>
      <c r="F151" s="1692">
        <f t="shared" si="16"/>
        <v>34069</v>
      </c>
      <c r="G151" s="1692">
        <f t="shared" si="16"/>
        <v>0</v>
      </c>
      <c r="H151" s="1692">
        <f t="shared" si="16"/>
        <v>0</v>
      </c>
      <c r="I151" s="1692">
        <f t="shared" si="16"/>
        <v>0</v>
      </c>
      <c r="J151" s="1692">
        <f t="shared" si="16"/>
        <v>0</v>
      </c>
      <c r="K151" s="1692">
        <f t="shared" si="16"/>
        <v>69118</v>
      </c>
      <c r="L151" s="1692">
        <f>SUM(L129,L130,L139,L149,L150)</f>
        <v>67000</v>
      </c>
    </row>
    <row r="152" spans="1:14" ht="12.75" customHeight="1" thickTop="1" x14ac:dyDescent="0.2">
      <c r="A152" s="2193" t="s">
        <v>1240</v>
      </c>
      <c r="B152" s="2194"/>
      <c r="C152" s="619"/>
      <c r="D152" s="619"/>
      <c r="E152" s="619"/>
      <c r="F152" s="619"/>
      <c r="G152" s="619"/>
      <c r="H152" s="619"/>
      <c r="I152" s="619"/>
      <c r="J152" s="617"/>
      <c r="K152" s="1706">
        <f>'Revenues 9-14'!D275-'Expenditures 15-22'!K151</f>
        <v>8440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8"/>
      <c r="L155" s="1864"/>
      <c r="M155" s="620"/>
      <c r="N155" s="620"/>
    </row>
    <row r="156" spans="1:14" s="621" customFormat="1" ht="15.75" customHeight="1" thickTop="1" x14ac:dyDescent="0.2">
      <c r="A156" s="1845" t="s">
        <v>1957</v>
      </c>
      <c r="B156" s="1846"/>
      <c r="C156" s="617"/>
      <c r="D156" s="617"/>
      <c r="E156" s="617"/>
      <c r="F156" s="617"/>
      <c r="G156" s="617"/>
      <c r="H156" s="1865"/>
      <c r="I156" s="617"/>
      <c r="J156" s="617"/>
      <c r="K156" s="1847"/>
      <c r="L156" s="1865"/>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26074</v>
      </c>
      <c r="I169" s="617"/>
      <c r="J169" s="617"/>
      <c r="K169" s="1693">
        <f>SUM(C169:H169)</f>
        <v>26074</v>
      </c>
      <c r="L169" s="657">
        <v>26200</v>
      </c>
    </row>
    <row r="170" spans="1:14" ht="33.75" customHeight="1" x14ac:dyDescent="0.2">
      <c r="A170" s="670" t="s">
        <v>1769</v>
      </c>
      <c r="B170" s="672" t="s">
        <v>31</v>
      </c>
      <c r="C170" s="617"/>
      <c r="D170" s="617"/>
      <c r="E170" s="617"/>
      <c r="F170" s="617"/>
      <c r="G170" s="617"/>
      <c r="H170" s="569">
        <f>35000+30790+2495</f>
        <v>68285</v>
      </c>
      <c r="I170" s="617"/>
      <c r="J170" s="617"/>
      <c r="K170" s="1693">
        <f>SUM(C170:J170)</f>
        <v>68285</v>
      </c>
      <c r="L170" s="569">
        <v>63300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94359</v>
      </c>
      <c r="I172" s="639"/>
      <c r="J172" s="617"/>
      <c r="K172" s="1699">
        <f>SUM(K168,K169,K170,K171)</f>
        <v>94359</v>
      </c>
      <c r="L172" s="1699">
        <f>SUM(L168,L169,L170,L171)</f>
        <v>89500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94359</v>
      </c>
      <c r="I174" s="639"/>
      <c r="J174" s="617"/>
      <c r="K174" s="1699">
        <f>SUM(K160,K172,K173)</f>
        <v>94359</v>
      </c>
      <c r="L174" s="1699">
        <f>SUM(L160,L172,L173)</f>
        <v>89500</v>
      </c>
    </row>
    <row r="175" spans="1:14" ht="13.5" thickTop="1" x14ac:dyDescent="0.2">
      <c r="A175" s="2200" t="s">
        <v>1053</v>
      </c>
      <c r="B175" s="2201"/>
      <c r="C175" s="617"/>
      <c r="D175" s="617"/>
      <c r="E175" s="617"/>
      <c r="F175" s="617"/>
      <c r="G175" s="617"/>
      <c r="H175" s="619"/>
      <c r="I175" s="617"/>
      <c r="J175" s="617"/>
      <c r="K175" s="1706">
        <f>'Revenues 9-14'!E275-'Expenditures 15-22'!K174</f>
        <v>-28255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7167</v>
      </c>
      <c r="D182" s="466">
        <v>68</v>
      </c>
      <c r="E182" s="466">
        <v>14530</v>
      </c>
      <c r="F182" s="466">
        <v>3080</v>
      </c>
      <c r="G182" s="466"/>
      <c r="H182" s="466"/>
      <c r="I182" s="467"/>
      <c r="J182" s="467"/>
      <c r="K182" s="1693">
        <f>SUM(C182:J182)</f>
        <v>24845</v>
      </c>
      <c r="L182" s="466">
        <v>28800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7167</v>
      </c>
      <c r="D184" s="1699">
        <f t="shared" ref="D184:J184" si="17">SUM(D180,D182,D183)</f>
        <v>68</v>
      </c>
      <c r="E184" s="1699">
        <f t="shared" si="17"/>
        <v>14530</v>
      </c>
      <c r="F184" s="1699">
        <f t="shared" si="17"/>
        <v>3080</v>
      </c>
      <c r="G184" s="1699">
        <f t="shared" si="17"/>
        <v>0</v>
      </c>
      <c r="H184" s="1699">
        <f t="shared" si="17"/>
        <v>0</v>
      </c>
      <c r="I184" s="1699">
        <f t="shared" si="17"/>
        <v>0</v>
      </c>
      <c r="J184" s="1699">
        <f t="shared" si="17"/>
        <v>0</v>
      </c>
      <c r="K184" s="1699">
        <f>SUM(K180,K182,K183)</f>
        <v>24845</v>
      </c>
      <c r="L184" s="1699">
        <f>SUM(L180, L182:L183)</f>
        <v>28800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v>1500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v>5871</v>
      </c>
      <c r="I193" s="477"/>
      <c r="J193" s="617"/>
      <c r="K193" s="1693">
        <f t="shared" si="18"/>
        <v>5871</v>
      </c>
      <c r="L193" s="466"/>
    </row>
    <row r="194" spans="1:14" ht="12.75" customHeight="1" thickBot="1" x14ac:dyDescent="0.25">
      <c r="A194" s="1690" t="s">
        <v>1202</v>
      </c>
      <c r="B194" s="1691" t="s">
        <v>580</v>
      </c>
      <c r="C194" s="617"/>
      <c r="D194" s="617"/>
      <c r="E194" s="1692">
        <f>SUM(E188:E193)</f>
        <v>0</v>
      </c>
      <c r="F194" s="617"/>
      <c r="G194" s="617"/>
      <c r="H194" s="1692">
        <f>SUM(H188:H193)</f>
        <v>5871</v>
      </c>
      <c r="I194" s="477"/>
      <c r="J194" s="617"/>
      <c r="K194" s="1692">
        <f>SUM(K188:K193)</f>
        <v>5871</v>
      </c>
      <c r="L194" s="1692">
        <f>SUM(L188:L193)</f>
        <v>1500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5871</v>
      </c>
      <c r="I196" s="477"/>
      <c r="J196" s="617"/>
      <c r="K196" s="1699">
        <f>SUM(K194,K195)</f>
        <v>5871</v>
      </c>
      <c r="L196" s="1699">
        <f>SUM(L194,L195)</f>
        <v>1500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7167</v>
      </c>
      <c r="D210" s="1692">
        <f>SUM(D184,D185)</f>
        <v>68</v>
      </c>
      <c r="E210" s="1692">
        <f>SUM(E184,E185,E196)</f>
        <v>14530</v>
      </c>
      <c r="F210" s="1692">
        <f>SUM(F184,F185)</f>
        <v>3080</v>
      </c>
      <c r="G210" s="1692">
        <f>SUM(G184,G185)</f>
        <v>0</v>
      </c>
      <c r="H210" s="1692">
        <f>SUM(H184,H185,H196,H208,H209)</f>
        <v>5871</v>
      </c>
      <c r="I210" s="1692">
        <f>SUM(I184,I185)</f>
        <v>0</v>
      </c>
      <c r="J210" s="1692">
        <f>SUM(J184,J185)</f>
        <v>0</v>
      </c>
      <c r="K210" s="1693">
        <f>SUM(K184,K185,K196,K208,K209)</f>
        <v>30716</v>
      </c>
      <c r="L210" s="1692">
        <f>SUM(L184,L185,L196,L208,L209)</f>
        <v>30300</v>
      </c>
    </row>
    <row r="211" spans="1:14" ht="13.5" thickTop="1" x14ac:dyDescent="0.2">
      <c r="A211" s="2200" t="s">
        <v>1053</v>
      </c>
      <c r="B211" s="2201"/>
      <c r="C211" s="619"/>
      <c r="D211" s="619"/>
      <c r="E211" s="619"/>
      <c r="F211" s="619"/>
      <c r="G211" s="619"/>
      <c r="H211" s="619"/>
      <c r="I211" s="617"/>
      <c r="J211" s="617"/>
      <c r="K211" s="1706">
        <f>'Revenues 9-14'!F275-'Expenditures 15-22'!K210</f>
        <v>10381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5255+9504</f>
        <v>14759</v>
      </c>
      <c r="E215" s="617"/>
      <c r="F215" s="617"/>
      <c r="G215" s="617"/>
      <c r="H215" s="617"/>
      <c r="I215" s="617"/>
      <c r="J215" s="617"/>
      <c r="K215" s="1693">
        <f>D215</f>
        <v>14759</v>
      </c>
      <c r="L215" s="466">
        <v>32000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642</v>
      </c>
      <c r="E217" s="617"/>
      <c r="F217" s="617"/>
      <c r="G217" s="617"/>
      <c r="H217" s="617"/>
      <c r="I217" s="617"/>
      <c r="J217" s="617"/>
      <c r="K217" s="1693">
        <f t="shared" si="19"/>
        <v>642</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15401</v>
      </c>
      <c r="E229" s="617"/>
      <c r="F229" s="617"/>
      <c r="G229" s="617"/>
      <c r="H229" s="617"/>
      <c r="I229" s="617"/>
      <c r="J229" s="617"/>
      <c r="K229" s="1692">
        <f>SUM(K215:K228)</f>
        <v>15401</v>
      </c>
      <c r="L229" s="1692">
        <f>SUM(L215:L228)</f>
        <v>32000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f>6700+6158</f>
        <v>12858</v>
      </c>
      <c r="E246" s="617"/>
      <c r="F246" s="617"/>
      <c r="G246" s="617"/>
      <c r="H246" s="617"/>
      <c r="I246" s="617"/>
      <c r="J246" s="617"/>
      <c r="K246" s="1694">
        <f t="shared" ref="K246:K256" si="21">D246</f>
        <v>12858</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12858</v>
      </c>
      <c r="E257" s="617"/>
      <c r="F257" s="617"/>
      <c r="G257" s="617"/>
      <c r="H257" s="617"/>
      <c r="I257" s="617"/>
      <c r="J257" s="617"/>
      <c r="K257" s="1692">
        <f>SUM(K245:K256)</f>
        <v>12858</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1552+2086</f>
        <v>3638</v>
      </c>
      <c r="E266" s="617"/>
      <c r="F266" s="617"/>
      <c r="G266" s="617"/>
      <c r="H266" s="617"/>
      <c r="I266" s="617"/>
      <c r="J266" s="617"/>
      <c r="K266" s="1694">
        <f t="shared" si="22"/>
        <v>3638</v>
      </c>
      <c r="L266" s="466"/>
    </row>
    <row r="267" spans="1:14" x14ac:dyDescent="0.2">
      <c r="A267" s="1526" t="s">
        <v>1010</v>
      </c>
      <c r="B267" s="615">
        <v>2550</v>
      </c>
      <c r="C267" s="617"/>
      <c r="D267" s="466">
        <f>2013+1084</f>
        <v>3097</v>
      </c>
      <c r="E267" s="617"/>
      <c r="F267" s="617"/>
      <c r="G267" s="617"/>
      <c r="H267" s="617"/>
      <c r="I267" s="617"/>
      <c r="J267" s="617"/>
      <c r="K267" s="1694">
        <f t="shared" si="22"/>
        <v>3097</v>
      </c>
      <c r="L267" s="466"/>
    </row>
    <row r="268" spans="1:14" x14ac:dyDescent="0.2">
      <c r="A268" s="1526" t="s">
        <v>102</v>
      </c>
      <c r="B268" s="615">
        <v>2560</v>
      </c>
      <c r="C268" s="617"/>
      <c r="D268" s="466">
        <v>422</v>
      </c>
      <c r="E268" s="617"/>
      <c r="F268" s="617"/>
      <c r="G268" s="617"/>
      <c r="H268" s="617"/>
      <c r="I268" s="617"/>
      <c r="J268" s="617"/>
      <c r="K268" s="1694">
        <f t="shared" si="22"/>
        <v>422</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7157</v>
      </c>
      <c r="E270" s="617"/>
      <c r="F270" s="617"/>
      <c r="G270" s="617"/>
      <c r="H270" s="617"/>
      <c r="I270" s="617"/>
      <c r="J270" s="617"/>
      <c r="K270" s="1692">
        <f>SUM(K263:K269)</f>
        <v>7157</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20015</v>
      </c>
      <c r="E279" s="617"/>
      <c r="F279" s="617"/>
      <c r="G279" s="617"/>
      <c r="H279" s="617"/>
      <c r="I279" s="617"/>
      <c r="J279" s="617"/>
      <c r="K279" s="1699">
        <f>SUM(K238,K243,K257,K261,K270,K277,K278)</f>
        <v>20015</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35416</v>
      </c>
      <c r="E295" s="617"/>
      <c r="F295" s="617"/>
      <c r="G295" s="617"/>
      <c r="H295" s="1692">
        <f>H293</f>
        <v>0</v>
      </c>
      <c r="I295" s="617"/>
      <c r="J295" s="617"/>
      <c r="K295" s="1692">
        <f>SUM(K229,K279,K280,K285,K293,K294)</f>
        <v>35416</v>
      </c>
      <c r="L295" s="1692">
        <f>SUM(L229,L279,L280,L285,L293,L294)</f>
        <v>32000</v>
      </c>
    </row>
    <row r="296" spans="1:14" ht="13.5" thickTop="1" x14ac:dyDescent="0.2">
      <c r="A296" s="2200" t="s">
        <v>1053</v>
      </c>
      <c r="B296" s="2201"/>
      <c r="C296" s="617"/>
      <c r="D296" s="619"/>
      <c r="E296" s="617"/>
      <c r="F296" s="617"/>
      <c r="G296" s="617"/>
      <c r="H296" s="688"/>
      <c r="I296" s="617"/>
      <c r="J296" s="617"/>
      <c r="K296" s="1706">
        <f>'Revenues 9-14'!G275-'Expenditures 15-22'!K295</f>
        <v>28209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v>1698</v>
      </c>
      <c r="E321" s="467"/>
      <c r="F321" s="467"/>
      <c r="G321" s="467"/>
      <c r="H321" s="467"/>
      <c r="I321" s="467"/>
      <c r="J321" s="467"/>
      <c r="K321" s="1693">
        <f t="shared" si="24"/>
        <v>1698</v>
      </c>
      <c r="L321" s="467">
        <v>7000</v>
      </c>
      <c r="M321" s="666"/>
      <c r="N321" s="666"/>
    </row>
    <row r="322" spans="1:14" s="675" customFormat="1" x14ac:dyDescent="0.2">
      <c r="A322" s="1541" t="s">
        <v>256</v>
      </c>
      <c r="B322" s="698" t="s">
        <v>302</v>
      </c>
      <c r="C322" s="467"/>
      <c r="D322" s="467"/>
      <c r="E322" s="467">
        <v>15575</v>
      </c>
      <c r="F322" s="467"/>
      <c r="G322" s="467"/>
      <c r="H322" s="467"/>
      <c r="I322" s="467"/>
      <c r="J322" s="467"/>
      <c r="K322" s="1693">
        <f t="shared" si="24"/>
        <v>15575</v>
      </c>
      <c r="L322" s="467">
        <v>18500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114272</v>
      </c>
      <c r="D325" s="467">
        <v>20208</v>
      </c>
      <c r="E325" s="467"/>
      <c r="F325" s="467"/>
      <c r="G325" s="467"/>
      <c r="H325" s="467"/>
      <c r="I325" s="467"/>
      <c r="J325" s="467"/>
      <c r="K325" s="1693">
        <f t="shared" si="24"/>
        <v>134480</v>
      </c>
      <c r="L325" s="467">
        <v>142000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7500</v>
      </c>
      <c r="F327" s="467"/>
      <c r="G327" s="467"/>
      <c r="H327" s="467"/>
      <c r="I327" s="467"/>
      <c r="J327" s="467"/>
      <c r="K327" s="1693">
        <f t="shared" si="24"/>
        <v>7500</v>
      </c>
      <c r="L327" s="467">
        <v>4000</v>
      </c>
      <c r="M327" s="666"/>
      <c r="N327" s="666"/>
    </row>
    <row r="328" spans="1:14" s="675" customFormat="1" x14ac:dyDescent="0.2">
      <c r="A328" s="1542" t="s">
        <v>492</v>
      </c>
      <c r="B328" s="691" t="s">
        <v>1194</v>
      </c>
      <c r="C328" s="474"/>
      <c r="D328" s="474"/>
      <c r="E328" s="474">
        <v>9103</v>
      </c>
      <c r="F328" s="474"/>
      <c r="G328" s="474"/>
      <c r="H328" s="474"/>
      <c r="I328" s="474"/>
      <c r="J328" s="474"/>
      <c r="K328" s="1721">
        <f>SUM(C328:J328)</f>
        <v>9103</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114272</v>
      </c>
      <c r="D330" s="1692">
        <f t="shared" ref="D330:J330" si="25">SUM(D319:D329)</f>
        <v>21906</v>
      </c>
      <c r="E330" s="1692">
        <f t="shared" si="25"/>
        <v>32178</v>
      </c>
      <c r="F330" s="1692">
        <f t="shared" si="25"/>
        <v>0</v>
      </c>
      <c r="G330" s="1692">
        <f t="shared" si="25"/>
        <v>0</v>
      </c>
      <c r="H330" s="1692">
        <f t="shared" si="25"/>
        <v>0</v>
      </c>
      <c r="I330" s="1692">
        <f t="shared" si="25"/>
        <v>0</v>
      </c>
      <c r="J330" s="1692">
        <f t="shared" si="25"/>
        <v>0</v>
      </c>
      <c r="K330" s="1692">
        <f>SUM(K319:K329)</f>
        <v>168356</v>
      </c>
      <c r="L330" s="1692">
        <f>SUM(L319:L329)</f>
        <v>171500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114272</v>
      </c>
      <c r="D342" s="1692">
        <f>SUM(D330)</f>
        <v>21906</v>
      </c>
      <c r="E342" s="1692">
        <f>SUM(E330)</f>
        <v>32178</v>
      </c>
      <c r="F342" s="1692">
        <f>SUM(F330)</f>
        <v>0</v>
      </c>
      <c r="G342" s="1692">
        <f>SUM(G330)</f>
        <v>0</v>
      </c>
      <c r="H342" s="1692">
        <f>SUM(H330,H334,H340)</f>
        <v>0</v>
      </c>
      <c r="I342" s="1692">
        <f>SUM(I330)</f>
        <v>0</v>
      </c>
      <c r="J342" s="1692">
        <f>SUM(J330)</f>
        <v>0</v>
      </c>
      <c r="K342" s="1692">
        <f>SUM(K330,K334,K340)</f>
        <v>168356</v>
      </c>
      <c r="L342" s="1699">
        <f>SUM(L330,L334,L340,L341)</f>
        <v>171500</v>
      </c>
    </row>
    <row r="343" spans="1:14" ht="12.75" customHeight="1" thickTop="1" x14ac:dyDescent="0.2">
      <c r="A343" s="2186" t="s">
        <v>1053</v>
      </c>
      <c r="B343" s="2187"/>
      <c r="C343" s="617"/>
      <c r="D343" s="617"/>
      <c r="E343" s="617"/>
      <c r="F343" s="617"/>
      <c r="G343" s="617"/>
      <c r="H343" s="617"/>
      <c r="I343" s="617"/>
      <c r="J343" s="617"/>
      <c r="K343" s="1706">
        <f>'Revenues 9-14'!J275-'Expenditures 15-22'!K342</f>
        <v>-2916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v>18845</v>
      </c>
      <c r="H349" s="466"/>
      <c r="I349" s="467"/>
      <c r="J349" s="467"/>
      <c r="K349" s="1693">
        <f>SUM(C349:J349)</f>
        <v>18845</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18845</v>
      </c>
      <c r="H350" s="1692">
        <f t="shared" si="26"/>
        <v>0</v>
      </c>
      <c r="I350" s="1692">
        <f t="shared" si="26"/>
        <v>0</v>
      </c>
      <c r="J350" s="1692">
        <f t="shared" si="26"/>
        <v>0</v>
      </c>
      <c r="K350" s="1692">
        <f t="shared" si="26"/>
        <v>18845</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18845</v>
      </c>
      <c r="H352" s="1692">
        <f t="shared" si="27"/>
        <v>0</v>
      </c>
      <c r="I352" s="1692">
        <f t="shared" si="27"/>
        <v>0</v>
      </c>
      <c r="J352" s="1692">
        <f t="shared" si="27"/>
        <v>0</v>
      </c>
      <c r="K352" s="1692">
        <f t="shared" si="27"/>
        <v>18845</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18845</v>
      </c>
      <c r="H367" s="1692">
        <f t="shared" si="28"/>
        <v>0</v>
      </c>
      <c r="I367" s="1692">
        <f t="shared" si="28"/>
        <v>0</v>
      </c>
      <c r="J367" s="1692">
        <f t="shared" si="28"/>
        <v>0</v>
      </c>
      <c r="K367" s="1692">
        <f t="shared" si="28"/>
        <v>18845</v>
      </c>
      <c r="L367" s="1692">
        <f t="shared" si="28"/>
        <v>0</v>
      </c>
    </row>
    <row r="368" spans="1:14" ht="13.5" thickTop="1" x14ac:dyDescent="0.2">
      <c r="A368" s="2200" t="s">
        <v>1053</v>
      </c>
      <c r="B368" s="2201"/>
      <c r="C368" s="655"/>
      <c r="D368" s="655"/>
      <c r="E368" s="627"/>
      <c r="F368" s="627"/>
      <c r="G368" s="627"/>
      <c r="H368" s="627"/>
      <c r="I368" s="627"/>
      <c r="J368" s="624"/>
      <c r="K368" s="1693">
        <f>'Revenues 9-14'!K275-'Expenditures 15-22'!K367</f>
        <v>-9216</v>
      </c>
      <c r="L368" s="655"/>
    </row>
  </sheetData>
  <sheetProtection algorithmName="SHA-512" hashValue="rmqUtPKyfrEM2OT/DAnQzHsnqRjG7U61BUuQsArCQNL5T8WjWmnkpTFp5VcscE7zMqZE2GmXqLoiJOE9p4LOgA==" saltValue="HDp4VHD9n+MlTwj8udeCE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FC8732-B5A4-4FA0-A043-A5337E94E6A4}">
  <ds:schemaRefs>
    <ds:schemaRef ds:uri="d21dc803-237d-4c68-8692-8d731fd29118"/>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 ds:uri="6ce3111e-7420-4802-b50a-75d4e9a0b980"/>
    <ds:schemaRef ds:uri="http://www.w3.org/XML/1998/namespace"/>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0920CD-3DEE-4A31-A47D-EFBEC443C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2018-11-15T21:40:45Z</cp:lastPrinted>
  <dcterms:created xsi:type="dcterms:W3CDTF">2003-10-29T19:06:34Z</dcterms:created>
  <dcterms:modified xsi:type="dcterms:W3CDTF">2018-11-29T19:54:12Z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