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8800" windowHeight="1242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SEFA'!$B$1:$M$46</definedName>
    <definedName name="_xlnm.Print_Area" localSheetId="28">'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E23" i="181"/>
  <c r="F23" i="181" s="1"/>
  <c r="G23" i="181" s="1"/>
  <c r="F22" i="181"/>
  <c r="G22" i="181" s="1"/>
  <c r="E22" i="181"/>
  <c r="F21" i="181"/>
  <c r="G21" i="181" s="1"/>
  <c r="E21" i="181"/>
  <c r="F20" i="181"/>
  <c r="G20" i="181" s="1"/>
  <c r="E20" i="18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B2" i="174"/>
  <c r="E34" i="173"/>
  <c r="A4" i="173"/>
  <c r="A2"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7"/>
  <c r="B2" i="179" l="1"/>
  <c r="B2" i="18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c r="D1797" i="106" s="1"/>
  <c r="D1798" i="106"/>
  <c r="F9" i="7"/>
  <c r="B1799" i="106" s="1"/>
  <c r="D1799" i="106" s="1"/>
  <c r="F11" i="7"/>
  <c r="B1800" i="106" s="1"/>
  <c r="D1800" i="106"/>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c r="B5116" i="106"/>
  <c r="D5116" i="106" s="1"/>
  <c r="B5117" i="106"/>
  <c r="D5117" i="106" s="1"/>
  <c r="B5118" i="106"/>
  <c r="D5118" i="106" s="1"/>
  <c r="B5119" i="106"/>
  <c r="D5119" i="106" s="1"/>
  <c r="B5122" i="106"/>
  <c r="D5122" i="106"/>
  <c r="B5123" i="106"/>
  <c r="D5123" i="106"/>
  <c r="B5124" i="106"/>
  <c r="D5124" i="106"/>
  <c r="B5126" i="106"/>
  <c r="D5126" i="106" s="1"/>
  <c r="B5127" i="106"/>
  <c r="D5127" i="106" s="1"/>
  <c r="D5128" i="106"/>
  <c r="D5129" i="106"/>
  <c r="D5130" i="106"/>
  <c r="D5131" i="106"/>
  <c r="B5133" i="106"/>
  <c r="D5133" i="106" s="1"/>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c r="B6300" i="106"/>
  <c r="D6300" i="106"/>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2" i="36"/>
  <c r="D54" i="36"/>
  <c r="D68" i="36"/>
  <c r="D71" i="36"/>
  <c r="D72" i="36"/>
  <c r="D79" i="36"/>
  <c r="B64" i="127"/>
  <c r="B65" i="127"/>
  <c r="D26" i="108"/>
  <c r="E26" i="108"/>
  <c r="F26" i="108"/>
  <c r="G26" i="108"/>
  <c r="D27" i="108"/>
  <c r="E27" i="108"/>
  <c r="F27" i="108"/>
  <c r="G27"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F136" i="34"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F13" i="4"/>
  <c r="B2596" i="106" s="1"/>
  <c r="D2596" i="106" s="1"/>
  <c r="C14" i="4"/>
  <c r="B2558" i="106" s="1"/>
  <c r="D2558" i="106" s="1"/>
  <c r="D14" i="4"/>
  <c r="B2570" i="106" s="1"/>
  <c r="D2570" i="106" s="1"/>
  <c r="F14" i="4"/>
  <c r="B2597" i="106" s="1"/>
  <c r="D2597" i="106" s="1"/>
  <c r="B2633" i="106"/>
  <c r="D2633" i="106" s="1"/>
  <c r="D7" i="118"/>
  <c r="D8" i="118"/>
  <c r="D9" i="118"/>
  <c r="H14" i="118"/>
  <c r="H19" i="118"/>
  <c r="H24" i="118"/>
  <c r="H28" i="118"/>
  <c r="H29" i="118"/>
  <c r="K28" i="118" s="1"/>
  <c r="O27" i="118" s="1"/>
  <c r="O29" i="118" s="1"/>
  <c r="D22" i="37"/>
  <c r="H22" i="37"/>
  <c r="J22" i="37"/>
  <c r="L22" i="37"/>
  <c r="D24" i="37"/>
  <c r="B4270" i="106" s="1"/>
  <c r="D4270" i="106" s="1"/>
  <c r="L5" i="11"/>
  <c r="B2056" i="106" s="1"/>
  <c r="D2056" i="106" s="1"/>
  <c r="D4" i="7"/>
  <c r="B1760" i="106" s="1"/>
  <c r="D1760" i="106" s="1"/>
  <c r="D5" i="7"/>
  <c r="B1761" i="106" s="1"/>
  <c r="D1761" i="106" s="1"/>
  <c r="D9" i="7"/>
  <c r="B1767" i="106" s="1"/>
  <c r="D1767" i="106" s="1"/>
  <c r="F131" i="34"/>
  <c r="F128" i="34"/>
  <c r="F127" i="34"/>
  <c r="F111" i="34"/>
  <c r="B5752" i="106"/>
  <c r="D5752" i="106" s="1"/>
  <c r="B5599" i="106"/>
  <c r="D5599" i="106" s="1"/>
  <c r="H173" i="5"/>
  <c r="B5906" i="106" s="1"/>
  <c r="D5906" i="106" s="1"/>
  <c r="D109" i="5"/>
  <c r="B5356" i="106" s="1"/>
  <c r="D5356" i="106" s="1"/>
  <c r="B1746" i="106"/>
  <c r="D1746" i="106" s="1"/>
  <c r="D17" i="7"/>
  <c r="B4104" i="106" s="1"/>
  <c r="D4104" i="106" s="1"/>
  <c r="D12" i="7"/>
  <c r="B1769" i="106" s="1"/>
  <c r="D1769" i="106" s="1"/>
  <c r="D11" i="7"/>
  <c r="B1768" i="106" s="1"/>
  <c r="D1768" i="106" s="1"/>
  <c r="K173" i="5" l="1"/>
  <c r="K6" i="4" s="1"/>
  <c r="B3570" i="106" s="1"/>
  <c r="D3570" i="106" s="1"/>
  <c r="D15" i="7"/>
  <c r="B1772" i="106" s="1"/>
  <c r="D1772" i="106" s="1"/>
  <c r="H6" i="4"/>
  <c r="B2656" i="106" s="1"/>
  <c r="D2656" i="106" s="1"/>
  <c r="D7" i="7"/>
  <c r="B1763" i="106" s="1"/>
  <c r="D1763" i="106" s="1"/>
  <c r="H109" i="5"/>
  <c r="B5847" i="106"/>
  <c r="D5847" i="106" s="1"/>
  <c r="F130" i="34"/>
  <c r="D13" i="7"/>
  <c r="B3726" i="106" s="1"/>
  <c r="D3726" i="106" s="1"/>
  <c r="I173" i="5"/>
  <c r="B4216" i="106" s="1"/>
  <c r="D4216" i="106" s="1"/>
  <c r="F172" i="5"/>
  <c r="B5644" i="106" s="1"/>
  <c r="D5644" i="106" s="1"/>
  <c r="L367" i="29"/>
  <c r="D7245" i="106"/>
  <c r="I342" i="29"/>
  <c r="B7222" i="106" s="1"/>
  <c r="D7222" i="106" s="1"/>
  <c r="J77" i="4"/>
  <c r="B6262" i="106" s="1"/>
  <c r="D6262" i="106" s="1"/>
  <c r="B6191" i="106"/>
  <c r="D6191" i="106" s="1"/>
  <c r="J41" i="3"/>
  <c r="B6216" i="106" s="1"/>
  <c r="D6216" i="106" s="1"/>
  <c r="D6103" i="106"/>
  <c r="K350" i="29"/>
  <c r="K76" i="4"/>
  <c r="B3586" i="106" s="1"/>
  <c r="D3586" i="106" s="1"/>
  <c r="K24" i="12"/>
  <c r="B3649" i="106"/>
  <c r="D3649" i="106" s="1"/>
  <c r="G367" i="29"/>
  <c r="B3621" i="106"/>
  <c r="D3621" i="106" s="1"/>
  <c r="C367" i="29"/>
  <c r="F19" i="7"/>
  <c r="B1807" i="106" s="1"/>
  <c r="D1807" i="106" s="1"/>
  <c r="L13" i="11"/>
  <c r="B2060" i="106" s="1"/>
  <c r="D2060" i="106" s="1"/>
  <c r="N22" i="3"/>
  <c r="B283" i="106" s="1"/>
  <c r="D283" i="106" s="1"/>
  <c r="D69" i="36"/>
  <c r="L312" i="29"/>
  <c r="B1410" i="106"/>
  <c r="D1410" i="106" s="1"/>
  <c r="E174" i="29"/>
  <c r="B1309" i="106" s="1"/>
  <c r="D1309" i="106" s="1"/>
  <c r="B1329" i="106"/>
  <c r="D1329" i="106" s="1"/>
  <c r="F61" i="34"/>
  <c r="F28" i="108"/>
  <c r="F41" i="108" s="1"/>
  <c r="G43" i="108" s="1"/>
  <c r="E28" i="108"/>
  <c r="K274" i="5"/>
  <c r="K7" i="4" s="1"/>
  <c r="B3718" i="106" s="1"/>
  <c r="D3718" i="106" s="1"/>
  <c r="B5770" i="106"/>
  <c r="D5770" i="106" s="1"/>
  <c r="C172" i="5"/>
  <c r="B5214" i="106" s="1"/>
  <c r="D5214" i="106" s="1"/>
  <c r="F106" i="34"/>
  <c r="E109" i="5"/>
  <c r="E4" i="4" s="1"/>
  <c r="B2630" i="106" s="1"/>
  <c r="D2630" i="106" s="1"/>
  <c r="C109" i="5"/>
  <c r="B5121" i="106" s="1"/>
  <c r="D5121" i="106" s="1"/>
  <c r="F94" i="34"/>
  <c r="G109" i="5"/>
  <c r="B6024" i="106" s="1"/>
  <c r="D6024" i="106" s="1"/>
  <c r="D4" i="4"/>
  <c r="B2564" i="106" s="1"/>
  <c r="D2564" i="106" s="1"/>
  <c r="D11" i="37"/>
  <c r="B4268" i="106"/>
  <c r="D4268" i="106" s="1"/>
  <c r="H33" i="118"/>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I367" i="29"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D274" i="5"/>
  <c r="B3447" i="106"/>
  <c r="D3447" i="106" s="1"/>
  <c r="B7270" i="106"/>
  <c r="B3670" i="106" l="1"/>
  <c r="D3670" i="106" s="1"/>
  <c r="K352" i="29"/>
  <c r="D19" i="7"/>
  <c r="B1775" i="106" s="1"/>
  <c r="D1775" i="106" s="1"/>
  <c r="B1317" i="106"/>
  <c r="D1317" i="106" s="1"/>
  <c r="N23" i="3"/>
  <c r="B284" i="106" s="1"/>
  <c r="D284" i="106" s="1"/>
  <c r="F173" i="5"/>
  <c r="F6" i="4" s="1"/>
  <c r="B2593" i="106" s="1"/>
  <c r="D2593" i="106" s="1"/>
  <c r="B7733" i="106"/>
  <c r="D7733" i="106" s="1"/>
  <c r="K26" i="12"/>
  <c r="B7743" i="106" s="1"/>
  <c r="D7743" i="106" s="1"/>
  <c r="H367" i="29"/>
  <c r="B3660" i="106" s="1"/>
  <c r="D3660" i="106" s="1"/>
  <c r="B6025" i="106"/>
  <c r="D6025" i="106" s="1"/>
  <c r="H4" i="4"/>
  <c r="L16" i="11"/>
  <c r="B2061" i="106" s="1"/>
  <c r="D2061" i="106" s="1"/>
  <c r="B2031" i="106"/>
  <c r="D2031" i="106" s="1"/>
  <c r="K342" i="29"/>
  <c r="F13" i="34" s="1"/>
  <c r="C114" i="29"/>
  <c r="B757" i="106" s="1"/>
  <c r="D757" i="106" s="1"/>
  <c r="B5653" i="106"/>
  <c r="D5653" i="106" s="1"/>
  <c r="F275" i="5"/>
  <c r="B5720" i="106" s="1"/>
  <c r="D5720" i="106" s="1"/>
  <c r="C173" i="5"/>
  <c r="B5223" i="106" s="1"/>
  <c r="D5223" i="106" s="1"/>
  <c r="C4" i="4"/>
  <c r="B2551" i="106" s="1"/>
  <c r="D2551" i="106" s="1"/>
  <c r="G4" i="4"/>
  <c r="B2603" i="106" s="1"/>
  <c r="D2603"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B5507" i="106"/>
  <c r="D5507" i="106" s="1"/>
  <c r="B7298" i="106"/>
  <c r="B7299" i="106"/>
  <c r="B2655" i="106" l="1"/>
  <c r="D2655" i="106" s="1"/>
  <c r="H8" i="4"/>
  <c r="J8" i="4"/>
  <c r="K13" i="4"/>
  <c r="B3572" i="106" s="1"/>
  <c r="D3572" i="106" s="1"/>
  <c r="B3672" i="106"/>
  <c r="D3672" i="106" s="1"/>
  <c r="K367" i="29"/>
  <c r="K368" i="29" s="1"/>
  <c r="B3681" i="106" s="1"/>
  <c r="D3681" i="106" s="1"/>
  <c r="B1145" i="106"/>
  <c r="D1145" i="106" s="1"/>
  <c r="G41" i="108"/>
  <c r="G44" i="108" s="1"/>
  <c r="G45" i="108" s="1"/>
  <c r="E41" i="108"/>
  <c r="E44" i="108" s="1"/>
  <c r="E45" i="108" s="1"/>
  <c r="C6" i="4"/>
  <c r="B2553" i="106" s="1"/>
  <c r="D2553" i="106" s="1"/>
  <c r="F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B1510" i="106"/>
  <c r="D1510" i="106" s="1"/>
  <c r="K295" i="29"/>
  <c r="F12" i="34" s="1"/>
  <c r="G13"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H10" i="4" l="1"/>
  <c r="B4127" i="106" s="1"/>
  <c r="D4127" i="106" s="1"/>
  <c r="B2658" i="106"/>
  <c r="D2658" i="106" s="1"/>
  <c r="D8" i="4"/>
  <c r="F76" i="34"/>
  <c r="K17" i="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<sst xmlns="http://schemas.openxmlformats.org/spreadsheetml/2006/main" count="5158" uniqueCount="2159">
  <si>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</si>
  <si>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</si>
  <si>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</si>
  <si>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</si>
  <si>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</si>
  <si>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</si>
  <si>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</si>
  <si>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</si>
  <si>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</si>
  <si>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</si>
  <si>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</si>
  <si>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</si>
  <si>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</si>
  <si>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</si>
  <si>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</si>
  <si>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</si>
  <si>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</si>
  <si>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</si>
  <si>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</si>
  <si>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</si>
  <si>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</si>
  <si>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</si>
  <si>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</si>
  <si>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</si>
  <si>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</si>
  <si>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</si>
  <si>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</si>
  <si>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</si>
  <si>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</si>
  <si>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</si>
  <si>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</si>
  <si>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</si>
  <si>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</si>
  <si>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</si>
  <si>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</si>
  <si>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</si>
  <si>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</si>
  <si>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</si>
  <si>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</si>
  <si>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</si>
  <si>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</si>
  <si>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</si>
  <si>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</si>
  <si>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</si>
  <si>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</si>
  <si>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</si>
  <si>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</si>
  <si>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</si>
  <si>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</si>
  <si>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</si>
  <si>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</si>
  <si>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</si>
  <si>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</si>
  <si>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</si>
  <si>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</si>
  <si>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</si>
  <si>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</si>
  <si>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</si>
  <si>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</si>
  <si>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</si>
  <si>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</si>
  <si>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</si>
  <si>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</si>
  <si>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</si>
  <si>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</si>
  <si>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</si>
  <si>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</si>
  <si>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</si>
  <si>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</si>
  <si>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</si>
  <si>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</si>
  <si>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</si>
  <si>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</si>
  <si>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</si>
  <si>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</si>
  <si>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</si>
  <si>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</si>
  <si>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</si>
  <si>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</si>
  <si>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</si>
  <si>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</si>
  <si>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</si>
  <si>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</si>
  <si>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</si>
  <si>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</si>
  <si>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</si>
  <si>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</si>
  <si>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</si>
  <si>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</si>
  <si>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</si>
  <si>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</si>
  <si>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</si>
  <si>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</si>
  <si>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</si>
  <si>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</si>
  <si>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</si>
  <si>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</si>
  <si>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</si>
  <si>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</si>
  <si>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</si>
  <si>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</si>
  <si>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</si>
  <si>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</si>
  <si>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</si>
  <si>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</si>
  <si>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</si>
  <si>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</si>
  <si>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</si>
  <si>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</si>
  <si>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</si>
  <si>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</si>
  <si>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</si>
  <si>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</si>
  <si>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</si>
  <si>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</si>
  <si>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</si>
  <si>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</si>
  <si>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</si>
  <si>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</si>
  <si>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</si>
  <si>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</si>
  <si>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</si>
  <si>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</si>
  <si>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</si>
  <si>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</si>
  <si>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</si>
  <si>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</si>
  <si>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</si>
  <si>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</si>
  <si>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</si>
  <si>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</si>
  <si>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</si>
  <si>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</si>
  <si>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</si>
  <si>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</si>
  <si>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</si>
  <si>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</si>
  <si>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</si>
  <si>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</si>
  <si>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</si>
  <si>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</si>
  <si>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</si>
  <si>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</si>
  <si>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</si>
  <si>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</si>
  <si>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</si>
  <si>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</si>
  <si>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</si>
  <si>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</si>
  <si>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</si>
  <si>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</si>
  <si>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</si>
  <si>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</si>
  <si>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</si>
  <si>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</si>
  <si>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</si>
  <si>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</si>
  <si>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</si>
  <si>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</si>
  <si>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</si>
  <si>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</si>
  <si>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</si>
  <si>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</si>
  <si>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</si>
  <si>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</si>
  <si>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</si>
  <si>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</si>
  <si>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</si>
  <si>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</si>
  <si>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</si>
  <si>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</si>
  <si>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</si>
  <si>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</si>
  <si>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</si>
  <si>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</si>
  <si>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</si>
  <si>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</si>
  <si>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</si>
  <si>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</si>
  <si>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</si>
  <si>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</si>
  <si>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</si>
  <si>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</si>
  <si>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</si>
  <si>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</si>
  <si>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</si>
  <si>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</si>
  <si>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</si>
  <si>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</si>
  <si>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</si>
  <si>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</si>
  <si>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</si>
  <si>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</si>
  <si>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</si>
  <si>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</si>
  <si>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</si>
  <si>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</si>
  <si>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</si>
  <si>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</si>
  <si>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</si>
  <si>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</si>
  <si>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</si>
  <si>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</si>
  <si>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</si>
  <si>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</si>
  <si>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</si>
  <si>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</si>
  <si>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</si>
  <si>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</si>
  <si>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</si>
  <si>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</si>
  <si>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</si>
  <si>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</si>
  <si>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</si>
  <si>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</si>
  <si>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</si>
  <si>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</si>
  <si>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</si>
  <si>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</si>
  <si>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</si>
  <si>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</si>
  <si>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</si>
  <si>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</si>
  <si>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</si>
  <si>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</si>
  <si>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</si>
  <si>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</si>
  <si>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</si>
  <si>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</si>
  <si>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</si>
  <si>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</si>
  <si>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</si>
  <si>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</si>
  <si>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</si>
  <si>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</si>
  <si>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</si>
  <si>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</si>
  <si>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</si>
  <si>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</si>
  <si>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</si>
  <si>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</si>
  <si>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</si>
  <si>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</si>
  <si>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</si>
  <si>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</si>
  <si>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</si>
  <si>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</si>
  <si>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</si>
  <si>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</si>
  <si>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</si>
  <si>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</si>
  <si>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</si>
  <si>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</si>
  <si>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</si>
  <si>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</si>
  <si>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</si>
  <si>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</si>
  <si>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</si>
  <si>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</si>
  <si>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</si>
  <si>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</si>
  <si>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</si>
  <si>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</si>
  <si>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</si>
  <si>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</si>
  <si>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</si>
  <si>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</si>
  <si>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</si>
  <si>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</si>
  <si>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</si>
  <si>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</si>
  <si>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</si>
  <si>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</si>
  <si>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</si>
  <si>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</si>
  <si>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</si>
  <si>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</si>
  <si>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</si>
  <si>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</si>
  <si>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</si>
  <si>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</si>
  <si>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</si>
  <si>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</si>
  <si>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</si>
  <si>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</si>
  <si>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</si>
  <si>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</si>
  <si>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</si>
  <si>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</si>
  <si>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</si>
  <si>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</si>
  <si>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</si>
  <si>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</si>
  <si>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</si>
  <si>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</si>
  <si>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</si>
  <si>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</si>
  <si>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</si>
  <si>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</si>
  <si>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</si>
  <si>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</si>
  <si>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</si>
  <si>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</si>
  <si>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</si>
  <si>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</si>
  <si>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</si>
  <si>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</si>
  <si>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</si>
  <si>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</si>
  <si>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</si>
  <si>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</si>
  <si>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</si>
  <si>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</si>
  <si>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</si>
  <si>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</si>
  <si>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</si>
  <si>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</si>
  <si>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</si>
  <si>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</si>
  <si>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</si>
  <si>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</si>
  <si>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</si>
  <si>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</si>
  <si>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</si>
  <si>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</si>
  <si>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</si>
  <si>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</si>
  <si>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</si>
  <si>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</si>
  <si>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</si>
  <si>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</si>
  <si>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</si>
  <si>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</si>
  <si>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</si>
  <si>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</si>
  <si>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</si>
  <si>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</si>
  <si>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</si>
  <si>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</si>
  <si>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</si>
  <si>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</si>
  <si>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</si>
  <si>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</si>
  <si>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</si>
  <si>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</si>
  <si>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</si>
  <si>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</si>
  <si>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</si>
  <si>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</si>
  <si>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</si>
  <si>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</si>
  <si>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</si>
  <si>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</si>
  <si>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</si>
  <si>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</si>
  <si>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</si>
  <si>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</si>
  <si>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</si>
  <si>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</si>
  <si>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</si>
  <si>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</si>
  <si>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</si>
  <si>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</si>
  <si>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</si>
  <si>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</si>
  <si>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</si>
  <si>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</si>
  <si>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</si>
  <si>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</si>
  <si>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</si>
  <si>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</si>
  <si>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</si>
  <si>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</si>
  <si>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</si>
  <si>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</si>
  <si>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</si>
  <si>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</si>
  <si>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</si>
  <si>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</si>
  <si>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</si>
  <si>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</si>
  <si>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</si>
  <si>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</si>
  <si>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</si>
  <si>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</si>
  <si>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</si>
  <si>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</si>
  <si>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</si>
  <si>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</si>
  <si>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</si>
  <si>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</si>
  <si>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</si>
  <si>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</si>
  <si>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</si>
  <si>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</si>
  <si>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</si>
  <si>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</si>
  <si>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</si>
  <si>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</si>
  <si>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</si>
  <si>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</si>
  <si>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</si>
  <si>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</si>
  <si>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</si>
  <si>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</si>
  <si>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</si>
  <si>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</si>
  <si>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</si>
  <si>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</si>
  <si>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</si>
  <si>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</si>
  <si>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</si>
  <si>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</si>
  <si>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</si>
  <si>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</si>
  <si>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</si>
  <si>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</si>
  <si>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</si>
  <si>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</si>
  <si>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</si>
  <si>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</si>
  <si>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</si>
  <si>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</si>
  <si>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</si>
  <si>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</si>
  <si>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</si>
  <si>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</si>
  <si>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</si>
  <si>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</si>
  <si>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</si>
  <si>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</si>
  <si>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</si>
  <si>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</si>
  <si>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</si>
  <si>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</si>
  <si>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</si>
  <si>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</si>
  <si>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</si>
  <si>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</si>
  <si>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</si>
  <si>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</si>
  <si>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</si>
  <si>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</si>
  <si>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</si>
  <si>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</si>
  <si>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</si>
  <si>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</si>
  <si>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</si>
  <si>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</si>
  <si>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</si>
  <si>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</si>
  <si>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</si>
  <si>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</si>
  <si>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</si>
  <si>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</si>
  <si>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</si>
  <si>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</si>
  <si>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</si>
  <si>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</si>
  <si>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</si>
  <si>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</si>
  <si>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</si>
  <si>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</si>
  <si>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</si>
  <si>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</si>
  <si>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</si>
  <si>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</si>
  <si>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</si>
  <si>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</si>
  <si>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</si>
  <si>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</si>
  <si>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</si>
  <si>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</si>
  <si>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</si>
  <si>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</si>
  <si>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</si>
  <si>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</si>
  <si>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</si>
  <si>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</si>
  <si>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</si>
  <si>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</si>
  <si>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</si>
  <si>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</si>
  <si>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</si>
  <si>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</si>
  <si>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</si>
  <si>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</si>
  <si>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</si>
  <si>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</si>
  <si>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</si>
  <si>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</si>
  <si>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</si>
  <si>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</si>
  <si>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</si>
  <si>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</si>
  <si>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</si>
  <si>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</si>
  <si>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</si>
  <si>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</si>
  <si>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</si>
  <si>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</si>
  <si>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</si>
  <si>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</si>
  <si>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</si>
  <si>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</si>
  <si>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</si>
  <si>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</si>
  <si>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</si>
  <si>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</si>
  <si>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</si>
  <si>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</si>
  <si>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</si>
  <si>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</si>
  <si>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</si>
  <si>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</si>
  <si>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</si>
  <si>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</si>
  <si>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</si>
  <si>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</si>
  <si>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</si>
  <si>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</si>
  <si>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</si>
  <si>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</si>
  <si>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</si>
  <si>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</si>
  <si>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</si>
  <si>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</si>
  <si>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</si>
  <si>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</si>
  <si>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</si>
  <si>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</si>
  <si>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</si>
  <si>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</si>
  <si>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</si>
  <si>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</si>
  <si>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</si>
  <si>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</si>
  <si>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</si>
  <si>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</si>
  <si>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</si>
  <si>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</si>
  <si>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</si>
  <si>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</si>
  <si>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</si>
  <si>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</si>
  <si>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</si>
  <si>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</si>
  <si>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</si>
  <si>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</si>
  <si>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</si>
  <si>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</si>
  <si>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</si>
  <si>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</si>
  <si>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</si>
  <si>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</si>
  <si>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</si>
  <si>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</si>
  <si>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</si>
  <si>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</si>
  <si>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</si>
  <si>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</si>
  <si>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</si>
  <si>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</si>
  <si>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</si>
  <si>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</si>
  <si>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</si>
  <si>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</si>
  <si>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</si>
  <si>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</si>
  <si>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</si>
  <si>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</si>
  <si>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</si>
  <si>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</si>
  <si>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</si>
  <si>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</si>
  <si>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</si>
  <si>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</si>
  <si>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</si>
  <si>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</si>
  <si>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</si>
  <si>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</si>
  <si>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</si>
  <si>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</si>
  <si>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</si>
  <si>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</si>
  <si>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</si>
  <si>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</si>
  <si>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</si>
  <si>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</si>
  <si>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</si>
  <si>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</si>
  <si>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</si>
  <si>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</si>
  <si>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</si>
  <si>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</si>
  <si>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</si>
  <si>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</si>
  <si>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</si>
  <si>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</si>
  <si>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</si>
  <si>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</si>
  <si>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</si>
  <si>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</si>
  <si>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</si>
  <si>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</si>
  <si>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</si>
  <si>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</si>
  <si>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</si>
  <si>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</si>
  <si>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</si>
  <si>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</si>
  <si>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</si>
  <si>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</si>
  <si>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</si>
  <si>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</si>
  <si>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</si>
  <si>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</si>
  <si>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</si>
  <si>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</si>
  <si>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</si>
  <si>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</si>
  <si>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</si>
  <si>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</si>
  <si>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</si>
  <si>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</si>
  <si>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</si>
  <si>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</si>
  <si>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</si>
  <si>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</si>
  <si>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</si>
  <si>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</si>
  <si>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</si>
  <si>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</si>
  <si>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</si>
  <si>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</si>
  <si>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</si>
  <si>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</si>
  <si>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</si>
  <si>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</si>
  <si>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</si>
  <si>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</si>
  <si>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</si>
  <si>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</si>
  <si>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</si>
  <si>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</si>
  <si>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</si>
  <si>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</si>
  <si>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</si>
  <si>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</si>
  <si>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</si>
  <si>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</si>
  <si>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</si>
  <si>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</si>
  <si>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</si>
  <si>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</si>
  <si>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</si>
  <si>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</si>
  <si>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</si>
  <si>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</si>
  <si>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</si>
  <si>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</si>
  <si>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</si>
  <si>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</si>
  <si>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</si>
  <si>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</si>
  <si>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</si>
  <si>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</si>
  <si>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</si>
  <si>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</si>
  <si>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</si>
  <si>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</si>
  <si>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</si>
  <si>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</si>
  <si>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</si>
  <si>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</si>
  <si>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</si>
  <si>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</si>
  <si>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</si>
  <si>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</si>
  <si>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</si>
  <si>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</si>
  <si>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</si>
  <si>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</si>
  <si>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</si>
  <si>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</si>
  <si>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</si>
  <si>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</si>
  <si>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</si>
  <si>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</si>
  <si>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</si>
  <si>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</si>
  <si>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</si>
  <si>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</si>
  <si>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</si>
  <si>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</si>
  <si>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</si>
  <si>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</si>
  <si>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</si>
  <si>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</si>
  <si>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</si>
  <si>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</si>
  <si>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</si>
  <si>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</si>
  <si>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</si>
  <si>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</si>
  <si>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</si>
  <si>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</si>
  <si>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</si>
  <si>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</si>
  <si>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</si>
  <si>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</si>
  <si>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</si>
  <si>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</si>
  <si>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</si>
  <si>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</si>
  <si>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</si>
  <si>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</si>
  <si>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</si>
  <si>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</si>
  <si>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</si>
  <si>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</si>
  <si>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</si>
  <si>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</si>
  <si>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</si>
  <si>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</si>
  <si>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</si>
  <si>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</si>
  <si>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</si>
  <si>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</si>
  <si>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</si>
  <si>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</si>
  <si>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</si>
  <si>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</si>
  <si>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</si>
  <si>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</si>
  <si>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</si>
  <si>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</si>
  <si>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</si>
  <si>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</si>
  <si>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</si>
  <si>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</si>
  <si>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</si>
  <si>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</si>
  <si>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</si>
  <si>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</si>
  <si>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</si>
  <si>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</si>
  <si>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</si>
  <si>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</si>
  <si>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</si>
  <si>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</si>
  <si>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</si>
  <si>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</si>
  <si>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</si>
  <si>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</si>
  <si>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</si>
  <si>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</si>
  <si>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</si>
  <si>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</si>
  <si>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</si>
  <si>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</si>
  <si>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</si>
  <si>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</si>
  <si>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</si>
  <si>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</si>
  <si>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</si>
  <si>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</si>
  <si>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</si>
  <si>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</si>
  <si>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</si>
  <si>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</si>
  <si>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</si>
  <si>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</si>
  <si>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</si>
  <si>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</si>
  <si>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</si>
  <si>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</si>
  <si>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</si>
  <si>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</si>
  <si>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</si>
  <si>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</si>
  <si>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</si>
  <si>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</si>
  <si>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</si>
  <si>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</si>
  <si>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</si>
  <si>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</si>
  <si>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</si>
  <si>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</si>
  <si>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</si>
  <si>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</si>
  <si>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</si>
  <si>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</si>
  <si>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</si>
  <si>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</si>
  <si>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</si>
  <si>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</si>
  <si>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</si>
  <si>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</si>
  <si>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</si>
  <si>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</si>
  <si>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</si>
  <si>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</si>
  <si>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</si>
  <si>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</si>
  <si>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</si>
  <si>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</si>
  <si>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</si>
  <si>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</si>
  <si>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</si>
  <si>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</si>
  <si>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</si>
  <si>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</si>
  <si>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</si>
  <si>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</si>
  <si>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</si>
  <si>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</si>
  <si>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</si>
  <si>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</si>
  <si>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</si>
  <si>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</si>
  <si>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</si>
  <si>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</si>
  <si>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</si>
  <si>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</si>
  <si>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</si>
  <si>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</si>
  <si>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</si>
  <si>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</si>
  <si>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</si>
  <si>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</si>
  <si>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</si>
  <si>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</si>
  <si>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</si>
  <si>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</si>
  <si>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</si>
  <si>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</si>
  <si>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</si>
  <si>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</si>
  <si>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</si>
  <si>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</si>
  <si>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</si>
  <si>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</si>
  <si>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</si>
  <si>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</si>
  <si>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</si>
  <si>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</si>
  <si>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</si>
  <si>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</si>
  <si>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</si>
  <si>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</si>
  <si>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</si>
  <si>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</si>
  <si>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</si>
  <si>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</si>
  <si>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</si>
  <si>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</si>
  <si>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</si>
  <si>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</si>
  <si>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</si>
  <si>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</si>
  <si>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</si>
  <si>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</si>
  <si>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</si>
  <si>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</si>
  <si>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</si>
  <si>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</si>
  <si>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</si>
  <si>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</si>
  <si>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</si>
  <si>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</si>
  <si>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</si>
  <si>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</si>
  <si>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</si>
  <si>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</si>
  <si>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</si>
  <si>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</si>
  <si>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</si>
  <si>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</si>
  <si>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</si>
  <si>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</si>
  <si>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</si>
  <si>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</si>
  <si>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</si>
  <si>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</si>
  <si>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</si>
  <si>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</si>
  <si>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</si>
  <si>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</si>
  <si>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</si>
  <si>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</si>
  <si>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</si>
  <si>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</si>
  <si>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</si>
  <si>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</si>
  <si>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</si>
  <si>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</si>
  <si>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</si>
  <si>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</si>
  <si>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</si>
  <si>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</si>
  <si>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</si>
  <si>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</si>
  <si>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</si>
  <si>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</si>
  <si>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</si>
  <si>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</si>
  <si>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</si>
  <si>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</si>
  <si>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</si>
  <si>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</si>
  <si>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</si>
  <si>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</si>
  <si>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</si>
  <si>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</si>
  <si>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</si>
  <si>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</si>
  <si>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</si>
  <si>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</si>
  <si>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</si>
  <si>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</si>
  <si>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</si>
  <si>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</si>
  <si>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</si>
  <si>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</si>
  <si>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</si>
  <si>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</si>
  <si>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</si>
  <si>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</si>
  <si>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</si>
  <si>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</si>
  <si>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</si>
  <si>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</si>
  <si>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</si>
  <si>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</si>
  <si>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</si>
  <si>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</si>
  <si>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</si>
  <si>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</si>
  <si>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</si>
  <si>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</si>
  <si>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</si>
  <si>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</si>
  <si>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</si>
  <si>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</si>
  <si>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</si>
  <si>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</si>
  <si>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</si>
  <si>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</si>
  <si>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</si>
  <si>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</si>
  <si>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</si>
  <si>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</si>
  <si>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</si>
  <si>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</si>
  <si>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</si>
  <si>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</si>
  <si>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</si>
  <si>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</si>
  <si>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</si>
  <si>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</si>
  <si>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</si>
  <si>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</si>
  <si>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</si>
  <si>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</si>
  <si>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</si>
  <si>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</si>
  <si>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</si>
  <si>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</si>
  <si>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</si>
  <si>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</si>
  <si>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</si>
  <si>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</si>
  <si>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</si>
  <si>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</si>
  <si>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</si>
  <si>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</si>
  <si>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</si>
  <si>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</si>
  <si>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</si>
  <si>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</si>
  <si>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</si>
  <si>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</si>
  <si>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</si>
  <si>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</si>
  <si>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</si>
  <si>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</si>
  <si>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</si>
  <si>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</si>
  <si>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</si>
  <si>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</si>
  <si>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</si>
  <si>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</si>
  <si>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</si>
  <si>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</si>
  <si>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</si>
  <si>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</si>
  <si>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</si>
  <si>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</si>
  <si>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</si>
  <si>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</si>
  <si>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</si>
  <si>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</si>
  <si>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</si>
  <si>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</si>
  <si>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</si>
  <si>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</si>
  <si>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</si>
  <si>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</si>
  <si>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</si>
  <si>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</si>
  <si>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</si>
  <si>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</si>
  <si>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</si>
  <si>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</si>
  <si>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</si>
  <si>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</si>
  <si>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</si>
  <si>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</si>
  <si>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</si>
  <si>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</si>
  <si>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</si>
  <si>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</si>
  <si>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</si>
  <si>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</si>
  <si>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</si>
  <si>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</si>
  <si>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</si>
  <si>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</si>
  <si>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</si>
  <si>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</si>
  <si>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</si>
  <si>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</si>
  <si>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</si>
  <si>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</si>
  <si>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</si>
  <si>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</si>
  <si>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</si>
  <si>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</si>
  <si>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</si>
  <si>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</si>
  <si>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</si>
  <si>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</si>
  <si>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</si>
  <si>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</si>
  <si>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</si>
  <si>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</si>
  <si>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</si>
  <si>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</si>
  <si>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</si>
  <si>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</si>
  <si>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</si>
  <si>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</si>
  <si>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</si>
  <si>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</si>
  <si>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</si>
  <si>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</si>
  <si>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</si>
  <si>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</si>
  <si>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</si>
  <si>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</si>
  <si>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</si>
  <si>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</si>
  <si>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</si>
  <si>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</si>
  <si>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</si>
  <si>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</si>
  <si>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</si>
  <si>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</si>
  <si>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</si>
  <si>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</si>
  <si>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</si>
  <si>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</si>
  <si>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</si>
  <si>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</si>
  <si>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</si>
  <si>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</si>
  <si>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</si>
  <si>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</si>
  <si>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</si>
  <si>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</si>
  <si>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</si>
  <si>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</si>
  <si>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</si>
  <si>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</si>
  <si>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</si>
  <si>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</si>
  <si>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</si>
  <si>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</si>
  <si>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</si>
  <si>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</si>
  <si>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</si>
  <si>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</si>
  <si>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</si>
  <si>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</si>
  <si>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</si>
  <si>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</si>
  <si>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</si>
  <si>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</si>
  <si>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</si>
  <si>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</si>
  <si>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</si>
  <si>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</si>
  <si>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</si>
  <si>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</si>
  <si>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</si>
  <si>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</si>
  <si>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</si>
  <si>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</si>
  <si>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</si>
  <si>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</si>
  <si>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</si>
  <si>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</si>
  <si>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</si>
  <si>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</si>
  <si>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</si>
  <si>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</si>
  <si>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</si>
  <si>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</si>
  <si>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</si>
  <si>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</si>
  <si>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</si>
  <si>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</si>
  <si>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</si>
  <si>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</si>
  <si>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</si>
  <si>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</si>
  <si>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</si>
  <si>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</si>
  <si>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</si>
  <si>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</si>
  <si>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</si>
  <si>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</si>
  <si>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</si>
  <si>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</si>
  <si>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</si>
  <si>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</si>
  <si>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</si>
  <si>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</si>
  <si>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</si>
  <si>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</si>
  <si>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</si>
  <si>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</si>
  <si>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</si>
  <si>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</si>
  <si>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</si>
  <si>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</si>
  <si>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</si>
  <si>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</si>
  <si>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</si>
  <si>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</si>
  <si>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</si>
  <si>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</si>
  <si>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</si>
  <si>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</si>
  <si>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</si>
  <si>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</si>
  <si>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</si>
  <si>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</si>
  <si>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</si>
  <si>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</si>
  <si>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</si>
  <si>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</si>
  <si>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</si>
  <si>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</si>
  <si>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</si>
  <si>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</si>
  <si>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</si>
  <si>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</si>
  <si>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</si>
  <si>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</si>
  <si>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</si>
  <si>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</si>
  <si>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</si>
  <si>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</si>
  <si>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</si>
  <si>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</si>
  <si>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</si>
  <si>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</si>
  <si>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</si>
  <si>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</si>
  <si>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</si>
  <si>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</si>
  <si>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</si>
  <si>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</si>
  <si>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</si>
  <si>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</si>
  <si>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</si>
  <si>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</si>
  <si>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</si>
  <si>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</si>
  <si>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</si>
  <si>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</si>
  <si>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</si>
  <si>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</si>
  <si>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</si>
  <si>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</si>
  <si>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</si>
  <si>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</si>
  <si>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</si>
  <si>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</si>
  <si>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</si>
  <si>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</si>
  <si>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</si>
  <si>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</si>
  <si>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</si>
  <si>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</si>
  <si>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</si>
  <si>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</si>
  <si>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</si>
  <si>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</si>
  <si>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</si>
  <si>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</si>
  <si>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</si>
  <si>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</si>
  <si>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</si>
  <si>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</si>
  <si>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</si>
  <si>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</si>
  <si>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</si>
  <si>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</si>
  <si>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</si>
  <si>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</si>
  <si>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</si>
  <si>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</si>
  <si>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</si>
  <si>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</si>
  <si>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</si>
  <si>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</si>
  <si>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</si>
  <si>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</si>
  <si>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</si>
  <si>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</si>
  <si>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</si>
  <si>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</si>
  <si>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</si>
  <si>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</si>
  <si>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</si>
  <si>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</si>
  <si>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</si>
  <si>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</si>
  <si>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</si>
  <si>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</si>
  <si>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</si>
  <si>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</si>
  <si>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</si>
  <si>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</si>
  <si>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</si>
  <si>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</si>
  <si>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</si>
  <si>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</si>
  <si>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</si>
  <si>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</si>
  <si>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</si>
  <si>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</si>
  <si>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</si>
  <si>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</si>
  <si>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</si>
  <si>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</si>
  <si>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</si>
  <si>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</si>
  <si>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</si>
  <si>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</si>
  <si>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</si>
  <si>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</si>
  <si>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</si>
  <si>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</si>
  <si>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</si>
  <si>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</si>
  <si>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</si>
  <si>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</si>
  <si>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</si>
  <si>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</si>
  <si>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</si>
  <si>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</si>
  <si>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</si>
  <si>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</si>
  <si>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</si>
  <si>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</si>
  <si>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</si>
  <si>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</si>
  <si>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</si>
  <si>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</si>
  <si>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</si>
  <si>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</si>
  <si>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</si>
  <si>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</si>
  <si>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</si>
  <si>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</si>
  <si>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</si>
  <si>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</si>
  <si>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</si>
  <si>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</si>
  <si>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</si>
  <si>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</si>
  <si>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</si>
  <si>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</si>
  <si>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</si>
  <si>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</si>
  <si>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</si>
  <si>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</si>
  <si>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</si>
  <si>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</si>
  <si>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</si>
  <si>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</si>
  <si>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</si>
  <si>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</si>
  <si>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</si>
  <si>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</si>
  <si>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</si>
  <si>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</si>
  <si>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</si>
  <si>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</si>
  <si>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</si>
  <si>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</si>
  <si>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</si>
  <si>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</si>
  <si>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</si>
  <si>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</si>
  <si>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</si>
  <si>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</si>
  <si>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</si>
  <si>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</si>
  <si>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</si>
  <si>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</si>
  <si>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</si>
  <si>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</si>
  <si>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</si>
  <si>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</si>
  <si>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</si>
  <si>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</si>
  <si>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</si>
  <si>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</si>
  <si>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</si>
  <si>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</si>
  <si>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</si>
  <si>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</si>
  <si>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</si>
  <si>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</si>
  <si>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</si>
  <si>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</si>
  <si>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</si>
  <si>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</si>
  <si>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</si>
  <si>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</si>
  <si>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</si>
  <si>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</si>
  <si>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</si>
  <si>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</si>
  <si>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</si>
  <si>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</si>
  <si>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</si>
  <si>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</si>
  <si>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</si>
  <si>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</si>
  <si>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</si>
  <si>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</si>
  <si>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</si>
  <si>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</si>
  <si>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</si>
  <si>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</si>
  <si>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</si>
  <si>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</si>
  <si>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</si>
  <si>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</si>
  <si>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</si>
  <si>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</si>
  <si>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</si>
  <si>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</si>
  <si>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</si>
  <si>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</si>
  <si>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</si>
  <si>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</si>
  <si>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</si>
  <si>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</si>
  <si>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</si>
  <si>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</si>
  <si>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</si>
  <si>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</si>
  <si>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</si>
  <si>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</si>
  <si>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</si>
  <si>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</si>
  <si>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</si>
  <si>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</si>
  <si>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</si>
  <si>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</si>
  <si>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</si>
  <si>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</si>
  <si>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</si>
  <si>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</si>
  <si>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</si>
  <si>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</si>
  <si>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</si>
  <si>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</si>
  <si>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</si>
  <si>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</si>
  <si>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</si>
  <si>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</si>
  <si>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</si>
  <si>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</si>
  <si>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</si>
  <si>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</si>
  <si>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</si>
  <si>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</si>
  <si>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</si>
  <si>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</si>
  <si>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</si>
  <si>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</si>
  <si>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</si>
  <si>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</si>
  <si>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</si>
  <si>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</si>
  <si>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</si>
  <si>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</si>
  <si>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</si>
  <si>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</si>
  <si>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</si>
  <si>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</si>
  <si>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</si>
  <si>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</si>
  <si>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</si>
  <si>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</si>
  <si>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</si>
  <si>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</si>
  <si>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</si>
  <si>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</si>
  <si>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</si>
  <si>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</si>
  <si>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</si>
  <si>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</si>
  <si>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</si>
  <si>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</si>
  <si>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</si>
  <si>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</si>
  <si>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</si>
  <si>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</si>
  <si>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</si>
  <si>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</si>
  <si>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</si>
  <si>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</si>
  <si>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</si>
  <si>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</si>
  <si>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</si>
  <si>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</si>
  <si>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</si>
  <si>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</si>
  <si>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</si>
  <si>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</si>
  <si>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</si>
  <si>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</si>
  <si>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</si>
  <si>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</si>
  <si>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</si>
  <si>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</si>
  <si>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</si>
  <si>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</si>
  <si>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</si>
  <si>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</si>
  <si>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</si>
  <si>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</si>
  <si>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</si>
  <si>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</si>
  <si>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</si>
  <si>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</si>
  <si>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</si>
  <si>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</si>
  <si>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</si>
  <si>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</si>
  <si>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</si>
  <si>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</si>
  <si>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</si>
  <si>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</si>
  <si>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</si>
  <si>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</si>
  <si>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</si>
  <si>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</si>
  <si>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</si>
  <si>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</si>
  <si>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</si>
  <si>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</si>
  <si>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</si>
  <si>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</si>
  <si>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</si>
  <si>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</si>
  <si>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</si>
  <si>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</si>
  <si>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</si>
  <si>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</si>
  <si>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</si>
  <si>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</si>
  <si>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</si>
  <si>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</si>
  <si>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</si>
  <si>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</si>
  <si>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</si>
  <si>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</si>
  <si>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</si>
  <si>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</si>
  <si>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</si>
  <si>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</si>
  <si>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</si>
  <si>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</si>
  <si>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</si>
  <si>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</si>
  <si>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</si>
  <si>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</si>
  <si>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</si>
  <si>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</si>
  <si>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</si>
  <si>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</si>
  <si>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</si>
  <si>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</si>
  <si>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</si>
  <si>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</si>
  <si>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</si>
  <si>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</si>
  <si>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</si>
  <si>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</si>
  <si>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</si>
  <si>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</si>
  <si>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</si>
  <si>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</si>
  <si>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</si>
  <si>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</si>
  <si>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</si>
  <si>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</si>
  <si>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</si>
  <si>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</si>
  <si>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</si>
  <si>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</si>
  <si>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</si>
  <si>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</si>
  <si>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</si>
  <si>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</si>
  <si>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</si>
  <si>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</si>
  <si>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</si>
  <si>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</si>
  <si>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</si>
  <si>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</si>
  <si>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</si>
  <si>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</si>
  <si>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</si>
  <si>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</si>
  <si>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</si>
  <si>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</si>
  <si>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</si>
  <si>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</si>
  <si>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</si>
  <si>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</si>
  <si>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</si>
  <si>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</si>
  <si>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</si>
  <si>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</si>
  <si>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</si>
  <si>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</si>
  <si>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</si>
  <si>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</si>
  <si>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</si>
  <si>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</si>
  <si>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</si>
  <si>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</si>
  <si>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</si>
  <si>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</si>
  <si>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</si>
  <si>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</si>
  <si>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</si>
  <si>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</si>
  <si>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</si>
  <si>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</si>
  <si>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</si>
  <si>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</si>
  <si>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</si>
  <si>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</si>
  <si>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</si>
  <si>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</si>
  <si>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</si>
  <si>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</si>
  <si>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</si>
  <si>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</si>
  <si>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</si>
  <si>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</si>
  <si>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</si>
  <si>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</si>
  <si>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</si>
  <si>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</si>
  <si>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</si>
  <si>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</si>
  <si>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</si>
  <si>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</si>
  <si>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</si>
  <si>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</si>
  <si>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</si>
  <si>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</si>
  <si>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</si>
  <si>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</si>
  <si>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</si>
  <si>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</si>
  <si>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</si>
  <si>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</si>
  <si>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</si>
  <si>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</si>
  <si>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</si>
  <si>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</si>
  <si>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</si>
  <si>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</si>
  <si>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</si>
  <si>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</si>
  <si>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</si>
  <si>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</si>
  <si>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</si>
  <si>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</si>
  <si>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</si>
  <si>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</si>
  <si>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</si>
  <si>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</si>
  <si>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</si>
  <si>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</si>
  <si>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</si>
  <si>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</si>
  <si>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</si>
  <si>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</si>
  <si>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</si>
  <si>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</si>
  <si>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</si>
  <si>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</si>
  <si>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</si>
  <si>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</si>
  <si>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</si>
  <si>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</si>
  <si>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</si>
  <si>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</si>
  <si>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</si>
  <si>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</si>
  <si>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</si>
  <si>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</si>
  <si>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</si>
  <si>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</si>
  <si>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</si>
  <si>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</si>
  <si>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</si>
  <si>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</si>
  <si>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</si>
  <si>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</si>
  <si>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</si>
  <si>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</si>
  <si>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</si>
  <si>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</si>
  <si>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</si>
  <si>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</si>
  <si>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</si>
  <si>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</si>
  <si>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</si>
  <si>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</si>
  <si>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</si>
  <si>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</si>
  <si>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</si>
  <si>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</si>
  <si>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</si>
  <si>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</si>
  <si>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</si>
  <si>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</si>
  <si>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</si>
  <si>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</si>
  <si>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</si>
  <si>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</si>
  <si>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</si>
  <si>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</si>
  <si>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</si>
  <si>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</si>
  <si>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</si>
  <si>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</si>
  <si>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</si>
  <si>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</si>
  <si>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</si>
  <si>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</si>
  <si>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</si>
  <si>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</si>
  <si>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</si>
  <si>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</si>
  <si>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</si>
  <si>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</si>
  <si>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</si>
  <si>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</si>
  <si>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</si>
  <si>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</si>
  <si>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</si>
  <si>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</si>
  <si>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</si>
  <si>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</si>
  <si>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</si>
  <si>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</si>
  <si>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</si>
  <si>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</si>
  <si>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</si>
  <si>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</si>
  <si>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</si>
  <si>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</si>
  <si>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</si>
  <si>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</si>
  <si>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</si>
  <si>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</si>
  <si>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</si>
  <si>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</si>
  <si>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</si>
  <si>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</si>
  <si>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</si>
  <si>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</si>
  <si>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</si>
  <si>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</si>
  <si>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</si>
  <si>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</si>
  <si>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</si>
  <si>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</si>
  <si>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</si>
  <si>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</si>
  <si>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</si>
  <si>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</si>
  <si>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</si>
  <si>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</si>
  <si>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</si>
  <si>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</si>
  <si>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</si>
  <si>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</si>
  <si>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</si>
  <si>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</si>
  <si>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</si>
  <si>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</si>
  <si>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</si>
  <si>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</si>
  <si>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</si>
  <si>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</si>
  <si>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</si>
  <si>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</si>
  <si>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</si>
  <si>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</si>
  <si>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</si>
  <si>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</si>
  <si>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</si>
  <si>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</si>
  <si>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</si>
  <si>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</si>
  <si>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</si>
  <si>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</si>
  <si>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</si>
  <si>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</si>
  <si>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</si>
  <si>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</si>
  <si>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</si>
  <si>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</si>
  <si>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</si>
  <si>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</si>
  <si>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</si>
  <si>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</si>
  <si>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</si>
  <si>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</si>
  <si>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</si>
  <si>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</si>
  <si>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</si>
  <si>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</si>
  <si>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</si>
  <si>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</si>
  <si>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</si>
  <si>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</si>
  <si>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</si>
  <si>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</si>
  <si>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</si>
  <si>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</si>
  <si>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</si>
  <si>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</si>
  <si>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</si>
  <si>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</si>
  <si>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</si>
  <si>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</si>
  <si>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</si>
  <si>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</si>
  <si>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</si>
  <si>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</si>
  <si>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</si>
  <si>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</si>
  <si>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</si>
  <si>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</si>
  <si>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</si>
  <si>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</si>
  <si>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</si>
  <si>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</si>
  <si>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</si>
  <si>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</si>
  <si>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</si>
  <si>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</si>
  <si>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</si>
  <si>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</si>
  <si>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</si>
  <si>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</si>
  <si>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</si>
  <si>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</si>
  <si>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</si>
  <si>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</si>
  <si>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</si>
  <si>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</si>
  <si>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</si>
  <si>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</si>
  <si>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</si>
  <si>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</si>
  <si>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</si>
  <si>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</si>
  <si>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</si>
  <si>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</si>
  <si>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</si>
  <si>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</si>
  <si>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</si>
  <si>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</si>
  <si>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</si>
  <si>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</si>
  <si>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</si>
  <si>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</si>
  <si>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</si>
  <si>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</si>
  <si>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</si>
  <si>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</si>
  <si>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</si>
  <si>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</si>
  <si>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</si>
  <si>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</si>
  <si>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</si>
  <si>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</si>
  <si>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</si>
  <si>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</si>
  <si>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</si>
  <si>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</si>
  <si>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</si>
  <si>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</si>
  <si>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</si>
  <si>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</si>
  <si>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</si>
  <si>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</si>
  <si>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</si>
  <si>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</si>
  <si>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</si>
  <si>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</si>
  <si>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</si>
  <si>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</si>
  <si>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</si>
  <si>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</si>
  <si>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</si>
  <si>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</si>
  <si>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</si>
  <si>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</si>
  <si>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</si>
  <si>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</si>
  <si>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</si>
  <si>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</si>
  <si>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</si>
  <si>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</si>
  <si>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</si>
  <si>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</si>
  <si>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</si>
  <si>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</si>
  <si>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</si>
  <si>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</si>
  <si>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</si>
  <si>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</si>
  <si>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</si>
  <si>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</si>
  <si>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</si>
  <si>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</si>
  <si>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</si>
  <si>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</si>
  <si>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</si>
  <si>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</si>
  <si>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</si>
  <si>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</si>
  <si>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</si>
  <si>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</si>
  <si>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</si>
  <si>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</si>
  <si>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</si>
  <si>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</si>
  <si>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</si>
  <si>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</si>
  <si>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</si>
  <si>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</si>
  <si>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</si>
  <si>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</si>
  <si>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</si>
  <si>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</si>
  <si>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</si>
  <si>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</si>
  <si>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</si>
  <si>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</si>
  <si>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</si>
  <si>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</si>
  <si>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</si>
  <si>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</si>
  <si>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</si>
  <si>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</si>
  <si>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</si>
  <si>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</si>
  <si>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</si>
  <si>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</si>
  <si>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</si>
  <si>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</si>
  <si>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</si>
  <si>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</si>
  <si>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</si>
  <si>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</si>
  <si>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</si>
  <si>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</si>
  <si>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</si>
  <si>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</si>
  <si>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</si>
  <si>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</si>
  <si>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</si>
  <si>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</si>
  <si>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</si>
  <si>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</si>
  <si>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</si>
  <si>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</si>
  <si>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</si>
  <si>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</si>
  <si>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</si>
  <si>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</si>
  <si>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</si>
  <si>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</si>
  <si>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</si>
  <si>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</si>
  <si>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</si>
  <si>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</si>
  <si>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</si>
  <si>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</si>
  <si>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</si>
  <si>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</si>
  <si>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</si>
  <si>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</si>
  <si>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</si>
  <si>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</si>
  <si>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</si>
  <si>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</si>
  <si>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</si>
  <si>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</si>
  <si>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</si>
  <si>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</si>
  <si>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</si>
  <si>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</si>
  <si>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</si>
  <si>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</si>
  <si>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</si>
  <si>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</si>
  <si>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</si>
  <si>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</si>
  <si>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</si>
  <si>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</si>
  <si>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</si>
  <si>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</si>
  <si>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</si>
  <si>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</si>
  <si>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</si>
  <si>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</si>
  <si>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</si>
  <si>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</si>
  <si>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</si>
  <si>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</si>
  <si>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</si>
  <si>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</si>
  <si>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</si>
  <si>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</si>
  <si>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</si>
  <si>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</si>
  <si>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</si>
  <si>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</si>
  <si>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</si>
  <si>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</si>
  <si>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</si>
  <si>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</si>
  <si>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</si>
  <si>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</si>
  <si>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</si>
  <si>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</si>
  <si>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</si>
  <si>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</si>
  <si>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</si>
  <si>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</si>
  <si>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</si>
  <si>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</si>
  <si>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</si>
  <si>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</si>
  <si>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</si>
  <si>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</si>
  <si>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</si>
  <si>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</si>
  <si>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</si>
  <si>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</si>
  <si>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</si>
  <si>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</si>
  <si>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</si>
  <si>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</si>
  <si>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</si>
  <si>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</si>
  <si>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</si>
  <si>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</si>
  <si>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</si>
  <si>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</si>
  <si>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</si>
  <si>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</si>
  <si>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</si>
  <si>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</si>
  <si>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</si>
  <si>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</si>
  <si>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</si>
  <si>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</si>
  <si>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</si>
  <si>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</si>
  <si>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</si>
  <si>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</si>
  <si>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</si>
  <si>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</si>
  <si>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</si>
  <si>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</si>
  <si>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</si>
  <si>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</si>
  <si>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</si>
  <si>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</si>
  <si>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</si>
  <si>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</si>
  <si>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</si>
  <si>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</si>
  <si>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</si>
  <si>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</si>
  <si>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</si>
  <si>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</si>
  <si>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</si>
  <si>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</si>
  <si>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</si>
  <si>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</si>
  <si>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</si>
  <si>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</si>
  <si>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</si>
  <si>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</si>
  <si>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</si>
  <si>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</si>
  <si>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</si>
  <si>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</si>
  <si>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</si>
  <si>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</si>
  <si>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</si>
  <si>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</si>
  <si>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</si>
  <si>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</si>
  <si>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</si>
  <si>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</si>
  <si>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</si>
  <si>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</si>
  <si>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</si>
  <si>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</si>
  <si>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</si>
  <si>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</si>
  <si>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</si>
  <si>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</si>
  <si>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</si>
  <si>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</si>
  <si>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</si>
  <si>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</si>
  <si>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</si>
  <si>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</si>
  <si>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</si>
  <si>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</si>
  <si>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</si>
  <si>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</si>
  <si>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</si>
  <si>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</si>
  <si>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</si>
  <si>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</si>
  <si>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</si>
  <si>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</si>
  <si>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</si>
  <si>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Moore &amp; Simonin, PC</t>
  </si>
  <si>
    <t>Robert E. Moore, CPA</t>
  </si>
  <si>
    <t>3636 North Belt West</t>
  </si>
  <si>
    <t>Belleville</t>
  </si>
  <si>
    <t>IL</t>
  </si>
  <si>
    <t>618-233-5049</t>
  </si>
  <si>
    <t>618-233-1061</t>
  </si>
  <si>
    <t>066-005248</t>
  </si>
  <si>
    <t>mooresimonin@mrsaccountants.com</t>
  </si>
  <si>
    <t>Randolph</t>
  </si>
  <si>
    <t>1940 Swanwick St.</t>
  </si>
  <si>
    <t>Chester</t>
  </si>
  <si>
    <t>2009 Issue</t>
  </si>
  <si>
    <t>1 &amp; 4</t>
  </si>
  <si>
    <t>2013 Issue</t>
  </si>
  <si>
    <t>2015 B</t>
  </si>
  <si>
    <t>ED-School Admin-Purch Svc</t>
  </si>
  <si>
    <t>10-2410-300</t>
  </si>
  <si>
    <t>Xerox</t>
  </si>
  <si>
    <t>ED-Fiscal Svc-Purch Svc</t>
  </si>
  <si>
    <t>10-2520-300</t>
  </si>
  <si>
    <t>School Bkkp Solutions</t>
  </si>
  <si>
    <t>ED-Instruction-Purch Svc</t>
  </si>
  <si>
    <t>10-1100-300</t>
  </si>
  <si>
    <t>CTS</t>
  </si>
  <si>
    <t>Clearwave</t>
  </si>
  <si>
    <t>Quality Network</t>
  </si>
  <si>
    <t>Maxitrol</t>
  </si>
  <si>
    <t>O&amp;M-Oper &amp; Maint-Purch Svc</t>
  </si>
  <si>
    <t>20-2540-300</t>
  </si>
  <si>
    <t>Quivey Sanitation</t>
  </si>
  <si>
    <t>20-240-300</t>
  </si>
  <si>
    <t>Johnson Controls</t>
  </si>
  <si>
    <t>TRANS-Public Trans-Purch Svc</t>
  </si>
  <si>
    <t>40-2550-300</t>
  </si>
  <si>
    <t>SWIBCO</t>
  </si>
  <si>
    <t>PSIC</t>
  </si>
  <si>
    <t>Perandoe Special Education District</t>
  </si>
  <si>
    <t>Page 11, Line 707:  E-rate - $7,200</t>
  </si>
  <si>
    <t>Page 11, Line 707:  Miscellaneous - $1,023</t>
  </si>
  <si>
    <t>Page 12, Line 171:  Library Grant - $1,500</t>
  </si>
  <si>
    <t>USDA</t>
  </si>
  <si>
    <t>PASSED THROUGH ISBE</t>
  </si>
  <si>
    <t xml:space="preserve">  School Lunch Program</t>
  </si>
  <si>
    <t>2017-4210</t>
  </si>
  <si>
    <t>2018-4210</t>
  </si>
  <si>
    <t xml:space="preserve">  School Breakfast Program</t>
  </si>
  <si>
    <t>2017-4220</t>
  </si>
  <si>
    <t>2018-4220</t>
  </si>
  <si>
    <t xml:space="preserve">  Commodities</t>
  </si>
  <si>
    <t xml:space="preserve">       TOTAL USDA</t>
  </si>
  <si>
    <t>U.S. DEPT OF EDUCATION</t>
  </si>
  <si>
    <t xml:space="preserve">  (M) Title I</t>
  </si>
  <si>
    <t>84.010A</t>
  </si>
  <si>
    <t>2017-4300</t>
  </si>
  <si>
    <t>2018-4300</t>
  </si>
  <si>
    <t xml:space="preserve">  IDEA Room &amp; Board</t>
  </si>
  <si>
    <t>84.027A</t>
  </si>
  <si>
    <t>2017-4625</t>
  </si>
  <si>
    <t xml:space="preserve">  Title II</t>
  </si>
  <si>
    <t>84.367A</t>
  </si>
  <si>
    <t>2017-4932</t>
  </si>
  <si>
    <t>2018-4932</t>
  </si>
  <si>
    <t>PASSED THROUGH PERANDOE SPECIAL ED.</t>
  </si>
  <si>
    <t xml:space="preserve">  (m) IDEA Flow Through</t>
  </si>
  <si>
    <t>2018-4620</t>
  </si>
  <si>
    <t>PASSED THROUGH OKAW VOC. SYSTEM #550</t>
  </si>
  <si>
    <t xml:space="preserve">  Perkins Tech Prep</t>
  </si>
  <si>
    <t>2018-4770</t>
  </si>
  <si>
    <t xml:space="preserve">       TOTAL DEPT. OF EDUCATION</t>
  </si>
  <si>
    <t>PASSED THROUGH IDHFS</t>
  </si>
  <si>
    <t xml:space="preserve">  Medicaid Matching</t>
  </si>
  <si>
    <t>2017-4991</t>
  </si>
  <si>
    <t>2018-4991</t>
  </si>
  <si>
    <t xml:space="preserve">       TOTAL DEPT. OF HEALTH &amp; HUMAN SVC</t>
  </si>
  <si>
    <t>TOTAL FEDERAL FINANCIAL ASSISTANCE</t>
  </si>
  <si>
    <r>
      <t xml:space="preserve">The accompanying Schedule of Expenditures of Federal Awards includes the federal grant activity of </t>
    </r>
    <r>
      <rPr>
        <b/>
        <sz val="9"/>
        <rFont val="Calibri"/>
        <family val="2"/>
        <scheme val="minor"/>
      </rPr>
      <t>Chester Community Unit School District No. 139</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</si>
  <si>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The following amounts were expended in the form of non-cash assistance by </t>
    </r>
    <r>
      <rPr>
        <b/>
        <sz val="9"/>
        <rFont val="Calibri"/>
        <family val="2"/>
        <scheme val="minor"/>
      </rPr>
      <t>Chester Community Unit School District No. 139</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</si>
  <si>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Title I</t>
  </si>
  <si>
    <t>IDEA Flow Through</t>
  </si>
  <si>
    <t>NONE</t>
  </si>
  <si>
    <t>Chester CUSD 139</t>
  </si>
  <si>
    <t>10-1000-300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</si>
</sst>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4">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62" fillId="0" borderId="0" xfId="3" applyNumberFormat="1" applyFont="1" applyAlignment="1">
      <alignment horizontal="center"/>
    </xf>
    <xf numFmtId="165" fontId="62" fillId="0" borderId="0" xfId="3" applyNumberFormat="1" applyFont="1" applyAlignment="1" applyProtection="1">
      <alignment horizontal="center" vertic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0" xfId="3" applyFont="1" applyAlignment="1" applyProtection="1">
      <alignment horizontal="left" vertical="center" wrapText="1"/>
    </xf>
    <xf numFmtId="3" fontId="52" fillId="0" borderId="77"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8"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5</xdr:row>
          <xdr:rowOff>104775</xdr:rowOff>
        </xdr:from>
        <xdr:to>
          <xdr:col>1</xdr:col>
          <xdr:colOff>1209675</xdr:colOff>
          <xdr:row>9</xdr:row>
          <xdr:rowOff>142875</xdr:rowOff>
        </xdr:to>
        <xdr:sp macro="" textlink="">
          <xdr:nvSpPr>
            <xdr:cNvPr id="50178" name="Object 2" hidden="1">
              <a:extLst>
                <a:ext uri="{63B3BB69-23CF-44E3-9099-C40C66FF867C}">
                  <a14:compatExt spid="_x0000_s50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topLeftCell="A3"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3" t="s">
        <v>425</v>
      </c>
      <c r="J1" s="2034"/>
      <c r="K1" s="2034"/>
      <c r="L1" s="2034"/>
      <c r="M1" s="2034"/>
      <c r="N1" s="2034"/>
      <c r="O1" s="2034"/>
      <c r="P1" s="2034"/>
      <c r="Q1" s="2034"/>
      <c r="R1" s="2034"/>
      <c r="S1" s="2034"/>
    </row>
    <row r="2" spans="1:28" ht="12" customHeight="1" x14ac:dyDescent="0.2">
      <c r="A2" s="47" t="s">
        <v>1684</v>
      </c>
      <c r="D2" s="48"/>
      <c r="I2" s="2035" t="s">
        <v>1036</v>
      </c>
      <c r="J2" s="2034"/>
      <c r="K2" s="2034"/>
      <c r="L2" s="2034"/>
      <c r="M2" s="2034"/>
      <c r="N2" s="2034"/>
      <c r="O2" s="2034"/>
      <c r="P2" s="2034"/>
      <c r="Q2" s="2034"/>
      <c r="R2" s="2034"/>
      <c r="S2" s="2034"/>
    </row>
    <row r="3" spans="1:28" ht="12" customHeight="1" x14ac:dyDescent="0.2">
      <c r="A3" s="155" t="s">
        <v>1685</v>
      </c>
      <c r="B3" s="156"/>
      <c r="C3" s="156"/>
      <c r="D3" s="157"/>
      <c r="I3" s="2035" t="s">
        <v>54</v>
      </c>
      <c r="J3" s="2034"/>
      <c r="K3" s="2034"/>
      <c r="L3" s="2034"/>
      <c r="M3" s="2034"/>
      <c r="N3" s="2034"/>
      <c r="O3" s="2034"/>
      <c r="P3" s="2034"/>
      <c r="Q3" s="2034"/>
      <c r="R3" s="2034"/>
      <c r="S3" s="2034"/>
    </row>
    <row r="4" spans="1:28" ht="12" customHeight="1" x14ac:dyDescent="0.2">
      <c r="A4" s="37"/>
      <c r="I4" s="2035" t="s">
        <v>545</v>
      </c>
      <c r="J4" s="2034"/>
      <c r="K4" s="2034"/>
      <c r="L4" s="2034"/>
      <c r="M4" s="2034"/>
      <c r="N4" s="2034"/>
      <c r="O4" s="2034"/>
      <c r="P4" s="2034"/>
      <c r="Q4" s="2034"/>
      <c r="R4" s="2034"/>
      <c r="S4" s="2034"/>
    </row>
    <row r="5" spans="1:28" ht="14.1" customHeight="1" x14ac:dyDescent="0.2">
      <c r="B5" s="104" t="s">
        <v>2075</v>
      </c>
      <c r="C5" s="26" t="s">
        <v>966</v>
      </c>
      <c r="D5" s="84"/>
      <c r="E5" s="84"/>
      <c r="H5" s="38"/>
      <c r="I5" s="2042" t="s">
        <v>701</v>
      </c>
      <c r="J5" s="1987"/>
      <c r="K5" s="1987"/>
      <c r="L5" s="1987"/>
      <c r="M5" s="1987"/>
      <c r="N5" s="1987"/>
      <c r="O5" s="1987"/>
      <c r="P5" s="1987"/>
      <c r="Q5" s="1987"/>
      <c r="R5" s="1987"/>
      <c r="S5" s="1987"/>
    </row>
    <row r="6" spans="1:28" ht="14.1" customHeight="1" x14ac:dyDescent="0.2">
      <c r="B6" s="104"/>
      <c r="C6" s="26" t="s">
        <v>967</v>
      </c>
      <c r="D6" s="84"/>
      <c r="E6" s="84"/>
      <c r="I6" s="2041" t="s">
        <v>938</v>
      </c>
      <c r="J6" s="1987"/>
      <c r="K6" s="1987"/>
      <c r="L6" s="1987"/>
      <c r="M6" s="1987"/>
      <c r="N6" s="1987"/>
      <c r="O6" s="1987"/>
      <c r="P6" s="1987"/>
      <c r="Q6" s="1987"/>
      <c r="R6" s="1987"/>
      <c r="S6" s="1987"/>
    </row>
    <row r="7" spans="1:28" ht="12.2" customHeight="1" x14ac:dyDescent="0.2">
      <c r="I7" s="2036">
        <v>43281</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695</v>
      </c>
      <c r="J9" s="2039"/>
      <c r="K9" s="2039"/>
      <c r="L9" s="2039"/>
      <c r="M9" s="2039"/>
      <c r="N9" s="2039"/>
      <c r="O9" s="2039"/>
      <c r="P9" s="2039"/>
      <c r="Q9" s="2039"/>
      <c r="R9" s="2039"/>
      <c r="S9" s="2040"/>
      <c r="T9" s="1983" t="s">
        <v>554</v>
      </c>
      <c r="U9" s="1984"/>
      <c r="V9" s="1984"/>
      <c r="W9" s="1984"/>
      <c r="X9" s="1984"/>
      <c r="Y9" s="1984"/>
      <c r="Z9" s="1984"/>
      <c r="AA9" s="1985"/>
    </row>
    <row r="10" spans="1:28" ht="13.5" customHeight="1" x14ac:dyDescent="0.2">
      <c r="A10" s="1992" t="s">
        <v>696</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1012</v>
      </c>
      <c r="B11" s="1996"/>
      <c r="C11" s="1996"/>
      <c r="D11" s="1996"/>
      <c r="E11" s="1996"/>
      <c r="F11" s="1996"/>
      <c r="G11" s="1996"/>
      <c r="H11" s="1997"/>
      <c r="I11" s="27"/>
      <c r="J11" s="74"/>
      <c r="K11" s="27"/>
      <c r="O11" s="148" t="s">
        <v>2075</v>
      </c>
      <c r="P11" s="100" t="s">
        <v>210</v>
      </c>
      <c r="Q11" s="30"/>
      <c r="R11" s="28"/>
      <c r="S11" s="27"/>
      <c r="T11" s="1989"/>
      <c r="U11" s="1990"/>
      <c r="V11" s="1990"/>
      <c r="W11" s="1990"/>
      <c r="X11" s="1990"/>
      <c r="Y11" s="1990"/>
      <c r="Z11" s="1990"/>
      <c r="AA11" s="199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3">
        <v>45079139026</v>
      </c>
      <c r="B13" s="2004"/>
      <c r="C13" s="2004"/>
      <c r="D13" s="2004"/>
      <c r="E13" s="2004"/>
      <c r="F13" s="2004"/>
      <c r="G13" s="2004"/>
      <c r="H13" s="2005"/>
      <c r="I13" s="31"/>
      <c r="J13" s="30"/>
      <c r="K13" s="28"/>
      <c r="L13" s="30"/>
      <c r="M13" s="30"/>
      <c r="N13" s="30"/>
      <c r="O13" s="30"/>
      <c r="P13" s="30"/>
      <c r="Q13" s="30"/>
      <c r="R13" s="30"/>
      <c r="S13" s="30"/>
      <c r="T13" s="2008" t="s">
        <v>2076</v>
      </c>
      <c r="U13" s="2009"/>
      <c r="V13" s="2009"/>
      <c r="W13" s="2009"/>
      <c r="X13" s="2009"/>
      <c r="Y13" s="2010"/>
      <c r="Z13" s="2010"/>
      <c r="AA13" s="201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1" t="s">
        <v>2085</v>
      </c>
      <c r="B15" s="2006"/>
      <c r="C15" s="2006"/>
      <c r="D15" s="2006"/>
      <c r="E15" s="2006"/>
      <c r="F15" s="2006"/>
      <c r="G15" s="2006"/>
      <c r="H15" s="2007"/>
      <c r="T15" s="1969" t="s">
        <v>2077</v>
      </c>
      <c r="U15" s="1970"/>
      <c r="V15" s="1970"/>
      <c r="W15" s="1970"/>
      <c r="X15" s="1970"/>
      <c r="Y15" s="2012"/>
      <c r="Z15" s="2012"/>
      <c r="AA15" s="201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1" t="s">
        <v>2157</v>
      </c>
      <c r="B17" s="2031"/>
      <c r="C17" s="2031"/>
      <c r="D17" s="2031"/>
      <c r="E17" s="2031"/>
      <c r="F17" s="2031"/>
      <c r="G17" s="2031"/>
      <c r="H17" s="2032"/>
      <c r="T17" s="2018" t="s">
        <v>2078</v>
      </c>
      <c r="U17" s="2019"/>
      <c r="V17" s="2019"/>
      <c r="W17" s="2019"/>
      <c r="X17" s="2019"/>
      <c r="Y17" s="2019"/>
      <c r="Z17" s="2019"/>
      <c r="AA17" s="2020"/>
    </row>
    <row r="18" spans="1:27" ht="13.5" customHeight="1" x14ac:dyDescent="0.2">
      <c r="A18" s="85" t="s">
        <v>551</v>
      </c>
      <c r="B18" s="76"/>
      <c r="C18" s="72"/>
      <c r="D18" s="76"/>
      <c r="E18" s="76"/>
      <c r="F18" s="76"/>
      <c r="G18" s="76"/>
      <c r="H18" s="56"/>
      <c r="I18" s="2028" t="s">
        <v>697</v>
      </c>
      <c r="J18" s="2029"/>
      <c r="K18" s="2029"/>
      <c r="L18" s="2029"/>
      <c r="M18" s="2029"/>
      <c r="N18" s="2029"/>
      <c r="O18" s="2029"/>
      <c r="P18" s="2029"/>
      <c r="Q18" s="2029"/>
      <c r="R18" s="2029"/>
      <c r="S18" s="2030"/>
      <c r="T18" s="85" t="s">
        <v>735</v>
      </c>
      <c r="U18" s="51"/>
      <c r="V18" s="72"/>
      <c r="W18" s="50"/>
      <c r="X18" s="85" t="s">
        <v>284</v>
      </c>
      <c r="Y18" s="81"/>
      <c r="Z18" s="159" t="s">
        <v>698</v>
      </c>
      <c r="AA18" s="46"/>
    </row>
    <row r="19" spans="1:27" ht="13.5" customHeight="1" x14ac:dyDescent="0.2">
      <c r="A19" s="2001" t="s">
        <v>2086</v>
      </c>
      <c r="B19" s="2002"/>
      <c r="C19" s="2002"/>
      <c r="D19" s="2002"/>
      <c r="E19" s="2002"/>
      <c r="F19" s="2002"/>
      <c r="G19" s="2002"/>
      <c r="H19" s="2000"/>
      <c r="I19" s="30"/>
      <c r="J19" s="99"/>
      <c r="K19" s="40"/>
      <c r="L19" s="38"/>
      <c r="M19" s="112" t="s">
        <v>333</v>
      </c>
      <c r="P19" s="27"/>
      <c r="Q19" s="27"/>
      <c r="R19" s="27"/>
      <c r="S19" s="31"/>
      <c r="T19" s="2001" t="s">
        <v>2079</v>
      </c>
      <c r="U19" s="1999"/>
      <c r="V19" s="1999"/>
      <c r="W19" s="2000"/>
      <c r="X19" s="2016" t="s">
        <v>2080</v>
      </c>
      <c r="Y19" s="2017"/>
      <c r="Z19" s="2014">
        <v>62226</v>
      </c>
      <c r="AA19" s="201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8" t="s">
        <v>2087</v>
      </c>
      <c r="B21" s="1999"/>
      <c r="C21" s="1999"/>
      <c r="D21" s="1999"/>
      <c r="E21" s="1999"/>
      <c r="F21" s="1999"/>
      <c r="G21" s="1999"/>
      <c r="H21" s="2000"/>
      <c r="I21" s="2024" t="s">
        <v>699</v>
      </c>
      <c r="J21" s="1987"/>
      <c r="K21" s="1987"/>
      <c r="L21" s="1987"/>
      <c r="M21" s="1987"/>
      <c r="N21" s="1987"/>
      <c r="O21" s="1987"/>
      <c r="P21" s="1987"/>
      <c r="Q21" s="1987"/>
      <c r="R21" s="1987"/>
      <c r="S21" s="1988"/>
      <c r="T21" s="1966" t="s">
        <v>2081</v>
      </c>
      <c r="U21" s="1967"/>
      <c r="V21" s="1967"/>
      <c r="W21" s="1967"/>
      <c r="X21" s="1980" t="s">
        <v>2082</v>
      </c>
      <c r="Y21" s="1981"/>
      <c r="Z21" s="1981"/>
      <c r="AA21" s="1982"/>
    </row>
    <row r="22" spans="1:27" ht="13.5" customHeight="1" x14ac:dyDescent="0.2">
      <c r="A22" s="87" t="s">
        <v>552</v>
      </c>
      <c r="B22" s="59"/>
      <c r="C22" s="59"/>
      <c r="D22" s="59"/>
      <c r="E22" s="59"/>
      <c r="F22" s="59"/>
      <c r="G22" s="59"/>
      <c r="H22" s="60"/>
      <c r="I22" s="2025" t="s">
        <v>1504</v>
      </c>
      <c r="J22" s="2026"/>
      <c r="K22" s="2026"/>
      <c r="L22" s="2026"/>
      <c r="M22" s="2026"/>
      <c r="N22" s="2026"/>
      <c r="O22" s="2026"/>
      <c r="P22" s="2026"/>
      <c r="Q22" s="2026"/>
      <c r="R22" s="2026"/>
      <c r="S22" s="2027"/>
      <c r="T22" s="85" t="s">
        <v>1596</v>
      </c>
      <c r="U22" s="51"/>
      <c r="V22" s="72"/>
      <c r="W22" s="51"/>
      <c r="X22" s="160" t="s">
        <v>1385</v>
      </c>
      <c r="Z22" s="45"/>
      <c r="AA22" s="46"/>
    </row>
    <row r="23" spans="1:27" ht="13.5" customHeight="1" x14ac:dyDescent="0.2">
      <c r="A23" s="2021"/>
      <c r="B23" s="2022"/>
      <c r="C23" s="2022"/>
      <c r="D23" s="2022"/>
      <c r="E23" s="2022"/>
      <c r="F23" s="2022"/>
      <c r="G23" s="2022"/>
      <c r="H23" s="2023"/>
      <c r="T23" s="1961" t="s">
        <v>2083</v>
      </c>
      <c r="U23" s="1962"/>
      <c r="V23" s="1962"/>
      <c r="W23" s="1962"/>
      <c r="X23" s="1977">
        <v>43434</v>
      </c>
      <c r="Y23" s="1978"/>
      <c r="Z23" s="1978"/>
      <c r="AA23" s="1979"/>
    </row>
    <row r="24" spans="1:27" ht="14.1" customHeight="1" x14ac:dyDescent="0.2">
      <c r="A24" s="88" t="s">
        <v>698</v>
      </c>
      <c r="B24" s="49"/>
      <c r="C24" s="49"/>
      <c r="D24" s="49"/>
      <c r="E24" s="49"/>
      <c r="F24" s="49"/>
      <c r="G24" s="49"/>
      <c r="H24" s="61"/>
      <c r="J24" s="2063">
        <f>IF(B5="x",IF(AUDITCHECK!D29="AFR form Incomplete.","",IF(AUDITCHECK!D29="Deficit reduction plan is required.","School District must complete a deficit reduction plan in the 2018-2019 Budget",)),"")</f>
        <v>0</v>
      </c>
      <c r="K24" s="2063"/>
      <c r="L24" s="2063"/>
      <c r="M24" s="2063"/>
      <c r="N24" s="2063"/>
      <c r="O24" s="2063"/>
      <c r="P24" s="2063"/>
      <c r="Q24" s="2063"/>
      <c r="R24" s="2063"/>
      <c r="S24" s="2064"/>
      <c r="T24" s="105" t="s">
        <v>552</v>
      </c>
      <c r="U24" s="106"/>
      <c r="V24" s="106"/>
      <c r="W24" s="106"/>
      <c r="X24" s="107"/>
      <c r="Y24" s="107"/>
      <c r="Z24" s="107"/>
      <c r="AA24" s="108"/>
    </row>
    <row r="25" spans="1:27" ht="14.1" customHeight="1" x14ac:dyDescent="0.2">
      <c r="A25" s="1998">
        <v>62233</v>
      </c>
      <c r="B25" s="1999"/>
      <c r="C25" s="1999"/>
      <c r="D25" s="1999"/>
      <c r="E25" s="1999"/>
      <c r="F25" s="1999"/>
      <c r="G25" s="1999"/>
      <c r="H25" s="2000"/>
      <c r="I25" s="113"/>
      <c r="J25" s="2065"/>
      <c r="K25" s="2065"/>
      <c r="L25" s="2065"/>
      <c r="M25" s="2065"/>
      <c r="N25" s="2065"/>
      <c r="O25" s="2065"/>
      <c r="P25" s="2065"/>
      <c r="Q25" s="2065"/>
      <c r="R25" s="2065"/>
      <c r="S25" s="2066"/>
      <c r="T25" s="1958" t="s">
        <v>2084</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6" t="s">
        <v>1591</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2075</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2075</v>
      </c>
      <c r="C30" s="124" t="s">
        <v>1226</v>
      </c>
      <c r="D30" s="28"/>
      <c r="E30" s="28"/>
      <c r="F30" s="140"/>
      <c r="G30" s="114"/>
      <c r="H30" s="114"/>
      <c r="I30" s="54"/>
      <c r="J30" s="148" t="s">
        <v>2075</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2075</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1"/>
      <c r="B38" s="2031"/>
      <c r="C38" s="2031"/>
      <c r="D38" s="2031"/>
      <c r="E38" s="2031"/>
      <c r="F38" s="1999"/>
      <c r="G38" s="1999"/>
      <c r="H38" s="2000"/>
      <c r="I38" s="2050"/>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4" t="s">
        <v>552</v>
      </c>
      <c r="B39" s="2055"/>
      <c r="C39" s="72"/>
      <c r="D39" s="69"/>
      <c r="E39" s="69"/>
      <c r="F39" s="79"/>
      <c r="G39" s="69"/>
      <c r="H39" s="56"/>
      <c r="I39" s="2054" t="s">
        <v>552</v>
      </c>
      <c r="J39" s="2055"/>
      <c r="K39" s="2055"/>
      <c r="L39" s="2055"/>
      <c r="M39" s="2055"/>
      <c r="N39" s="67"/>
      <c r="O39" s="72"/>
      <c r="P39" s="72"/>
      <c r="Q39" s="78"/>
      <c r="R39" s="72"/>
      <c r="S39" s="56"/>
      <c r="T39" s="72" t="s">
        <v>552</v>
      </c>
      <c r="U39" s="51"/>
      <c r="V39" s="72"/>
      <c r="W39" s="50"/>
      <c r="X39" s="78"/>
      <c r="Y39" s="45"/>
      <c r="Z39" s="45"/>
      <c r="AA39" s="46"/>
    </row>
    <row r="40" spans="1:27" ht="13.5" customHeight="1" x14ac:dyDescent="0.2">
      <c r="A40" s="2057"/>
      <c r="B40" s="2058"/>
      <c r="C40" s="2059"/>
      <c r="D40" s="2059"/>
      <c r="E40" s="2059"/>
      <c r="F40" s="2060"/>
      <c r="G40" s="2060"/>
      <c r="H40" s="2061"/>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7"/>
      <c r="B42" s="2048"/>
      <c r="C42" s="2049"/>
      <c r="D42" s="2062"/>
      <c r="E42" s="2048"/>
      <c r="F42" s="2048"/>
      <c r="G42" s="2048"/>
      <c r="H42" s="2049"/>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2063</v>
      </c>
      <c r="R47" s="41"/>
      <c r="S47" s="41"/>
      <c r="T47" s="41"/>
      <c r="U47" s="41"/>
      <c r="V47" s="41"/>
      <c r="W47" s="41"/>
      <c r="X47" s="41"/>
      <c r="Y47" s="41"/>
      <c r="Z47" s="41"/>
      <c r="AA47" s="41"/>
    </row>
    <row r="48" spans="1:27" x14ac:dyDescent="0.2">
      <c r="Q48" s="41" t="s">
        <v>2064</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7" sqref="E17"/>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00" t="s">
        <v>1903</v>
      </c>
      <c r="B2" s="1550" t="s">
        <v>2033</v>
      </c>
      <c r="C2" s="715" t="s">
        <v>1908</v>
      </c>
      <c r="D2" s="715" t="s">
        <v>1909</v>
      </c>
      <c r="E2" s="715" t="s">
        <v>1910</v>
      </c>
      <c r="F2" s="715" t="s">
        <v>1911</v>
      </c>
    </row>
    <row r="3" spans="1:6" ht="12" customHeight="1" x14ac:dyDescent="0.2">
      <c r="A3" s="2201"/>
      <c r="B3" s="1547"/>
      <c r="C3" s="1548"/>
      <c r="D3" s="1549" t="s">
        <v>274</v>
      </c>
      <c r="E3" s="1548"/>
      <c r="F3" s="1549" t="s">
        <v>275</v>
      </c>
    </row>
    <row r="4" spans="1:6" ht="13.7" customHeight="1" x14ac:dyDescent="0.2">
      <c r="A4" s="716" t="s">
        <v>1217</v>
      </c>
      <c r="B4" s="1771">
        <f>'Revenues 9-14'!C5</f>
        <v>1613657</v>
      </c>
      <c r="C4" s="1546"/>
      <c r="D4" s="1774">
        <f>B4-C4</f>
        <v>1613657</v>
      </c>
      <c r="E4" s="1546">
        <v>1651254</v>
      </c>
      <c r="F4" s="1774">
        <f>E4-C4</f>
        <v>1651254</v>
      </c>
    </row>
    <row r="5" spans="1:6" ht="13.7" customHeight="1" x14ac:dyDescent="0.2">
      <c r="A5" s="716" t="s">
        <v>925</v>
      </c>
      <c r="B5" s="1772">
        <f>'Revenues 9-14'!D5</f>
        <v>438898</v>
      </c>
      <c r="C5" s="585"/>
      <c r="D5" s="1775">
        <f t="shared" ref="D5:D18" si="0">B5-C5</f>
        <v>438898</v>
      </c>
      <c r="E5" s="585">
        <v>449143</v>
      </c>
      <c r="F5" s="1775">
        <f>E5-C5</f>
        <v>449143</v>
      </c>
    </row>
    <row r="6" spans="1:6" ht="13.7" customHeight="1" x14ac:dyDescent="0.2">
      <c r="A6" s="716" t="s">
        <v>431</v>
      </c>
      <c r="B6" s="1772">
        <f>'Revenues 9-14'!E5</f>
        <v>735253</v>
      </c>
      <c r="C6" s="585"/>
      <c r="D6" s="1775">
        <f t="shared" si="0"/>
        <v>735253</v>
      </c>
      <c r="E6" s="585">
        <v>319147</v>
      </c>
      <c r="F6" s="1775">
        <f t="shared" ref="F6:F18" si="1">E6-C6</f>
        <v>319147</v>
      </c>
    </row>
    <row r="7" spans="1:6" ht="13.7" customHeight="1" x14ac:dyDescent="0.2">
      <c r="A7" s="716" t="s">
        <v>157</v>
      </c>
      <c r="B7" s="1772">
        <f>'Revenues 9-14'!F5</f>
        <v>175608</v>
      </c>
      <c r="C7" s="585"/>
      <c r="D7" s="1775">
        <f t="shared" si="0"/>
        <v>175608</v>
      </c>
      <c r="E7" s="585">
        <v>179711</v>
      </c>
      <c r="F7" s="1775">
        <f t="shared" si="1"/>
        <v>179711</v>
      </c>
    </row>
    <row r="8" spans="1:6" ht="13.7" customHeight="1" x14ac:dyDescent="0.2">
      <c r="A8" s="716" t="s">
        <v>1241</v>
      </c>
      <c r="B8" s="1772">
        <f>'Revenues 9-14'!G5</f>
        <v>112709</v>
      </c>
      <c r="C8" s="585"/>
      <c r="D8" s="1775">
        <f t="shared" si="0"/>
        <v>112709</v>
      </c>
      <c r="E8" s="585">
        <v>115198</v>
      </c>
      <c r="F8" s="1775">
        <f t="shared" si="1"/>
        <v>115198</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38513</v>
      </c>
      <c r="C10" s="585"/>
      <c r="D10" s="1775">
        <f t="shared" si="0"/>
        <v>38513</v>
      </c>
      <c r="E10" s="585">
        <v>42205</v>
      </c>
      <c r="F10" s="1775">
        <f t="shared" si="1"/>
        <v>42205</v>
      </c>
    </row>
    <row r="11" spans="1:6" x14ac:dyDescent="0.2">
      <c r="A11" s="716" t="s">
        <v>429</v>
      </c>
      <c r="B11" s="1772">
        <f>'Revenues 9-14'!J5</f>
        <v>112709</v>
      </c>
      <c r="C11" s="585"/>
      <c r="D11" s="1775">
        <f t="shared" si="0"/>
        <v>112709</v>
      </c>
      <c r="E11" s="585">
        <v>115198</v>
      </c>
      <c r="F11" s="1775">
        <f t="shared" si="1"/>
        <v>115198</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37574</v>
      </c>
      <c r="C14" s="585"/>
      <c r="D14" s="1775">
        <f t="shared" si="0"/>
        <v>37574</v>
      </c>
      <c r="E14" s="585">
        <v>38405</v>
      </c>
      <c r="F14" s="1775">
        <f t="shared" si="1"/>
        <v>38405</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75603</v>
      </c>
      <c r="C16" s="585"/>
      <c r="D16" s="1775">
        <f t="shared" si="0"/>
        <v>75603</v>
      </c>
      <c r="E16" s="585">
        <v>77754</v>
      </c>
      <c r="F16" s="1775">
        <f t="shared" si="1"/>
        <v>77754</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3340524</v>
      </c>
      <c r="C19" s="1773">
        <f>SUM(C4:C18)</f>
        <v>0</v>
      </c>
      <c r="D19" s="1773">
        <f>SUM(D4:D18)</f>
        <v>3340524</v>
      </c>
      <c r="E19" s="1773">
        <f>SUM(E4:E18)</f>
        <v>2988015</v>
      </c>
      <c r="F19" s="1773">
        <f>SUM(F4:F18)</f>
        <v>2988015</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7" colorId="8" zoomScale="110" zoomScaleNormal="110" workbookViewId="0">
      <selection activeCell="L31" sqref="L3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650</v>
      </c>
      <c r="B1" s="2207"/>
      <c r="C1" s="722"/>
    </row>
    <row r="2" spans="1:7" ht="33.75" x14ac:dyDescent="0.2">
      <c r="A2" s="2215" t="s">
        <v>1903</v>
      </c>
      <c r="B2" s="2216"/>
      <c r="C2" s="1908" t="s">
        <v>2034</v>
      </c>
      <c r="D2" s="724" t="s">
        <v>2041</v>
      </c>
      <c r="E2" s="724" t="s">
        <v>2042</v>
      </c>
      <c r="F2" s="1908" t="s">
        <v>2035</v>
      </c>
    </row>
    <row r="3" spans="1:7" ht="15.75" customHeight="1" x14ac:dyDescent="0.2">
      <c r="A3" s="2219" t="s">
        <v>1176</v>
      </c>
      <c r="B3" s="2220"/>
      <c r="C3" s="2208"/>
      <c r="D3" s="2209"/>
      <c r="E3" s="2209"/>
      <c r="F3" s="2210"/>
    </row>
    <row r="4" spans="1:7" ht="12.75" customHeight="1" thickBot="1" x14ac:dyDescent="0.25">
      <c r="A4" s="2217" t="s">
        <v>651</v>
      </c>
      <c r="B4" s="2218"/>
      <c r="C4" s="581"/>
      <c r="D4" s="581"/>
      <c r="E4" s="581"/>
      <c r="F4" s="1777">
        <f>SUM(C4+D4)-E4</f>
        <v>0</v>
      </c>
    </row>
    <row r="5" spans="1:7" ht="15.75" customHeight="1" thickTop="1" x14ac:dyDescent="0.2">
      <c r="A5" s="2202" t="s">
        <v>1172</v>
      </c>
      <c r="B5" s="2203"/>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4" t="s">
        <v>652</v>
      </c>
      <c r="B15" s="2205"/>
      <c r="C15" s="1777">
        <f>SUM(C6:C14)</f>
        <v>0</v>
      </c>
      <c r="D15" s="1777">
        <f>SUM(D6:D14)</f>
        <v>0</v>
      </c>
      <c r="E15" s="1777">
        <f>SUM(E6:E14)</f>
        <v>0</v>
      </c>
      <c r="F15" s="1777">
        <f>SUM(F6:F14)</f>
        <v>0</v>
      </c>
      <c r="G15" s="552"/>
    </row>
    <row r="16" spans="1:7" s="202" customFormat="1" ht="15.75" customHeight="1" thickTop="1" x14ac:dyDescent="0.2">
      <c r="A16" s="2214" t="s">
        <v>1173</v>
      </c>
      <c r="B16" s="2203"/>
      <c r="C16" s="2211"/>
      <c r="D16" s="2212"/>
      <c r="E16" s="2212"/>
      <c r="F16" s="2213"/>
    </row>
    <row r="17" spans="1:11" ht="12.75" customHeight="1" thickBot="1" x14ac:dyDescent="0.25">
      <c r="A17" s="2227" t="s">
        <v>66</v>
      </c>
      <c r="B17" s="2228"/>
      <c r="C17" s="727"/>
      <c r="D17" s="585"/>
      <c r="E17" s="727"/>
      <c r="F17" s="1777">
        <f>SUM(C17+D17)-E17</f>
        <v>0</v>
      </c>
    </row>
    <row r="18" spans="1:11" ht="12.75" customHeight="1" thickTop="1" thickBot="1" x14ac:dyDescent="0.25">
      <c r="A18" s="2227" t="s">
        <v>6</v>
      </c>
      <c r="B18" s="2228"/>
      <c r="C18" s="727"/>
      <c r="D18" s="585"/>
      <c r="E18" s="727"/>
      <c r="F18" s="1777">
        <f>SUM(C18+D18)-E18</f>
        <v>0</v>
      </c>
    </row>
    <row r="19" spans="1:11" ht="12.75" customHeight="1" thickTop="1" thickBot="1" x14ac:dyDescent="0.25">
      <c r="A19" s="2227" t="s">
        <v>406</v>
      </c>
      <c r="B19" s="2228"/>
      <c r="C19" s="727"/>
      <c r="D19" s="585"/>
      <c r="E19" s="727"/>
      <c r="F19" s="1777">
        <f>SUM(C19+D19)-E19</f>
        <v>0</v>
      </c>
    </row>
    <row r="20" spans="1:11" ht="12.75" customHeight="1" thickTop="1" thickBot="1" x14ac:dyDescent="0.25">
      <c r="A20" s="2227" t="s">
        <v>468</v>
      </c>
      <c r="B20" s="2228"/>
      <c r="C20" s="727"/>
      <c r="D20" s="585"/>
      <c r="E20" s="727"/>
      <c r="F20" s="1777">
        <f>SUM(C20+D20)-E20</f>
        <v>0</v>
      </c>
    </row>
    <row r="21" spans="1:11" ht="14.25" thickTop="1" thickBot="1" x14ac:dyDescent="0.25">
      <c r="A21" s="2204" t="s">
        <v>653</v>
      </c>
      <c r="B21" s="2205"/>
      <c r="C21" s="1777">
        <f>SUM(C17:C20)</f>
        <v>0</v>
      </c>
      <c r="D21" s="1777">
        <f>SUM(D17:D20)</f>
        <v>0</v>
      </c>
      <c r="E21" s="1777">
        <f>SUM(E17:E20)</f>
        <v>0</v>
      </c>
      <c r="F21" s="1777">
        <f>SUM(F17:F20)</f>
        <v>0</v>
      </c>
      <c r="G21" s="552"/>
    </row>
    <row r="22" spans="1:11" ht="15.75" customHeight="1" thickTop="1" x14ac:dyDescent="0.2">
      <c r="A22" s="2229" t="s">
        <v>1174</v>
      </c>
      <c r="B22" s="2203"/>
      <c r="C22" s="2211"/>
      <c r="D22" s="2212"/>
      <c r="E22" s="2212"/>
      <c r="F22" s="2213"/>
    </row>
    <row r="23" spans="1:11" ht="13.5" thickBot="1" x14ac:dyDescent="0.25">
      <c r="A23" s="2217" t="s">
        <v>654</v>
      </c>
      <c r="B23" s="2218"/>
      <c r="C23" s="581"/>
      <c r="D23" s="581"/>
      <c r="E23" s="581"/>
      <c r="F23" s="1777">
        <f>SUM(C23+D23)-E23</f>
        <v>0</v>
      </c>
      <c r="G23" s="552"/>
    </row>
    <row r="24" spans="1:11" ht="15.75" customHeight="1" thickTop="1" x14ac:dyDescent="0.2">
      <c r="A24" s="2229" t="s">
        <v>1175</v>
      </c>
      <c r="B24" s="2203"/>
      <c r="C24" s="2211"/>
      <c r="D24" s="2212"/>
      <c r="E24" s="2212"/>
      <c r="F24" s="2213"/>
    </row>
    <row r="25" spans="1:11" ht="13.5" thickBot="1" x14ac:dyDescent="0.25">
      <c r="A25" s="2217" t="s">
        <v>655</v>
      </c>
      <c r="B25" s="2218"/>
      <c r="C25" s="581"/>
      <c r="D25" s="581"/>
      <c r="E25" s="581"/>
      <c r="F25" s="1777">
        <f>SUM(C25+D25)-E25</f>
        <v>0</v>
      </c>
      <c r="G25" s="552"/>
    </row>
    <row r="26" spans="1:11" ht="15.75" customHeight="1" thickTop="1" x14ac:dyDescent="0.2">
      <c r="A26" s="2202" t="s">
        <v>678</v>
      </c>
      <c r="B26" s="2203"/>
      <c r="C26" s="728"/>
      <c r="D26" s="728"/>
      <c r="E26" s="728"/>
      <c r="F26" s="729"/>
    </row>
    <row r="27" spans="1:11" ht="13.5" thickBot="1" x14ac:dyDescent="0.25">
      <c r="A27" s="2204" t="s">
        <v>1130</v>
      </c>
      <c r="B27" s="2205"/>
      <c r="C27" s="585"/>
      <c r="D27" s="585"/>
      <c r="E27" s="585"/>
      <c r="F27" s="1777">
        <f>SUM(C27+D27)-E27</f>
        <v>0</v>
      </c>
      <c r="G27" s="552"/>
    </row>
    <row r="28" spans="1:11" ht="7.5" customHeight="1" thickTop="1" x14ac:dyDescent="0.2">
      <c r="A28" s="594"/>
    </row>
    <row r="29" spans="1:11" ht="23.25" customHeight="1" x14ac:dyDescent="0.2">
      <c r="A29" s="2230" t="s">
        <v>603</v>
      </c>
      <c r="B29" s="2207"/>
      <c r="C29" s="730"/>
      <c r="D29" s="730"/>
      <c r="E29" s="730"/>
      <c r="F29" s="730"/>
      <c r="G29" s="730"/>
      <c r="H29" s="730"/>
      <c r="I29" s="730"/>
      <c r="J29" s="730"/>
    </row>
    <row r="30" spans="1:11" ht="33.75" x14ac:dyDescent="0.2">
      <c r="A30" s="1551" t="s">
        <v>1131</v>
      </c>
      <c r="B30" s="731" t="s">
        <v>1186</v>
      </c>
      <c r="C30" s="1909" t="s">
        <v>604</v>
      </c>
      <c r="D30" s="1909" t="s">
        <v>1772</v>
      </c>
      <c r="E30" s="1909" t="s">
        <v>2036</v>
      </c>
      <c r="F30" s="1909" t="s">
        <v>2037</v>
      </c>
      <c r="G30" s="1909" t="s">
        <v>2040</v>
      </c>
      <c r="H30" s="1909" t="s">
        <v>2038</v>
      </c>
      <c r="I30" s="1909" t="s">
        <v>2039</v>
      </c>
      <c r="J30" s="1910" t="s">
        <v>2</v>
      </c>
      <c r="K30" s="732"/>
    </row>
    <row r="31" spans="1:11" ht="12" customHeight="1" x14ac:dyDescent="0.2">
      <c r="A31" s="733" t="s">
        <v>2088</v>
      </c>
      <c r="B31" s="734">
        <v>39934</v>
      </c>
      <c r="C31" s="735">
        <v>3365000</v>
      </c>
      <c r="D31" s="736" t="s">
        <v>2089</v>
      </c>
      <c r="E31" s="735">
        <v>2770000</v>
      </c>
      <c r="F31" s="735"/>
      <c r="G31" s="735"/>
      <c r="H31" s="735">
        <v>175000</v>
      </c>
      <c r="I31" s="1778">
        <f>((E31+F31)-H31)+G31</f>
        <v>2595000</v>
      </c>
      <c r="J31" s="735">
        <v>2314378</v>
      </c>
      <c r="K31" s="737"/>
    </row>
    <row r="32" spans="1:11" ht="12" customHeight="1" x14ac:dyDescent="0.2">
      <c r="A32" s="733" t="s">
        <v>2090</v>
      </c>
      <c r="B32" s="734">
        <v>41493</v>
      </c>
      <c r="C32" s="735">
        <v>2690000</v>
      </c>
      <c r="D32" s="736" t="s">
        <v>2089</v>
      </c>
      <c r="E32" s="735">
        <v>2390000</v>
      </c>
      <c r="F32" s="735"/>
      <c r="G32" s="735"/>
      <c r="H32" s="735">
        <v>190000</v>
      </c>
      <c r="I32" s="1778">
        <f>((E32+F32)-H32)+G32</f>
        <v>2200000</v>
      </c>
      <c r="J32" s="735">
        <v>1632275</v>
      </c>
      <c r="K32" s="737"/>
    </row>
    <row r="33" spans="1:11" ht="12" customHeight="1" x14ac:dyDescent="0.2">
      <c r="A33" s="733">
        <v>2015</v>
      </c>
      <c r="B33" s="734">
        <v>42187</v>
      </c>
      <c r="C33" s="735">
        <v>270000</v>
      </c>
      <c r="D33" s="736">
        <v>7</v>
      </c>
      <c r="E33" s="735">
        <v>2605000</v>
      </c>
      <c r="F33" s="735"/>
      <c r="G33" s="735"/>
      <c r="H33" s="735">
        <v>95000</v>
      </c>
      <c r="I33" s="1778">
        <f t="shared" ref="I33:I48" si="1">((E33+F33)-H33)+G33</f>
        <v>2510000</v>
      </c>
      <c r="J33" s="735">
        <v>2311675</v>
      </c>
      <c r="K33" s="737"/>
    </row>
    <row r="34" spans="1:11" ht="12" customHeight="1" x14ac:dyDescent="0.2">
      <c r="A34" s="733" t="s">
        <v>2091</v>
      </c>
      <c r="B34" s="734">
        <v>42187</v>
      </c>
      <c r="C34" s="735">
        <v>495000</v>
      </c>
      <c r="D34" s="736">
        <v>1</v>
      </c>
      <c r="E34" s="735">
        <v>390000</v>
      </c>
      <c r="F34" s="735"/>
      <c r="G34" s="735"/>
      <c r="H34" s="735">
        <v>100000</v>
      </c>
      <c r="I34" s="1778">
        <f t="shared" si="1"/>
        <v>290000</v>
      </c>
      <c r="J34" s="735">
        <v>290000</v>
      </c>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6820000</v>
      </c>
      <c r="D49" s="746"/>
      <c r="E49" s="1778">
        <f t="shared" ref="E49:J49" si="2">SUM(E31:E48)</f>
        <v>8155000</v>
      </c>
      <c r="F49" s="1778">
        <f t="shared" si="2"/>
        <v>0</v>
      </c>
      <c r="G49" s="1778">
        <f t="shared" si="2"/>
        <v>0</v>
      </c>
      <c r="H49" s="1778">
        <f t="shared" si="2"/>
        <v>560000</v>
      </c>
      <c r="I49" s="1778">
        <f t="shared" si="2"/>
        <v>7595000</v>
      </c>
      <c r="J49" s="1778">
        <f t="shared" si="2"/>
        <v>6548328</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21" t="s">
        <v>605</v>
      </c>
      <c r="C52" s="2222"/>
      <c r="D52" s="2222"/>
      <c r="E52" s="750" t="s">
        <v>900</v>
      </c>
      <c r="F52" s="2223"/>
      <c r="G52" s="2224"/>
      <c r="H52" s="737"/>
      <c r="I52" s="737"/>
      <c r="J52" s="747"/>
    </row>
    <row r="53" spans="1:11" ht="11.25" customHeight="1" x14ac:dyDescent="0.2">
      <c r="A53" s="751" t="s">
        <v>969</v>
      </c>
      <c r="B53" s="752" t="s">
        <v>1008</v>
      </c>
      <c r="C53" s="747"/>
      <c r="D53" s="738"/>
      <c r="E53" s="750" t="s">
        <v>518</v>
      </c>
      <c r="F53" s="2225"/>
      <c r="G53" s="2226"/>
      <c r="H53" s="737"/>
      <c r="I53" s="737"/>
      <c r="J53" s="747"/>
    </row>
    <row r="54" spans="1:11" ht="11.25" customHeight="1" x14ac:dyDescent="0.2">
      <c r="A54" s="753" t="s">
        <v>970</v>
      </c>
      <c r="B54" s="748" t="s">
        <v>1009</v>
      </c>
      <c r="C54" s="747"/>
      <c r="D54" s="738"/>
      <c r="E54" s="750" t="s">
        <v>519</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L31" sqref="L3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911</v>
      </c>
      <c r="B1" s="2256"/>
      <c r="C1" s="2256"/>
      <c r="D1" s="2256"/>
      <c r="E1" s="2256"/>
      <c r="F1" s="2256"/>
      <c r="G1" s="2257"/>
      <c r="H1" s="1552"/>
      <c r="I1" s="761"/>
      <c r="J1" s="433"/>
    </row>
    <row r="2" spans="1:11" ht="26.25" x14ac:dyDescent="0.2">
      <c r="A2" s="2234" t="s">
        <v>1776</v>
      </c>
      <c r="B2" s="2235"/>
      <c r="C2" s="2235"/>
      <c r="D2" s="2235"/>
      <c r="E2" s="2236"/>
      <c r="F2" s="762" t="s">
        <v>960</v>
      </c>
      <c r="G2" s="763" t="s">
        <v>1773</v>
      </c>
      <c r="H2" s="763" t="s">
        <v>430</v>
      </c>
      <c r="I2" s="763" t="s">
        <v>1220</v>
      </c>
      <c r="J2" s="763" t="s">
        <v>1917</v>
      </c>
      <c r="K2" s="763" t="s">
        <v>140</v>
      </c>
    </row>
    <row r="3" spans="1:11" x14ac:dyDescent="0.2">
      <c r="A3" s="2237" t="s">
        <v>1698</v>
      </c>
      <c r="B3" s="2238"/>
      <c r="C3" s="2238"/>
      <c r="D3" s="2238"/>
      <c r="E3" s="2239"/>
      <c r="F3" s="764"/>
      <c r="G3" s="765"/>
      <c r="H3" s="765"/>
      <c r="I3" s="765"/>
      <c r="J3" s="766"/>
      <c r="K3" s="766"/>
    </row>
    <row r="4" spans="1:11" x14ac:dyDescent="0.2">
      <c r="A4" s="2240" t="s">
        <v>387</v>
      </c>
      <c r="B4" s="2241"/>
      <c r="C4" s="2241"/>
      <c r="D4" s="2241"/>
      <c r="E4" s="2222"/>
      <c r="F4" s="767"/>
      <c r="G4" s="768"/>
      <c r="H4" s="769"/>
      <c r="I4" s="768"/>
      <c r="J4" s="770"/>
      <c r="K4" s="770"/>
    </row>
    <row r="5" spans="1:11" x14ac:dyDescent="0.2">
      <c r="A5" s="2258" t="s">
        <v>1129</v>
      </c>
      <c r="B5" s="2231"/>
      <c r="C5" s="2231"/>
      <c r="D5" s="2231"/>
      <c r="E5" s="2259"/>
      <c r="F5" s="771" t="s">
        <v>903</v>
      </c>
      <c r="G5" s="772"/>
      <c r="H5" s="765">
        <v>37574</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8" t="s">
        <v>1918</v>
      </c>
      <c r="B10" s="2231"/>
      <c r="C10" s="2231"/>
      <c r="D10" s="2231"/>
      <c r="E10" s="2260"/>
      <c r="F10" s="784" t="s">
        <v>917</v>
      </c>
      <c r="G10" s="783"/>
      <c r="H10" s="785"/>
      <c r="I10" s="765"/>
      <c r="J10" s="766"/>
      <c r="K10" s="766"/>
    </row>
    <row r="11" spans="1:11" x14ac:dyDescent="0.2">
      <c r="A11" s="2258" t="s">
        <v>162</v>
      </c>
      <c r="B11" s="2231"/>
      <c r="C11" s="2231"/>
      <c r="D11" s="2231"/>
      <c r="E11" s="2259"/>
      <c r="F11" s="771" t="s">
        <v>907</v>
      </c>
      <c r="G11" s="772"/>
      <c r="H11" s="765"/>
      <c r="I11" s="765"/>
      <c r="J11" s="766"/>
      <c r="K11" s="774"/>
    </row>
    <row r="12" spans="1:11" ht="13.5" thickBot="1" x14ac:dyDescent="0.25">
      <c r="A12" s="2248" t="s">
        <v>961</v>
      </c>
      <c r="B12" s="2249"/>
      <c r="C12" s="2249"/>
      <c r="D12" s="2249"/>
      <c r="E12" s="2250"/>
      <c r="F12" s="1779"/>
      <c r="G12" s="1780">
        <f>SUM(G5:G11)</f>
        <v>0</v>
      </c>
      <c r="H12" s="1780">
        <f>SUM(H5:H11)</f>
        <v>37574</v>
      </c>
      <c r="I12" s="1780">
        <f>SUM(I5:I11)</f>
        <v>0</v>
      </c>
      <c r="J12" s="1780">
        <f>SUM(J5:J11)</f>
        <v>0</v>
      </c>
      <c r="K12" s="1780">
        <f>SUM(K5:K11)</f>
        <v>0</v>
      </c>
    </row>
    <row r="13" spans="1:11" ht="13.5" thickTop="1" x14ac:dyDescent="0.2">
      <c r="A13" s="2242" t="s">
        <v>388</v>
      </c>
      <c r="B13" s="2243"/>
      <c r="C13" s="2243"/>
      <c r="D13" s="2243"/>
      <c r="E13" s="2244"/>
      <c r="F13" s="786"/>
      <c r="G13" s="787"/>
      <c r="H13" s="788"/>
      <c r="I13" s="789"/>
      <c r="J13" s="789"/>
      <c r="K13" s="789"/>
    </row>
    <row r="14" spans="1:11" x14ac:dyDescent="0.2">
      <c r="A14" s="2264" t="s">
        <v>476</v>
      </c>
      <c r="B14" s="2264"/>
      <c r="C14" s="2264"/>
      <c r="D14" s="2264"/>
      <c r="E14" s="2265"/>
      <c r="F14" s="790" t="s">
        <v>909</v>
      </c>
      <c r="G14" s="783"/>
      <c r="H14" s="765">
        <v>37574</v>
      </c>
      <c r="I14" s="772"/>
      <c r="J14" s="774"/>
      <c r="K14" s="766"/>
    </row>
    <row r="15" spans="1:11" x14ac:dyDescent="0.2">
      <c r="A15" s="2231" t="s">
        <v>4</v>
      </c>
      <c r="B15" s="2231"/>
      <c r="C15" s="2231"/>
      <c r="D15" s="2231"/>
      <c r="E15" s="2259"/>
      <c r="F15" s="790" t="s">
        <v>910</v>
      </c>
      <c r="G15" s="772"/>
      <c r="H15" s="765"/>
      <c r="I15" s="765"/>
      <c r="J15" s="766"/>
      <c r="K15" s="766"/>
    </row>
    <row r="16" spans="1:11" x14ac:dyDescent="0.2">
      <c r="A16" s="2231" t="s">
        <v>316</v>
      </c>
      <c r="B16" s="2231"/>
      <c r="C16" s="2231"/>
      <c r="D16" s="2231"/>
      <c r="E16" s="2259"/>
      <c r="F16" s="790" t="s">
        <v>980</v>
      </c>
      <c r="G16" s="773"/>
      <c r="H16" s="768"/>
      <c r="I16" s="768"/>
      <c r="J16" s="770"/>
      <c r="K16" s="770"/>
    </row>
    <row r="17" spans="1:11" x14ac:dyDescent="0.2">
      <c r="A17" s="2253" t="s">
        <v>992</v>
      </c>
      <c r="B17" s="2253"/>
      <c r="C17" s="2253"/>
      <c r="D17" s="2253"/>
      <c r="E17" s="2254"/>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66" t="s">
        <v>1914</v>
      </c>
      <c r="B19" s="2266"/>
      <c r="C19" s="2266"/>
      <c r="D19" s="2266"/>
      <c r="E19" s="2267"/>
      <c r="F19" s="790" t="s">
        <v>990</v>
      </c>
      <c r="G19" s="783"/>
      <c r="H19" s="783"/>
      <c r="I19" s="783"/>
      <c r="J19" s="766"/>
      <c r="K19" s="796"/>
    </row>
    <row r="20" spans="1:11" x14ac:dyDescent="0.2">
      <c r="A20" s="2245" t="s">
        <v>1919</v>
      </c>
      <c r="B20" s="2246"/>
      <c r="C20" s="2246"/>
      <c r="D20" s="2246"/>
      <c r="E20" s="2247"/>
      <c r="F20" s="790" t="s">
        <v>991</v>
      </c>
      <c r="G20" s="783"/>
      <c r="H20" s="783"/>
      <c r="I20" s="783"/>
      <c r="J20" s="766"/>
      <c r="K20" s="796"/>
    </row>
    <row r="21" spans="1:11" ht="13.5" thickBot="1" x14ac:dyDescent="0.25">
      <c r="A21" s="2251" t="s">
        <v>659</v>
      </c>
      <c r="B21" s="2251"/>
      <c r="C21" s="2251"/>
      <c r="D21" s="2251"/>
      <c r="E21" s="2251"/>
      <c r="F21" s="1781"/>
      <c r="G21" s="793"/>
      <c r="H21" s="797"/>
      <c r="I21" s="797"/>
      <c r="J21" s="1782">
        <f>SUM(J18:J20)</f>
        <v>0</v>
      </c>
      <c r="K21" s="794"/>
    </row>
    <row r="22" spans="1:11" ht="13.5" thickTop="1" x14ac:dyDescent="0.2">
      <c r="A22" s="2231" t="s">
        <v>1920</v>
      </c>
      <c r="B22" s="2231"/>
      <c r="C22" s="2231"/>
      <c r="D22" s="2231"/>
      <c r="E22" s="2259"/>
      <c r="F22" s="790" t="s">
        <v>917</v>
      </c>
      <c r="G22" s="783"/>
      <c r="H22" s="765"/>
      <c r="I22" s="765"/>
      <c r="J22" s="798"/>
      <c r="K22" s="766"/>
    </row>
    <row r="23" spans="1:11" ht="13.5" thickBot="1" x14ac:dyDescent="0.25">
      <c r="A23" s="2252" t="s">
        <v>962</v>
      </c>
      <c r="B23" s="2251"/>
      <c r="C23" s="2251"/>
      <c r="D23" s="2251"/>
      <c r="E23" s="2251"/>
      <c r="F23" s="1783"/>
      <c r="G23" s="1780">
        <f>SUM(G14:G16,G21,G22)</f>
        <v>0</v>
      </c>
      <c r="H23" s="1780">
        <f>SUM(H14:H16,H21,H22)</f>
        <v>37574</v>
      </c>
      <c r="I23" s="1780">
        <f>SUM(I14:I16,I21,I22)</f>
        <v>0</v>
      </c>
      <c r="J23" s="1780">
        <f>SUM(J14:J16,J21,J22)</f>
        <v>0</v>
      </c>
      <c r="K23" s="1780">
        <f>SUM(K14:K16,K21,K22)</f>
        <v>0</v>
      </c>
    </row>
    <row r="24" spans="1:11" ht="14.25" thickTop="1" thickBot="1" x14ac:dyDescent="0.25">
      <c r="A24" s="2252" t="s">
        <v>2022</v>
      </c>
      <c r="B24" s="2251"/>
      <c r="C24" s="2251"/>
      <c r="D24" s="2251"/>
      <c r="E24" s="2251"/>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4" t="s">
        <v>2032</v>
      </c>
      <c r="B28" s="1905"/>
      <c r="C28" s="1905"/>
      <c r="D28" s="1905"/>
      <c r="E28" s="190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1"/>
      <c r="I31" s="2262"/>
      <c r="J31" s="2262"/>
      <c r="K31" s="2262"/>
    </row>
    <row r="32" spans="1:11" x14ac:dyDescent="0.2">
      <c r="A32" s="810"/>
      <c r="B32" s="237"/>
      <c r="C32" s="237"/>
      <c r="D32" s="237"/>
      <c r="E32" s="806"/>
      <c r="F32" s="812" t="s">
        <v>561</v>
      </c>
      <c r="G32" s="765"/>
      <c r="H32" s="2263"/>
      <c r="I32" s="2262"/>
      <c r="J32" s="2262"/>
      <c r="K32" s="2262"/>
    </row>
    <row r="33" spans="1:11" ht="1.5" customHeight="1" x14ac:dyDescent="0.2">
      <c r="A33" s="813" t="s">
        <v>1231</v>
      </c>
      <c r="B33" s="364"/>
      <c r="C33" s="364"/>
      <c r="D33" s="364"/>
      <c r="E33" s="364"/>
      <c r="F33" s="364"/>
      <c r="G33" s="814"/>
      <c r="H33" s="2263"/>
      <c r="I33" s="2262"/>
      <c r="J33" s="2262"/>
      <c r="K33" s="2262"/>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1" t="s">
        <v>562</v>
      </c>
      <c r="B41" s="2232"/>
      <c r="C41" s="2232"/>
      <c r="D41" s="2232"/>
      <c r="E41" s="2232"/>
      <c r="F41" s="223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1915</v>
      </c>
      <c r="B46" s="408" t="s">
        <v>1774</v>
      </c>
    </row>
    <row r="47" spans="1:11" s="824" customFormat="1" ht="12.75" customHeight="1" x14ac:dyDescent="0.2">
      <c r="A47" s="822"/>
      <c r="B47" s="823" t="s">
        <v>1775</v>
      </c>
      <c r="E47" s="823"/>
      <c r="K47" s="825"/>
    </row>
    <row r="48" spans="1:11" ht="12.75" customHeight="1" x14ac:dyDescent="0.2">
      <c r="A48" s="1554"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31" sqref="L3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2031</v>
      </c>
      <c r="B1" s="2271"/>
      <c r="C1" s="2272"/>
      <c r="D1" s="827"/>
      <c r="E1" s="828"/>
      <c r="F1" s="828"/>
      <c r="G1" s="829"/>
      <c r="H1" s="830"/>
      <c r="I1" s="831"/>
      <c r="J1" s="2268"/>
      <c r="K1" s="2269"/>
      <c r="L1" s="2269"/>
    </row>
    <row r="2" spans="1:14" ht="69.75" customHeight="1" x14ac:dyDescent="0.2">
      <c r="A2" s="832" t="s">
        <v>1777</v>
      </c>
      <c r="B2" s="833" t="s">
        <v>396</v>
      </c>
      <c r="C2" s="834" t="s">
        <v>2026</v>
      </c>
      <c r="D2" s="834" t="s">
        <v>2023</v>
      </c>
      <c r="E2" s="834" t="s">
        <v>2024</v>
      </c>
      <c r="F2" s="834" t="s">
        <v>2025</v>
      </c>
      <c r="G2" s="834" t="s">
        <v>626</v>
      </c>
      <c r="H2" s="834" t="s">
        <v>2027</v>
      </c>
      <c r="I2" s="834" t="s">
        <v>2028</v>
      </c>
      <c r="J2" s="834" t="s">
        <v>2043</v>
      </c>
      <c r="K2" s="834" t="s">
        <v>2029</v>
      </c>
      <c r="L2" s="834" t="s">
        <v>2030</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251280</v>
      </c>
      <c r="D5" s="842"/>
      <c r="E5" s="842"/>
      <c r="F5" s="1782">
        <f>(C5+D5)-E5</f>
        <v>251280</v>
      </c>
      <c r="G5" s="838"/>
      <c r="H5" s="843"/>
      <c r="I5" s="843"/>
      <c r="J5" s="843"/>
      <c r="K5" s="794"/>
      <c r="L5" s="1791">
        <f>F5-K5</f>
        <v>251280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23174140</v>
      </c>
      <c r="D8" s="845">
        <v>21658</v>
      </c>
      <c r="E8" s="845">
        <v>99447</v>
      </c>
      <c r="F8" s="1782">
        <f>(C8+D8)-E8</f>
        <v>23096351</v>
      </c>
      <c r="G8" s="844">
        <v>50</v>
      </c>
      <c r="H8" s="766">
        <v>8727283</v>
      </c>
      <c r="I8" s="766">
        <v>644374</v>
      </c>
      <c r="J8" s="766">
        <v>99447</v>
      </c>
      <c r="K8" s="1791">
        <f>(H8+I8)-J8</f>
        <v>9272210</v>
      </c>
      <c r="L8" s="1791">
        <f>F8-K8</f>
        <v>13824141</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1409303</v>
      </c>
      <c r="D10" s="847">
        <v>9631</v>
      </c>
      <c r="E10" s="847">
        <v>38559</v>
      </c>
      <c r="F10" s="1786">
        <f>(C10+D10)-E10</f>
        <v>1380375</v>
      </c>
      <c r="G10" s="844">
        <v>20</v>
      </c>
      <c r="H10" s="848">
        <v>667385</v>
      </c>
      <c r="I10" s="848">
        <v>68665</v>
      </c>
      <c r="J10" s="848">
        <v>38559</v>
      </c>
      <c r="K10" s="1791">
        <f>(H10+I10)-J10</f>
        <v>697491</v>
      </c>
      <c r="L10" s="1791">
        <f>F10-K10</f>
        <v>682884</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1417156</v>
      </c>
      <c r="D12" s="845">
        <v>30000</v>
      </c>
      <c r="E12" s="845">
        <v>91695</v>
      </c>
      <c r="F12" s="1782">
        <f>(C12+D12)-E12</f>
        <v>1355461</v>
      </c>
      <c r="G12" s="844">
        <v>10</v>
      </c>
      <c r="H12" s="766">
        <v>1322343</v>
      </c>
      <c r="I12" s="766">
        <v>33130</v>
      </c>
      <c r="J12" s="766">
        <v>91695</v>
      </c>
      <c r="K12" s="1791">
        <f>(H12+I12)-J12</f>
        <v>1263778</v>
      </c>
      <c r="L12" s="1791">
        <f>F12-K12</f>
        <v>91683</v>
      </c>
    </row>
    <row r="13" spans="1:14" ht="14.25" thickTop="1" thickBot="1" x14ac:dyDescent="0.25">
      <c r="A13" s="849" t="s">
        <v>1184</v>
      </c>
      <c r="B13" s="841">
        <v>252</v>
      </c>
      <c r="C13" s="845">
        <v>703282</v>
      </c>
      <c r="D13" s="845">
        <v>6000</v>
      </c>
      <c r="E13" s="845"/>
      <c r="F13" s="1782">
        <f>(C13+D13)-E13</f>
        <v>709282</v>
      </c>
      <c r="G13" s="844">
        <v>5</v>
      </c>
      <c r="H13" s="766">
        <v>620109</v>
      </c>
      <c r="I13" s="766">
        <v>43311</v>
      </c>
      <c r="J13" s="766"/>
      <c r="K13" s="1791">
        <f>(H13+I13)-J13</f>
        <v>663420</v>
      </c>
      <c r="L13" s="1791">
        <f>F13-K13</f>
        <v>45862</v>
      </c>
    </row>
    <row r="14" spans="1:14" ht="14.25" thickTop="1" thickBot="1" x14ac:dyDescent="0.25">
      <c r="A14" s="849" t="s">
        <v>1185</v>
      </c>
      <c r="B14" s="841">
        <v>253</v>
      </c>
      <c r="C14" s="766">
        <v>40741</v>
      </c>
      <c r="D14" s="766"/>
      <c r="E14" s="766"/>
      <c r="F14" s="1782">
        <f>(C14+D14)-E14</f>
        <v>40741</v>
      </c>
      <c r="G14" s="844">
        <v>3</v>
      </c>
      <c r="H14" s="766">
        <v>40741</v>
      </c>
      <c r="I14" s="766"/>
      <c r="J14" s="766"/>
      <c r="K14" s="1791">
        <f>(H14+I14)-J14</f>
        <v>40741</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26995902</v>
      </c>
      <c r="D16" s="1782">
        <f>SUM(D3,D5:D6,D8:D10,D12:D15)</f>
        <v>67289</v>
      </c>
      <c r="E16" s="1782">
        <f>SUM(E3,E5:E6,E8:E10,E12:E15)</f>
        <v>229701</v>
      </c>
      <c r="F16" s="1782">
        <f>SUM(F3,F5:F6,F8:F10,F12:F15)</f>
        <v>26833490</v>
      </c>
      <c r="G16" s="844"/>
      <c r="H16" s="1782">
        <f>SUM(H3,H6,H8:H10,H12:H14,)</f>
        <v>11377861</v>
      </c>
      <c r="I16" s="1782">
        <f>SUM(I3,I6,I8:I10,I12:I14,)</f>
        <v>789480</v>
      </c>
      <c r="J16" s="1782">
        <f>SUM(J3,J6,J8:J10,J12:J14,)</f>
        <v>229701</v>
      </c>
      <c r="K16" s="1782">
        <f>(H16+I16)-J16</f>
        <v>11937640</v>
      </c>
      <c r="L16" s="1782">
        <f>F16-K16</f>
        <v>14895850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9080</v>
      </c>
      <c r="G17" s="838">
        <v>10</v>
      </c>
      <c r="H17" s="770"/>
      <c r="I17" s="1791">
        <f>F17/G17</f>
        <v>908</v>
      </c>
      <c r="J17" s="770"/>
      <c r="K17" s="796"/>
      <c r="L17" s="796"/>
    </row>
    <row r="18" spans="1:12" ht="14.25" thickTop="1" thickBot="1" x14ac:dyDescent="0.25">
      <c r="A18" s="1789" t="s">
        <v>706</v>
      </c>
      <c r="B18" s="1790"/>
      <c r="C18" s="772"/>
      <c r="D18" s="772"/>
      <c r="E18" s="772"/>
      <c r="F18" s="851"/>
      <c r="G18" s="852"/>
      <c r="H18" s="774"/>
      <c r="I18" s="1782">
        <f>SUM(I16,I17)</f>
        <v>790388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48" activePane="bottomLeft" state="frozen"/>
      <selection activeCell="L31" sqref="L31"/>
      <selection pane="bottomLeft" activeCell="L31" sqref="L3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3">
        <f>'Expenditures 15-22'!K114</f>
        <v>6990919</v>
      </c>
      <c r="G8" s="866"/>
    </row>
    <row r="9" spans="1:7" x14ac:dyDescent="0.2">
      <c r="A9" s="870" t="s">
        <v>480</v>
      </c>
      <c r="B9" s="871" t="s">
        <v>1986</v>
      </c>
      <c r="C9" s="872"/>
      <c r="D9" s="870" t="s">
        <v>522</v>
      </c>
      <c r="E9" s="869"/>
      <c r="F9" s="1934">
        <f>'Expenditures 15-22'!K151</f>
        <v>611747</v>
      </c>
      <c r="G9" s="873"/>
    </row>
    <row r="10" spans="1:7" x14ac:dyDescent="0.2">
      <c r="A10" s="870" t="s">
        <v>520</v>
      </c>
      <c r="B10" s="871" t="s">
        <v>1987</v>
      </c>
      <c r="C10" s="872"/>
      <c r="D10" s="870" t="s">
        <v>522</v>
      </c>
      <c r="E10" s="869"/>
      <c r="F10" s="1934">
        <f>'Expenditures 15-22'!K174</f>
        <v>900771</v>
      </c>
      <c r="G10" s="873"/>
    </row>
    <row r="11" spans="1:7" x14ac:dyDescent="0.2">
      <c r="A11" s="870" t="s">
        <v>481</v>
      </c>
      <c r="B11" s="871" t="s">
        <v>1988</v>
      </c>
      <c r="C11" s="872"/>
      <c r="D11" s="870" t="s">
        <v>522</v>
      </c>
      <c r="E11" s="869"/>
      <c r="F11" s="1934">
        <f>'Expenditures 15-22'!K210</f>
        <v>608434</v>
      </c>
      <c r="G11" s="873"/>
    </row>
    <row r="12" spans="1:7" x14ac:dyDescent="0.2">
      <c r="A12" s="870" t="s">
        <v>482</v>
      </c>
      <c r="B12" s="871" t="s">
        <v>1989</v>
      </c>
      <c r="C12" s="872"/>
      <c r="D12" s="870" t="s">
        <v>522</v>
      </c>
      <c r="E12" s="869"/>
      <c r="F12" s="1934">
        <f>'Expenditures 15-22'!K295</f>
        <v>244815</v>
      </c>
      <c r="G12" s="873"/>
    </row>
    <row r="13" spans="1:7" x14ac:dyDescent="0.2">
      <c r="A13" s="870" t="s">
        <v>108</v>
      </c>
      <c r="B13" s="871" t="s">
        <v>1990</v>
      </c>
      <c r="C13" s="872"/>
      <c r="D13" s="870" t="s">
        <v>522</v>
      </c>
      <c r="E13" s="869"/>
      <c r="F13" s="1934">
        <f>'Expenditures 15-22'!K342</f>
        <v>114679</v>
      </c>
      <c r="G13" s="874"/>
    </row>
    <row r="14" spans="1:7" ht="12" customHeight="1" thickBot="1" x14ac:dyDescent="0.25">
      <c r="A14" s="1792"/>
      <c r="B14" s="1793"/>
      <c r="C14" s="1794"/>
      <c r="D14" s="1795" t="s">
        <v>522</v>
      </c>
      <c r="E14" s="1796" t="s">
        <v>1015</v>
      </c>
      <c r="F14" s="1797">
        <f>SUM(F8:F13)</f>
        <v>9471365</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5">
        <f>'Revenues 9-14'!F43</f>
        <v>0</v>
      </c>
      <c r="G18" s="866"/>
    </row>
    <row r="19" spans="1:7" x14ac:dyDescent="0.2">
      <c r="A19" s="870" t="s">
        <v>481</v>
      </c>
      <c r="B19" s="871" t="s">
        <v>1069</v>
      </c>
      <c r="C19" s="878">
        <f>'Revenues 9-14'!B47</f>
        <v>1421</v>
      </c>
      <c r="D19" s="879" t="str">
        <f>'Revenues 9-14'!A47</f>
        <v>Summer Sch - Transp. Fees from Pupils or Parents (In State)</v>
      </c>
      <c r="E19" s="880"/>
      <c r="F19" s="1936">
        <f>'Revenues 9-14'!F47</f>
        <v>0</v>
      </c>
      <c r="G19" s="866"/>
    </row>
    <row r="20" spans="1:7" x14ac:dyDescent="0.2">
      <c r="A20" s="870" t="s">
        <v>481</v>
      </c>
      <c r="B20" s="871" t="s">
        <v>1070</v>
      </c>
      <c r="C20" s="876">
        <f>'Revenues 9-14'!B48</f>
        <v>1422</v>
      </c>
      <c r="D20" s="877" t="str">
        <f>'Revenues 9-14'!A48</f>
        <v>Summer Sch - Transp. Fees from Other Districts (In State)</v>
      </c>
      <c r="E20" s="869"/>
      <c r="F20" s="1937">
        <f>'Revenues 9-14'!F48</f>
        <v>0</v>
      </c>
      <c r="G20" s="866"/>
    </row>
    <row r="21" spans="1:7" x14ac:dyDescent="0.2">
      <c r="A21" s="870" t="s">
        <v>481</v>
      </c>
      <c r="B21" s="871" t="s">
        <v>1071</v>
      </c>
      <c r="C21" s="878">
        <f>'Revenues 9-14'!B49</f>
        <v>1423</v>
      </c>
      <c r="D21" s="877" t="str">
        <f>'Revenues 9-14'!A49</f>
        <v>Summer Sch - Transp. Fees from Other Sources (In State)</v>
      </c>
      <c r="E21" s="869"/>
      <c r="F21" s="1938">
        <f>'Revenues 9-14'!F49</f>
        <v>0</v>
      </c>
      <c r="G21" s="866"/>
    </row>
    <row r="22" spans="1:7" x14ac:dyDescent="0.2">
      <c r="A22" s="870" t="s">
        <v>481</v>
      </c>
      <c r="B22" s="871" t="s">
        <v>1072</v>
      </c>
      <c r="C22" s="878">
        <f>'Revenues 9-14'!B50</f>
        <v>1424</v>
      </c>
      <c r="D22" s="877" t="str">
        <f>'Revenues 9-14'!A50</f>
        <v>Summer Sch - Transp. Fees from Other Sources (Out of State)</v>
      </c>
      <c r="E22" s="869"/>
      <c r="F22" s="1938">
        <f>'Revenues 9-14'!F50</f>
        <v>0</v>
      </c>
      <c r="G22" s="866"/>
    </row>
    <row r="23" spans="1:7" x14ac:dyDescent="0.2">
      <c r="A23" s="870" t="s">
        <v>481</v>
      </c>
      <c r="B23" s="871" t="s">
        <v>1073</v>
      </c>
      <c r="C23" s="876">
        <f>'Revenues 9-14'!B52</f>
        <v>1432</v>
      </c>
      <c r="D23" s="877" t="str">
        <f>'Revenues 9-14'!A52</f>
        <v>CTE - Transp Fees from Other Districts (In State)</v>
      </c>
      <c r="E23" s="869"/>
      <c r="F23" s="1938">
        <f>'Revenues 9-14'!F52</f>
        <v>0</v>
      </c>
      <c r="G23" s="866"/>
    </row>
    <row r="24" spans="1:7" x14ac:dyDescent="0.2">
      <c r="A24" s="870" t="s">
        <v>481</v>
      </c>
      <c r="B24" s="871" t="s">
        <v>1074</v>
      </c>
      <c r="C24" s="876">
        <f>'Revenues 9-14'!B56</f>
        <v>1442</v>
      </c>
      <c r="D24" s="877" t="str">
        <f>'Revenues 9-14'!A56</f>
        <v>Special Ed - Transp Fees from Other Districts (In State)</v>
      </c>
      <c r="E24" s="869"/>
      <c r="F24" s="1938">
        <f>'Revenues 9-14'!F56</f>
        <v>0</v>
      </c>
      <c r="G24" s="866"/>
    </row>
    <row r="25" spans="1:7" x14ac:dyDescent="0.2">
      <c r="A25" s="870" t="s">
        <v>481</v>
      </c>
      <c r="B25" s="871" t="s">
        <v>1075</v>
      </c>
      <c r="C25" s="876">
        <f>'Revenues 9-14'!B59</f>
        <v>1451</v>
      </c>
      <c r="D25" s="877" t="str">
        <f>'Revenues 9-14'!A59</f>
        <v>Adult - Transp Fees from Pupils or Parents (In State)</v>
      </c>
      <c r="E25" s="869"/>
      <c r="F25" s="1938">
        <f>'Revenues 9-14'!F59</f>
        <v>0</v>
      </c>
      <c r="G25" s="866"/>
    </row>
    <row r="26" spans="1:7" x14ac:dyDescent="0.2">
      <c r="A26" s="870" t="s">
        <v>481</v>
      </c>
      <c r="B26" s="871" t="s">
        <v>1076</v>
      </c>
      <c r="C26" s="876">
        <f>'Revenues 9-14'!B60</f>
        <v>1452</v>
      </c>
      <c r="D26" s="877" t="str">
        <f>'Revenues 9-14'!A60</f>
        <v>Adult - Transp Fees from Other Districts (In State)</v>
      </c>
      <c r="E26" s="869"/>
      <c r="F26" s="1938">
        <f>'Revenues 9-14'!F60</f>
        <v>0</v>
      </c>
      <c r="G26" s="866"/>
    </row>
    <row r="27" spans="1:7" x14ac:dyDescent="0.2">
      <c r="A27" s="870" t="s">
        <v>481</v>
      </c>
      <c r="B27" s="871" t="s">
        <v>1077</v>
      </c>
      <c r="C27" s="876">
        <f>'Revenues 9-14'!B61</f>
        <v>1453</v>
      </c>
      <c r="D27" s="877" t="str">
        <f>'Revenues 9-14'!A61</f>
        <v>Adult - Transp Fees from Other Sources (In State)</v>
      </c>
      <c r="E27" s="869"/>
      <c r="F27" s="1938">
        <f>'Revenues 9-14'!F61</f>
        <v>0</v>
      </c>
      <c r="G27" s="866"/>
    </row>
    <row r="28" spans="1:7" x14ac:dyDescent="0.2">
      <c r="A28" s="870" t="s">
        <v>481</v>
      </c>
      <c r="B28" s="871" t="s">
        <v>1078</v>
      </c>
      <c r="C28" s="876">
        <f>'Revenues 9-14'!B62</f>
        <v>1454</v>
      </c>
      <c r="D28" s="877" t="str">
        <f>'Revenues 9-14'!A62</f>
        <v>Adult - Transp Fees from Other Sources (Out of State)</v>
      </c>
      <c r="E28" s="869"/>
      <c r="F28" s="1938">
        <f>'Revenues 9-14'!F62</f>
        <v>0</v>
      </c>
      <c r="G28" s="866"/>
    </row>
    <row r="29" spans="1:7" x14ac:dyDescent="0.2">
      <c r="A29" s="870" t="s">
        <v>1159</v>
      </c>
      <c r="B29" s="871" t="s">
        <v>1683</v>
      </c>
      <c r="C29" s="881">
        <f>'Revenues 9-14'!B148</f>
        <v>3410</v>
      </c>
      <c r="D29" s="882" t="str">
        <f>'Revenues 9-14'!A148</f>
        <v>Adult Ed (from ICCB)</v>
      </c>
      <c r="E29" s="869"/>
      <c r="F29" s="1938">
        <f>SUM('Revenues 9-14'!D148,F149)</f>
        <v>0</v>
      </c>
      <c r="G29" s="866"/>
    </row>
    <row r="30" spans="1:7" x14ac:dyDescent="0.2">
      <c r="A30" s="870" t="s">
        <v>1159</v>
      </c>
      <c r="B30" s="871" t="s">
        <v>861</v>
      </c>
      <c r="C30" s="881">
        <f>'Revenues 9-14'!B149</f>
        <v>3499</v>
      </c>
      <c r="D30" s="882" t="str">
        <f>'Revenues 9-14'!A149</f>
        <v>Adult Ed - Other (Describe &amp; Itemize)</v>
      </c>
      <c r="E30" s="869"/>
      <c r="F30" s="193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8">
        <f>SUM('Revenues 9-14'!D219,'Revenues 9-14'!F219)</f>
        <v>0</v>
      </c>
      <c r="G32" s="866"/>
    </row>
    <row r="33" spans="1:7" x14ac:dyDescent="0.2">
      <c r="A33" s="870" t="s">
        <v>480</v>
      </c>
      <c r="B33" s="871" t="s">
        <v>801</v>
      </c>
      <c r="C33" s="876">
        <f>'Revenues 9-14'!B229</f>
        <v>4810</v>
      </c>
      <c r="D33" s="884" t="str">
        <f>'Revenues 9-14'!A229</f>
        <v>Federal - Adult Education</v>
      </c>
      <c r="E33" s="869"/>
      <c r="F33" s="1938">
        <f>'Revenues 9-14'!D229</f>
        <v>0</v>
      </c>
      <c r="G33" s="866"/>
    </row>
    <row r="34" spans="1:7" x14ac:dyDescent="0.2">
      <c r="A34" s="870" t="s">
        <v>479</v>
      </c>
      <c r="B34" s="870" t="s">
        <v>1545</v>
      </c>
      <c r="C34" s="887" t="str">
        <f>'Expenditures 15-22'!B7</f>
        <v>1125</v>
      </c>
      <c r="D34" s="888" t="str">
        <f>'Expenditures 15-22'!A7</f>
        <v>Pre-K Programs</v>
      </c>
      <c r="E34" s="869"/>
      <c r="F34" s="1938">
        <f>'Expenditures 15-22'!K7-SUM('Expenditures 15-22'!G7,'Expenditures 15-22'!I7)</f>
        <v>84803</v>
      </c>
      <c r="G34" s="866"/>
    </row>
    <row r="35" spans="1:7" x14ac:dyDescent="0.2">
      <c r="A35" s="870" t="s">
        <v>479</v>
      </c>
      <c r="B35" s="870" t="s">
        <v>1546</v>
      </c>
      <c r="C35" s="887" t="str">
        <f>'Expenditures 15-22'!B9</f>
        <v>1225</v>
      </c>
      <c r="D35" s="888" t="str">
        <f>'Expenditures 15-22'!A9</f>
        <v>Special Education Programs Pre-K</v>
      </c>
      <c r="E35" s="869"/>
      <c r="F35" s="1938">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8">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8">
        <f>'Expenditures 15-22'!K20</f>
        <v>0</v>
      </c>
      <c r="G39" s="866"/>
    </row>
    <row r="40" spans="1:7" x14ac:dyDescent="0.2">
      <c r="A40" s="870" t="s">
        <v>479</v>
      </c>
      <c r="B40" s="870" t="s">
        <v>120</v>
      </c>
      <c r="C40" s="887" t="str">
        <f>'Expenditures 15-22'!B21</f>
        <v>1911</v>
      </c>
      <c r="D40" s="889" t="str">
        <f>'Expenditures 15-22'!A21</f>
        <v>Regular K-12 Programs - Private Tuition</v>
      </c>
      <c r="E40" s="869"/>
      <c r="F40" s="193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8">
        <f>'Expenditures 15-22'!K22</f>
        <v>10443</v>
      </c>
      <c r="G41" s="866"/>
    </row>
    <row r="42" spans="1:7" x14ac:dyDescent="0.2">
      <c r="A42" s="870" t="s">
        <v>479</v>
      </c>
      <c r="B42" s="870" t="s">
        <v>122</v>
      </c>
      <c r="C42" s="890" t="str">
        <f>'Expenditures 15-22'!B23</f>
        <v>1913</v>
      </c>
      <c r="D42" s="889" t="str">
        <f>'Expenditures 15-22'!A23</f>
        <v>Special Education Programs Pre-K - Tuition</v>
      </c>
      <c r="E42" s="869"/>
      <c r="F42" s="193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8">
        <f>'Expenditures 15-22'!K26</f>
        <v>0</v>
      </c>
      <c r="G45" s="866"/>
    </row>
    <row r="46" spans="1:7" x14ac:dyDescent="0.2">
      <c r="A46" s="870" t="s">
        <v>479</v>
      </c>
      <c r="B46" s="870" t="s">
        <v>126</v>
      </c>
      <c r="C46" s="887" t="str">
        <f>'Expenditures 15-22'!B27</f>
        <v>1917</v>
      </c>
      <c r="D46" s="889" t="str">
        <f>'Expenditures 15-22'!A27</f>
        <v>CTE Programs - Private Tuition</v>
      </c>
      <c r="E46" s="869"/>
      <c r="F46" s="193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8">
        <f>'Expenditures 15-22'!K29</f>
        <v>0</v>
      </c>
      <c r="G48" s="866"/>
    </row>
    <row r="49" spans="1:7" x14ac:dyDescent="0.2">
      <c r="A49" s="870" t="s">
        <v>479</v>
      </c>
      <c r="B49" s="870" t="s">
        <v>129</v>
      </c>
      <c r="C49" s="887" t="str">
        <f>'Expenditures 15-22'!B30</f>
        <v>1920</v>
      </c>
      <c r="D49" s="889" t="str">
        <f>'Expenditures 15-22'!A30</f>
        <v>Gifted Programs - Private Tuition</v>
      </c>
      <c r="E49" s="869"/>
      <c r="F49" s="1938">
        <f>'Expenditures 15-22'!K30</f>
        <v>0</v>
      </c>
      <c r="G49" s="866"/>
    </row>
    <row r="50" spans="1:7" x14ac:dyDescent="0.2">
      <c r="A50" s="870" t="s">
        <v>479</v>
      </c>
      <c r="B50" s="870" t="s">
        <v>130</v>
      </c>
      <c r="C50" s="887" t="str">
        <f>'Expenditures 15-22'!B31</f>
        <v>1921</v>
      </c>
      <c r="D50" s="889" t="str">
        <f>'Expenditures 15-22'!A31</f>
        <v>Bilingual Programs - Private Tuition</v>
      </c>
      <c r="E50" s="869"/>
      <c r="F50" s="193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8">
        <f>'Expenditures 15-22'!K32</f>
        <v>0</v>
      </c>
      <c r="G51" s="866"/>
    </row>
    <row r="52" spans="1:7" x14ac:dyDescent="0.2">
      <c r="A52" s="870" t="s">
        <v>479</v>
      </c>
      <c r="B52" s="870" t="s">
        <v>1550</v>
      </c>
      <c r="C52" s="890" t="str">
        <f>'Expenditures 15-22'!B75</f>
        <v>3000</v>
      </c>
      <c r="D52" s="889" t="s">
        <v>469</v>
      </c>
      <c r="E52" s="869"/>
      <c r="F52" s="1938">
        <f>'Expenditures 15-22'!K75-SUM('Expenditures 15-22'!G75,'Expenditures 15-22'!I75)</f>
        <v>101019</v>
      </c>
      <c r="G52" s="866"/>
    </row>
    <row r="53" spans="1:7" x14ac:dyDescent="0.2">
      <c r="A53" s="870" t="s">
        <v>479</v>
      </c>
      <c r="B53" s="870" t="s">
        <v>1551</v>
      </c>
      <c r="C53" s="890">
        <f>'Expenditures 15-22'!B102</f>
        <v>4000</v>
      </c>
      <c r="D53" s="889" t="str">
        <f>'Expenditures 15-22'!A102</f>
        <v>Total Payments to Other Govt Units</v>
      </c>
      <c r="E53" s="869"/>
      <c r="F53" s="1938">
        <f>'Expenditures 15-22'!K102</f>
        <v>669823</v>
      </c>
      <c r="G53" s="866"/>
    </row>
    <row r="54" spans="1:7" x14ac:dyDescent="0.2">
      <c r="A54" s="870" t="s">
        <v>479</v>
      </c>
      <c r="B54" s="870" t="s">
        <v>1552</v>
      </c>
      <c r="C54" s="890" t="s">
        <v>1039</v>
      </c>
      <c r="D54" s="886" t="s">
        <v>1157</v>
      </c>
      <c r="E54" s="869"/>
      <c r="F54" s="1938">
        <f>'Expenditures 15-22'!G114</f>
        <v>30000</v>
      </c>
      <c r="G54" s="866"/>
    </row>
    <row r="55" spans="1:7" x14ac:dyDescent="0.2">
      <c r="A55" s="870" t="s">
        <v>479</v>
      </c>
      <c r="B55" s="870" t="s">
        <v>1553</v>
      </c>
      <c r="C55" s="890" t="s">
        <v>1039</v>
      </c>
      <c r="D55" s="886" t="s">
        <v>309</v>
      </c>
      <c r="E55" s="869"/>
      <c r="F55" s="1938">
        <f>'Expenditures 15-22'!I114</f>
        <v>3871</v>
      </c>
      <c r="G55" s="866"/>
    </row>
    <row r="56" spans="1:7" x14ac:dyDescent="0.2">
      <c r="A56" s="870" t="s">
        <v>480</v>
      </c>
      <c r="B56" s="870" t="s">
        <v>1554</v>
      </c>
      <c r="C56" s="887" t="str">
        <f>'Expenditures 15-22'!B130</f>
        <v>3000</v>
      </c>
      <c r="D56" s="893" t="s">
        <v>469</v>
      </c>
      <c r="E56" s="869"/>
      <c r="F56" s="1938">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938">
        <f>'Expenditures 15-22'!K139</f>
        <v>0</v>
      </c>
      <c r="G57" s="866"/>
    </row>
    <row r="58" spans="1:7" x14ac:dyDescent="0.2">
      <c r="A58" s="870" t="s">
        <v>480</v>
      </c>
      <c r="B58" s="870" t="s">
        <v>1992</v>
      </c>
      <c r="C58" s="887" t="s">
        <v>1039</v>
      </c>
      <c r="D58" s="886" t="s">
        <v>1157</v>
      </c>
      <c r="E58" s="869"/>
      <c r="F58" s="1940">
        <f>'Expenditures 15-22'!G151</f>
        <v>0</v>
      </c>
      <c r="G58" s="866"/>
    </row>
    <row r="59" spans="1:7" x14ac:dyDescent="0.2">
      <c r="A59" s="894" t="s">
        <v>480</v>
      </c>
      <c r="B59" s="857" t="s">
        <v>1993</v>
      </c>
      <c r="C59" s="895" t="s">
        <v>1039</v>
      </c>
      <c r="D59" s="857" t="s">
        <v>309</v>
      </c>
      <c r="F59" s="1941">
        <f>'Expenditures 15-22'!I151</f>
        <v>5209</v>
      </c>
      <c r="G59" s="866"/>
    </row>
    <row r="60" spans="1:7" x14ac:dyDescent="0.2">
      <c r="A60" s="894" t="s">
        <v>520</v>
      </c>
      <c r="B60" s="857" t="s">
        <v>1994</v>
      </c>
      <c r="C60" s="895">
        <v>4000</v>
      </c>
      <c r="D60" s="857" t="s">
        <v>330</v>
      </c>
      <c r="F60" s="1939">
        <f>'Expenditures 15-22'!K160</f>
        <v>0</v>
      </c>
      <c r="G60" s="866"/>
    </row>
    <row r="61" spans="1:7" x14ac:dyDescent="0.2">
      <c r="A61" s="896" t="s">
        <v>520</v>
      </c>
      <c r="B61" s="896" t="s">
        <v>1995</v>
      </c>
      <c r="C61" s="897" t="str">
        <f>'Expenditures 15-22'!B170</f>
        <v>5300</v>
      </c>
      <c r="D61" s="898" t="s">
        <v>329</v>
      </c>
      <c r="E61" s="880"/>
      <c r="F61" s="1938">
        <f>'Expenditures 15-22'!K170</f>
        <v>560000</v>
      </c>
      <c r="G61" s="866"/>
    </row>
    <row r="62" spans="1:7" x14ac:dyDescent="0.2">
      <c r="A62" s="870" t="s">
        <v>481</v>
      </c>
      <c r="B62" s="870" t="s">
        <v>1996</v>
      </c>
      <c r="C62" s="887">
        <f>'Expenditures 15-22'!B185</f>
        <v>3000</v>
      </c>
      <c r="D62" s="877" t="s">
        <v>469</v>
      </c>
      <c r="E62" s="869"/>
      <c r="F62" s="1938">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938">
        <f>'Expenditures 15-22'!K196</f>
        <v>0</v>
      </c>
      <c r="G63" s="866"/>
    </row>
    <row r="64" spans="1:7" x14ac:dyDescent="0.2">
      <c r="A64" s="896" t="s">
        <v>481</v>
      </c>
      <c r="B64" s="896" t="s">
        <v>1998</v>
      </c>
      <c r="C64" s="897" t="str">
        <f>'Expenditures 15-22'!B206</f>
        <v>5300</v>
      </c>
      <c r="D64" s="893" t="s">
        <v>329</v>
      </c>
      <c r="E64" s="869"/>
      <c r="F64" s="1938">
        <f>'Expenditures 15-22'!K206</f>
        <v>0</v>
      </c>
      <c r="G64" s="866"/>
    </row>
    <row r="65" spans="1:8" x14ac:dyDescent="0.2">
      <c r="A65" s="870" t="s">
        <v>481</v>
      </c>
      <c r="B65" s="870" t="s">
        <v>1999</v>
      </c>
      <c r="C65" s="887" t="s">
        <v>1039</v>
      </c>
      <c r="D65" s="886" t="s">
        <v>1157</v>
      </c>
      <c r="E65" s="869"/>
      <c r="F65" s="1938">
        <f>'Expenditures 15-22'!G210</f>
        <v>0</v>
      </c>
      <c r="G65" s="866"/>
    </row>
    <row r="66" spans="1:8" x14ac:dyDescent="0.2">
      <c r="A66" s="870" t="s">
        <v>481</v>
      </c>
      <c r="B66" s="870" t="s">
        <v>2000</v>
      </c>
      <c r="C66" s="887" t="s">
        <v>1039</v>
      </c>
      <c r="D66" s="886" t="s">
        <v>309</v>
      </c>
      <c r="E66" s="869"/>
      <c r="F66" s="1938">
        <f>'Expenditures 15-22'!I210</f>
        <v>0</v>
      </c>
      <c r="G66" s="866"/>
    </row>
    <row r="67" spans="1:8" x14ac:dyDescent="0.2">
      <c r="A67" s="870" t="s">
        <v>482</v>
      </c>
      <c r="B67" s="870" t="s">
        <v>2001</v>
      </c>
      <c r="C67" s="887" t="str">
        <f>'Expenditures 15-22'!B216</f>
        <v>1125</v>
      </c>
      <c r="D67" s="893" t="str">
        <f>'Expenditures 15-22'!A216</f>
        <v>Pre-K Programs</v>
      </c>
      <c r="E67" s="869"/>
      <c r="F67" s="1938">
        <f>'Expenditures 15-22'!K216</f>
        <v>4648</v>
      </c>
      <c r="G67" s="866"/>
    </row>
    <row r="68" spans="1:8" x14ac:dyDescent="0.2">
      <c r="A68" s="870" t="s">
        <v>482</v>
      </c>
      <c r="B68" s="870" t="s">
        <v>1555</v>
      </c>
      <c r="C68" s="887" t="str">
        <f>'Expenditures 15-22'!B218</f>
        <v>1225</v>
      </c>
      <c r="D68" s="893" t="str">
        <f>'Expenditures 15-22'!A218</f>
        <v>Special Education Programs - Pre-K</v>
      </c>
      <c r="E68" s="869"/>
      <c r="F68" s="1938">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938">
        <f>'Expenditures 15-22'!K220</f>
        <v>0</v>
      </c>
      <c r="G69" s="866"/>
    </row>
    <row r="70" spans="1:8" x14ac:dyDescent="0.2">
      <c r="A70" s="870" t="s">
        <v>482</v>
      </c>
      <c r="B70" s="870" t="s">
        <v>2003</v>
      </c>
      <c r="C70" s="887">
        <f>'Expenditures 15-22'!B221</f>
        <v>1300</v>
      </c>
      <c r="D70" s="888" t="str">
        <f>'Expenditures 15-22'!A221</f>
        <v>Adult/Continuing Education Programs</v>
      </c>
      <c r="E70" s="869"/>
      <c r="F70" s="1938">
        <f>'Expenditures 15-22'!K221</f>
        <v>0</v>
      </c>
      <c r="G70" s="866"/>
    </row>
    <row r="71" spans="1:8" x14ac:dyDescent="0.2">
      <c r="A71" s="870" t="s">
        <v>482</v>
      </c>
      <c r="B71" s="870" t="s">
        <v>2004</v>
      </c>
      <c r="C71" s="887">
        <f>'Expenditures 15-22'!B224</f>
        <v>1600</v>
      </c>
      <c r="D71" s="888" t="str">
        <f>'Expenditures 15-22'!A224</f>
        <v>Summer School Programs</v>
      </c>
      <c r="E71" s="869"/>
      <c r="F71" s="1938">
        <f>'Expenditures 15-22'!K224</f>
        <v>0</v>
      </c>
      <c r="G71" s="866"/>
    </row>
    <row r="72" spans="1:8" x14ac:dyDescent="0.2">
      <c r="A72" s="870" t="s">
        <v>482</v>
      </c>
      <c r="B72" s="870" t="s">
        <v>2005</v>
      </c>
      <c r="C72" s="887">
        <f>'Expenditures 15-22'!B280</f>
        <v>3000</v>
      </c>
      <c r="D72" s="877" t="s">
        <v>469</v>
      </c>
      <c r="E72" s="869"/>
      <c r="F72" s="1938">
        <f>'Expenditures 15-22'!K280</f>
        <v>15349</v>
      </c>
      <c r="G72" s="866"/>
    </row>
    <row r="73" spans="1:8" x14ac:dyDescent="0.2">
      <c r="A73" s="870" t="s">
        <v>482</v>
      </c>
      <c r="B73" s="870" t="s">
        <v>2006</v>
      </c>
      <c r="C73" s="887" t="str">
        <f>'Expenditures 15-22'!B285</f>
        <v>4000</v>
      </c>
      <c r="D73" s="888" t="str">
        <f>'Expenditures 15-22'!A285</f>
        <v>Total Payments to Other Govt Units</v>
      </c>
      <c r="E73" s="869"/>
      <c r="F73" s="1938">
        <f>'Expenditures 15-22'!K285</f>
        <v>0</v>
      </c>
      <c r="G73" s="866"/>
    </row>
    <row r="74" spans="1:8" x14ac:dyDescent="0.2">
      <c r="A74" s="870" t="s">
        <v>456</v>
      </c>
      <c r="B74" s="870" t="s">
        <v>2007</v>
      </c>
      <c r="C74" s="887" t="s">
        <v>915</v>
      </c>
      <c r="D74" s="888" t="s">
        <v>1567</v>
      </c>
      <c r="E74" s="869"/>
      <c r="F74" s="1942">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2008</v>
      </c>
      <c r="E76" s="1796" t="s">
        <v>1015</v>
      </c>
      <c r="F76" s="1800">
        <f>SUM(F18:F74)</f>
        <v>1485165</v>
      </c>
      <c r="G76" s="866"/>
    </row>
    <row r="77" spans="1:8" s="894" customFormat="1" ht="12" customHeight="1" thickTop="1" thickBot="1" x14ac:dyDescent="0.25">
      <c r="A77" s="1801"/>
      <c r="B77" s="1798"/>
      <c r="C77" s="1794"/>
      <c r="D77" s="1799" t="s">
        <v>2009</v>
      </c>
      <c r="E77" s="1796"/>
      <c r="F77" s="1802">
        <f>(F14-F76)</f>
        <v>7986200</v>
      </c>
      <c r="G77" s="870"/>
    </row>
    <row r="78" spans="1:8" s="894" customFormat="1" ht="12" customHeight="1" thickTop="1" x14ac:dyDescent="0.2">
      <c r="A78" s="1803"/>
      <c r="B78" s="1798"/>
      <c r="C78" s="1794"/>
      <c r="D78" s="1799" t="s">
        <v>2055</v>
      </c>
      <c r="E78" s="1796"/>
      <c r="F78" s="899">
        <v>894.16</v>
      </c>
      <c r="G78" s="900"/>
      <c r="H78" s="870"/>
    </row>
    <row r="79" spans="1:8" s="894" customFormat="1" ht="12" customHeight="1" thickBot="1" x14ac:dyDescent="0.25">
      <c r="A79" s="1804"/>
      <c r="B79" s="1798"/>
      <c r="C79" s="1794"/>
      <c r="D79" s="1799" t="s">
        <v>2010</v>
      </c>
      <c r="E79" s="1796" t="s">
        <v>1015</v>
      </c>
      <c r="F79" s="1805">
        <f>IF(F78&gt;0,F77/F78," Complete Line 78")</f>
        <v>8931.5111389460508</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2">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177596</v>
      </c>
      <c r="G94" s="913"/>
    </row>
    <row r="95" spans="1:7" x14ac:dyDescent="0.2">
      <c r="A95" s="909" t="s">
        <v>142</v>
      </c>
      <c r="B95" s="909" t="s">
        <v>177</v>
      </c>
      <c r="C95" s="911">
        <v>1700</v>
      </c>
      <c r="D95" s="919" t="str">
        <f>'Revenues 9-14'!A82</f>
        <v>Total District/School Activity Income</v>
      </c>
      <c r="E95" s="907"/>
      <c r="F95" s="1811">
        <f>SUM('Revenues 9-14'!C82,'Revenues 9-14'!D82)</f>
        <v>48815</v>
      </c>
      <c r="G95" s="913"/>
    </row>
    <row r="96" spans="1:7" x14ac:dyDescent="0.2">
      <c r="A96" s="909" t="s">
        <v>479</v>
      </c>
      <c r="B96" s="909" t="s">
        <v>178</v>
      </c>
      <c r="C96" s="911">
        <f>'Revenues 9-14'!B84</f>
        <v>1811</v>
      </c>
      <c r="D96" s="912" t="str">
        <f>'Revenues 9-14'!A84</f>
        <v>Rentals - Regular Textbooks</v>
      </c>
      <c r="E96" s="907"/>
      <c r="F96" s="1811">
        <f>'Revenues 9-14'!C84</f>
        <v>44558</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16274</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240877</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6637</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3471</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14484</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388493</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6000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2">
        <f>SUM('Revenues 9-14'!C166:G166)</f>
        <v>0</v>
      </c>
      <c r="G122" s="913"/>
    </row>
    <row r="123" spans="1:7" x14ac:dyDescent="0.2">
      <c r="A123" s="924" t="s">
        <v>525</v>
      </c>
      <c r="B123" s="924" t="s">
        <v>853</v>
      </c>
      <c r="C123" s="925">
        <f>'Revenues 9-14'!B167</f>
        <v>3815</v>
      </c>
      <c r="D123" s="926" t="str">
        <f>'Revenues 9-14'!A167</f>
        <v>State Charter Schools</v>
      </c>
      <c r="E123" s="907"/>
      <c r="F123" s="193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258107</v>
      </c>
      <c r="G129" s="931"/>
    </row>
    <row r="130" spans="1:7" x14ac:dyDescent="0.2">
      <c r="A130" s="928" t="s">
        <v>689</v>
      </c>
      <c r="B130" s="928" t="s">
        <v>804</v>
      </c>
      <c r="C130" s="933">
        <v>4300</v>
      </c>
      <c r="D130" s="934" t="str">
        <f>'Revenues 9-14'!A211</f>
        <v>Total Title I</v>
      </c>
      <c r="E130" s="907"/>
      <c r="F130" s="1811">
        <f>SUM('Revenues 9-14'!C211,'Revenues 9-14'!D211,'Revenues 9-14'!F211,'Revenues 9-14'!G211)</f>
        <v>420377</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193908</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3306</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877</v>
      </c>
      <c r="G136" s="931">
        <v>6303</v>
      </c>
    </row>
    <row r="137" spans="1:7" s="868" customFormat="1" hidden="1" x14ac:dyDescent="0.2">
      <c r="A137" s="935" t="s">
        <v>215</v>
      </c>
      <c r="B137" s="935" t="s">
        <v>1484</v>
      </c>
      <c r="C137" s="936" t="s">
        <v>216</v>
      </c>
      <c r="D137" s="937" t="str">
        <f>'Revenues 9-14'!A231</f>
        <v>ARRA - Title I - Low Income</v>
      </c>
      <c r="E137" s="938"/>
      <c r="F137" s="193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2">
        <f>SUM('Revenues 9-14'!C268,'Revenues 9-14'!D268,'Revenues 9-14'!F268,'Revenues 9-14'!G268)</f>
        <v>21315</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12912</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815</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3" t="s">
        <v>5</v>
      </c>
      <c r="B175" s="1944" t="s">
        <v>2054</v>
      </c>
      <c r="C175" s="1945">
        <v>3100</v>
      </c>
      <c r="D175" s="1946" t="s">
        <v>2057</v>
      </c>
      <c r="E175" s="907"/>
      <c r="F175" s="1930"/>
      <c r="G175" s="928"/>
    </row>
    <row r="176" spans="1:7" x14ac:dyDescent="0.2">
      <c r="A176" s="1943" t="s">
        <v>685</v>
      </c>
      <c r="B176" s="1944" t="s">
        <v>2054</v>
      </c>
      <c r="C176" s="1945">
        <v>3300</v>
      </c>
      <c r="D176" s="1946" t="s">
        <v>2058</v>
      </c>
      <c r="E176" s="907"/>
      <c r="F176" s="1930"/>
      <c r="G176" s="928"/>
    </row>
    <row r="177" spans="1:7" ht="6" customHeight="1" x14ac:dyDescent="0.2">
      <c r="A177" s="928"/>
      <c r="B177" s="928"/>
      <c r="C177" s="950"/>
      <c r="D177" s="928"/>
      <c r="E177" s="907"/>
      <c r="F177" s="951"/>
      <c r="G177" s="948"/>
    </row>
    <row r="178" spans="1:7" x14ac:dyDescent="0.2">
      <c r="A178" s="1792"/>
      <c r="B178" s="1806"/>
      <c r="C178" s="1807"/>
      <c r="D178" s="1808" t="s">
        <v>2011</v>
      </c>
      <c r="E178" s="1809" t="s">
        <v>1015</v>
      </c>
      <c r="F178" s="1810">
        <f>SUM(F84:F136,F161:F176)</f>
        <v>1860322</v>
      </c>
    </row>
    <row r="179" spans="1:7" ht="12" customHeight="1" x14ac:dyDescent="0.2">
      <c r="A179" s="1792"/>
      <c r="B179" s="1806"/>
      <c r="C179" s="1807"/>
      <c r="D179" s="1808" t="s">
        <v>2012</v>
      </c>
      <c r="E179" s="1809"/>
      <c r="F179" s="1811">
        <f>'PCTC-OEPP 27-28'!F77-F178</f>
        <v>6125878</v>
      </c>
    </row>
    <row r="180" spans="1:7" ht="12" customHeight="1" x14ac:dyDescent="0.2">
      <c r="A180" s="1792"/>
      <c r="B180" s="1806"/>
      <c r="C180" s="1807"/>
      <c r="D180" s="1808" t="s">
        <v>1922</v>
      </c>
      <c r="E180" s="1809"/>
      <c r="F180" s="1811">
        <f>'Cap Outlay Deprec 26'!I18</f>
        <v>790388</v>
      </c>
    </row>
    <row r="181" spans="1:7" ht="12" customHeight="1" x14ac:dyDescent="0.2">
      <c r="A181" s="1792"/>
      <c r="B181" s="1806"/>
      <c r="C181" s="1807"/>
      <c r="D181" s="1808" t="s">
        <v>2013</v>
      </c>
      <c r="E181" s="1809"/>
      <c r="F181" s="1811">
        <f>F179+F180</f>
        <v>6916266</v>
      </c>
    </row>
    <row r="182" spans="1:7" ht="12" customHeight="1" x14ac:dyDescent="0.2">
      <c r="A182" s="1792"/>
      <c r="B182" s="1812"/>
      <c r="C182" s="1807"/>
      <c r="D182" s="1808" t="str">
        <f>D78</f>
        <v>9 Month ADA from District Average Daily Attendance/Prior General State Aid Inquiry 2017-2018</v>
      </c>
      <c r="E182" s="1809"/>
      <c r="F182" s="1813">
        <f>'PCTC-OEPP 27-28'!F78</f>
        <v>894.16</v>
      </c>
      <c r="G182" s="931"/>
    </row>
    <row r="183" spans="1:7" ht="12" customHeight="1" thickBot="1" x14ac:dyDescent="0.25">
      <c r="A183" s="1792"/>
      <c r="B183" s="1812"/>
      <c r="C183" s="1807"/>
      <c r="D183" s="1808" t="s">
        <v>2014</v>
      </c>
      <c r="E183" s="1809" t="s">
        <v>1626</v>
      </c>
      <c r="F183" s="1814">
        <f>F181/F182</f>
        <v>7734.9311085264389</v>
      </c>
      <c r="G183" s="857">
        <v>6323</v>
      </c>
    </row>
    <row r="184" spans="1:7" ht="12" thickTop="1" x14ac:dyDescent="0.2">
      <c r="B184" s="931"/>
      <c r="C184" s="950"/>
      <c r="D184" s="931"/>
      <c r="E184" s="950"/>
      <c r="F184" s="931"/>
      <c r="G184" s="952">
        <v>6326</v>
      </c>
    </row>
    <row r="185" spans="1:7" ht="12.2" customHeight="1" x14ac:dyDescent="0.2">
      <c r="A185" s="931" t="s">
        <v>2056</v>
      </c>
      <c r="B185" s="931"/>
      <c r="C185" s="950"/>
      <c r="D185" s="931"/>
      <c r="E185" s="950"/>
      <c r="F185" s="931"/>
      <c r="G185" s="931"/>
    </row>
    <row r="186" spans="1:7" s="1947" customFormat="1" ht="12.2" customHeight="1" x14ac:dyDescent="0.2">
      <c r="A186" s="1947" t="s">
        <v>2061</v>
      </c>
      <c r="B186" s="1948"/>
      <c r="C186" s="1949"/>
      <c r="D186" s="1948"/>
      <c r="E186" s="1949"/>
      <c r="F186" s="1948"/>
      <c r="G186" s="1948"/>
    </row>
    <row r="187" spans="1:7" s="1947" customFormat="1" ht="12.2" customHeight="1" x14ac:dyDescent="0.2">
      <c r="A187" s="1950" t="s">
        <v>2062</v>
      </c>
      <c r="C187" s="1949"/>
      <c r="D187" s="1948"/>
      <c r="E187" s="1949"/>
      <c r="F187" s="1948"/>
      <c r="G187" s="1948"/>
    </row>
    <row r="188" spans="1:7" ht="12" customHeight="1" x14ac:dyDescent="0.2">
      <c r="C188" s="950"/>
      <c r="D188" s="931"/>
      <c r="E188" s="950"/>
      <c r="F188" s="931"/>
      <c r="G188" s="931"/>
    </row>
    <row r="189" spans="1:7" x14ac:dyDescent="0.2">
      <c r="A189" s="1951" t="s">
        <v>2060</v>
      </c>
      <c r="B189" s="1952" t="s">
        <v>2059</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L31" sqref="L31"/>
      <selection pane="bottomLeft" activeCell="D25" sqref="D25"/>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1923</v>
      </c>
      <c r="B4" s="2288"/>
      <c r="C4" s="2288"/>
      <c r="D4" s="2288"/>
      <c r="E4" s="2288"/>
      <c r="F4" s="2288"/>
      <c r="G4" s="2289"/>
    </row>
    <row r="5" spans="1:7" x14ac:dyDescent="0.25">
      <c r="A5" s="2290"/>
      <c r="B5" s="2291"/>
      <c r="C5" s="2291"/>
      <c r="D5" s="2291"/>
      <c r="E5" s="2291"/>
      <c r="F5" s="2291"/>
      <c r="G5" s="2292"/>
    </row>
    <row r="6" spans="1:7" ht="18.75" x14ac:dyDescent="0.25">
      <c r="A6" s="1556" t="s">
        <v>1924</v>
      </c>
      <c r="B6" s="1557"/>
      <c r="C6" s="1557"/>
      <c r="D6" s="1557"/>
      <c r="E6" s="1557"/>
      <c r="F6" s="1557"/>
      <c r="G6" s="1558"/>
    </row>
    <row r="7" spans="1:7" ht="30.75" customHeight="1" x14ac:dyDescent="0.25">
      <c r="A7" s="2293" t="s">
        <v>2071</v>
      </c>
      <c r="B7" s="2294"/>
      <c r="C7" s="2294"/>
      <c r="D7" s="2294"/>
      <c r="E7" s="2294"/>
      <c r="F7" s="2294"/>
      <c r="G7" s="2295"/>
    </row>
    <row r="8" spans="1:7" ht="15.75" customHeight="1" x14ac:dyDescent="0.25">
      <c r="A8" s="2296" t="s">
        <v>2020</v>
      </c>
      <c r="B8" s="2297"/>
      <c r="C8" s="2297"/>
      <c r="D8" s="2297"/>
      <c r="E8" s="2297"/>
      <c r="F8" s="2297"/>
      <c r="G8" s="2298"/>
    </row>
    <row r="9" spans="1:7" ht="35.25" customHeight="1" x14ac:dyDescent="0.25">
      <c r="A9" s="2293" t="s">
        <v>2074</v>
      </c>
      <c r="B9" s="2294"/>
      <c r="C9" s="2294"/>
      <c r="D9" s="2294"/>
      <c r="E9" s="2294"/>
      <c r="F9" s="2294"/>
      <c r="G9" s="2295"/>
    </row>
    <row r="10" spans="1:7" ht="15" customHeight="1" x14ac:dyDescent="0.25">
      <c r="A10" s="1559" t="s">
        <v>1925</v>
      </c>
      <c r="B10" s="1560"/>
      <c r="C10" s="1560"/>
      <c r="D10" s="1560"/>
      <c r="E10" s="1560"/>
      <c r="F10" s="1560"/>
      <c r="G10" s="1561"/>
    </row>
    <row r="11" spans="1:7" ht="17.25" customHeight="1" x14ac:dyDescent="0.25">
      <c r="A11" s="2293" t="s">
        <v>2073</v>
      </c>
      <c r="B11" s="2294"/>
      <c r="C11" s="2294"/>
      <c r="D11" s="2294"/>
      <c r="E11" s="2294"/>
      <c r="F11" s="2294"/>
      <c r="G11" s="2295"/>
    </row>
    <row r="12" spans="1:7" ht="15" customHeight="1" x14ac:dyDescent="0.25">
      <c r="A12" s="1559" t="s">
        <v>1930</v>
      </c>
      <c r="B12" s="1560"/>
      <c r="C12" s="1560"/>
      <c r="D12" s="1560"/>
      <c r="E12" s="1560"/>
      <c r="F12" s="1560"/>
      <c r="G12" s="1561"/>
    </row>
    <row r="13" spans="1:7" ht="32.25" customHeight="1" x14ac:dyDescent="0.25">
      <c r="A13" s="2284" t="s">
        <v>1931</v>
      </c>
      <c r="B13" s="2285"/>
      <c r="C13" s="2285"/>
      <c r="D13" s="2285"/>
      <c r="E13" s="2285"/>
      <c r="F13" s="2285"/>
      <c r="G13" s="2286"/>
    </row>
    <row r="14" spans="1:7" x14ac:dyDescent="0.25">
      <c r="A14" s="1683" t="s">
        <v>1939</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1940</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5" t="s">
        <v>2092</v>
      </c>
      <c r="B17" s="1956" t="s">
        <v>2093</v>
      </c>
      <c r="C17" s="1957" t="s">
        <v>2094</v>
      </c>
      <c r="D17" s="1867">
        <v>22146</v>
      </c>
      <c r="E17" s="1562">
        <f t="shared" ref="E17:E141" si="1">IF(D17&lt;=25000,D17,IF(D17&gt;25000,25000,0))</f>
        <v>22146</v>
      </c>
      <c r="F17" s="1815">
        <f t="shared" si="0"/>
        <v>0</v>
      </c>
      <c r="G17" s="1816">
        <f>IF(F17=0,0,D17-F17)</f>
        <v>0</v>
      </c>
      <c r="H17" s="1669"/>
    </row>
    <row r="18" spans="1:8" x14ac:dyDescent="0.25">
      <c r="A18" s="1955" t="s">
        <v>2095</v>
      </c>
      <c r="B18" s="1956" t="s">
        <v>2096</v>
      </c>
      <c r="C18" s="1957" t="s">
        <v>2097</v>
      </c>
      <c r="D18" s="1867">
        <v>13750</v>
      </c>
      <c r="E18" s="1562">
        <f t="shared" ref="E18:E140" si="2">IF(D18&lt;=25000,D18,IF(D18&gt;25000,25000,0))</f>
        <v>13750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13750</v>
      </c>
      <c r="G18" s="1816">
        <f t="shared" ref="G18:G140" si="4">IF(F18=0,0,D18-F18)</f>
        <v>0</v>
      </c>
    </row>
    <row r="19" spans="1:8" x14ac:dyDescent="0.25">
      <c r="A19" s="1955" t="s">
        <v>2098</v>
      </c>
      <c r="B19" s="1956" t="s">
        <v>2158</v>
      </c>
      <c r="C19" s="1957" t="s">
        <v>2100</v>
      </c>
      <c r="D19" s="1867">
        <v>30180</v>
      </c>
      <c r="E19" s="1562">
        <f t="shared" si="2"/>
        <v>25000</v>
      </c>
      <c r="F19" s="1815">
        <f t="shared" si="3"/>
        <v>25000</v>
      </c>
      <c r="G19" s="1816">
        <f t="shared" si="4"/>
        <v>5180</v>
      </c>
    </row>
    <row r="20" spans="1:8" x14ac:dyDescent="0.25">
      <c r="A20" s="1955" t="s">
        <v>2098</v>
      </c>
      <c r="B20" s="1956" t="s">
        <v>2099</v>
      </c>
      <c r="C20" s="1957" t="s">
        <v>2101</v>
      </c>
      <c r="D20" s="1867">
        <v>15000</v>
      </c>
      <c r="E20" s="1562">
        <f t="shared" si="2"/>
        <v>15000</v>
      </c>
      <c r="F20" s="1815">
        <f t="shared" si="3"/>
        <v>0</v>
      </c>
      <c r="G20" s="1816">
        <f t="shared" si="4"/>
        <v>0</v>
      </c>
    </row>
    <row r="21" spans="1:8" x14ac:dyDescent="0.25">
      <c r="A21" s="1955" t="s">
        <v>2098</v>
      </c>
      <c r="B21" s="1956" t="s">
        <v>2099</v>
      </c>
      <c r="C21" s="1957" t="s">
        <v>2102</v>
      </c>
      <c r="D21" s="1867">
        <v>5228</v>
      </c>
      <c r="E21" s="1562">
        <f t="shared" si="2"/>
        <v>5228</v>
      </c>
      <c r="F21" s="1815">
        <f t="shared" si="3"/>
        <v>0</v>
      </c>
      <c r="G21" s="1816">
        <f t="shared" si="4"/>
        <v>0</v>
      </c>
    </row>
    <row r="22" spans="1:8" x14ac:dyDescent="0.25">
      <c r="A22" s="1955" t="s">
        <v>2098</v>
      </c>
      <c r="B22" s="1956" t="s">
        <v>2099</v>
      </c>
      <c r="C22" s="1957" t="s">
        <v>2103</v>
      </c>
      <c r="D22" s="1867">
        <v>9256</v>
      </c>
      <c r="E22" s="1562">
        <f t="shared" si="2"/>
        <v>9256</v>
      </c>
      <c r="F22" s="1815">
        <f t="shared" si="3"/>
        <v>0</v>
      </c>
      <c r="G22" s="1816">
        <f t="shared" si="4"/>
        <v>0</v>
      </c>
    </row>
    <row r="23" spans="1:8" x14ac:dyDescent="0.25">
      <c r="A23" s="1955" t="s">
        <v>2104</v>
      </c>
      <c r="B23" s="1956" t="s">
        <v>2105</v>
      </c>
      <c r="C23" s="1957" t="s">
        <v>2106</v>
      </c>
      <c r="D23" s="1867">
        <v>4980</v>
      </c>
      <c r="E23" s="1562">
        <f t="shared" si="2"/>
        <v>4980</v>
      </c>
      <c r="F23" s="1815">
        <f t="shared" si="3"/>
        <v>4980</v>
      </c>
      <c r="G23" s="1816">
        <f t="shared" si="4"/>
        <v>0</v>
      </c>
    </row>
    <row r="24" spans="1:8" x14ac:dyDescent="0.25">
      <c r="A24" s="1955" t="s">
        <v>2104</v>
      </c>
      <c r="B24" s="1956" t="s">
        <v>2107</v>
      </c>
      <c r="C24" s="1957" t="s">
        <v>2108</v>
      </c>
      <c r="D24" s="1867">
        <v>7500</v>
      </c>
      <c r="E24" s="1562">
        <f t="shared" si="2"/>
        <v>7500</v>
      </c>
      <c r="F24" s="1815">
        <f t="shared" si="3"/>
        <v>0</v>
      </c>
      <c r="G24" s="1816">
        <f t="shared" si="4"/>
        <v>0</v>
      </c>
    </row>
    <row r="25" spans="1:8" x14ac:dyDescent="0.25">
      <c r="A25" s="1955" t="s">
        <v>2109</v>
      </c>
      <c r="B25" s="1956" t="s">
        <v>2110</v>
      </c>
      <c r="C25" s="1957" t="s">
        <v>2111</v>
      </c>
      <c r="D25" s="1867">
        <v>593951</v>
      </c>
      <c r="E25" s="1562">
        <f t="shared" si="2"/>
        <v>25000</v>
      </c>
      <c r="F25" s="1815">
        <f t="shared" si="3"/>
        <v>25000</v>
      </c>
      <c r="G25" s="1816">
        <f t="shared" si="4"/>
        <v>568951</v>
      </c>
    </row>
    <row r="26" spans="1:8" x14ac:dyDescent="0.25">
      <c r="A26" s="1675"/>
      <c r="B26" s="1868"/>
      <c r="C26" s="1676"/>
      <c r="D26" s="1867"/>
      <c r="E26" s="1562">
        <f t="shared" si="2"/>
        <v>0</v>
      </c>
      <c r="F26" s="1815">
        <f t="shared" si="3"/>
        <v>0</v>
      </c>
      <c r="G26" s="1816">
        <f t="shared" si="4"/>
        <v>0</v>
      </c>
    </row>
    <row r="27" spans="1:8" x14ac:dyDescent="0.25">
      <c r="A27" s="1675"/>
      <c r="B27" s="1868"/>
      <c r="C27" s="1676"/>
      <c r="D27" s="1867"/>
      <c r="E27" s="1562">
        <f t="shared" si="2"/>
        <v>0</v>
      </c>
      <c r="F27" s="1815">
        <f t="shared" si="3"/>
        <v>0</v>
      </c>
      <c r="G27" s="1816">
        <f t="shared" si="4"/>
        <v>0</v>
      </c>
    </row>
    <row r="28" spans="1:8" x14ac:dyDescent="0.25">
      <c r="A28" s="1675"/>
      <c r="B28" s="1868"/>
      <c r="C28" s="1676"/>
      <c r="D28" s="1867"/>
      <c r="E28" s="1562">
        <f t="shared" si="2"/>
        <v>0</v>
      </c>
      <c r="F28" s="1815">
        <f t="shared" si="3"/>
        <v>0</v>
      </c>
      <c r="G28" s="1816">
        <f t="shared" si="4"/>
        <v>0</v>
      </c>
    </row>
    <row r="29" spans="1:8" x14ac:dyDescent="0.25">
      <c r="A29" s="1675"/>
      <c r="B29" s="1868"/>
      <c r="C29" s="1676"/>
      <c r="D29" s="1867"/>
      <c r="E29" s="1562">
        <f t="shared" si="2"/>
        <v>0</v>
      </c>
      <c r="F29" s="1815">
        <f t="shared" si="3"/>
        <v>0</v>
      </c>
      <c r="G29" s="1816">
        <f t="shared" si="4"/>
        <v>0</v>
      </c>
    </row>
    <row r="30" spans="1:8" x14ac:dyDescent="0.25">
      <c r="A30" s="1675"/>
      <c r="B30" s="1868"/>
      <c r="C30" s="1676"/>
      <c r="D30" s="1867"/>
      <c r="E30" s="1562">
        <f t="shared" si="2"/>
        <v>0</v>
      </c>
      <c r="F30" s="1815">
        <f t="shared" si="3"/>
        <v>0</v>
      </c>
      <c r="G30" s="1816">
        <f t="shared" si="4"/>
        <v>0</v>
      </c>
    </row>
    <row r="31" spans="1:8" x14ac:dyDescent="0.25">
      <c r="A31" s="1675"/>
      <c r="B31" s="1868"/>
      <c r="C31" s="1676"/>
      <c r="D31" s="1867"/>
      <c r="E31" s="1562">
        <f t="shared" si="2"/>
        <v>0</v>
      </c>
      <c r="F31" s="1815">
        <f t="shared" si="3"/>
        <v>0</v>
      </c>
      <c r="G31" s="1816">
        <f t="shared" si="4"/>
        <v>0</v>
      </c>
    </row>
    <row r="32" spans="1:8" x14ac:dyDescent="0.25">
      <c r="A32" s="1675"/>
      <c r="B32" s="1868"/>
      <c r="C32" s="1676"/>
      <c r="D32" s="1867"/>
      <c r="E32" s="1562">
        <f t="shared" si="2"/>
        <v>0</v>
      </c>
      <c r="F32" s="1815">
        <f t="shared" si="3"/>
        <v>0</v>
      </c>
      <c r="G32" s="1816">
        <f t="shared" si="4"/>
        <v>0</v>
      </c>
    </row>
    <row r="33" spans="1:7" x14ac:dyDescent="0.25">
      <c r="A33" s="1675"/>
      <c r="B33" s="1868"/>
      <c r="C33" s="1676"/>
      <c r="D33" s="1867"/>
      <c r="E33" s="1562">
        <f t="shared" si="2"/>
        <v>0</v>
      </c>
      <c r="F33" s="1815">
        <f t="shared" si="3"/>
        <v>0</v>
      </c>
      <c r="G33" s="1816">
        <f t="shared" si="4"/>
        <v>0</v>
      </c>
    </row>
    <row r="34" spans="1:7" x14ac:dyDescent="0.25">
      <c r="A34" s="1675"/>
      <c r="B34" s="1868"/>
      <c r="C34" s="1676"/>
      <c r="D34" s="1867"/>
      <c r="E34" s="1562">
        <f t="shared" si="2"/>
        <v>0</v>
      </c>
      <c r="F34" s="1815">
        <f t="shared" si="3"/>
        <v>0</v>
      </c>
      <c r="G34" s="1816">
        <f t="shared" si="4"/>
        <v>0</v>
      </c>
    </row>
    <row r="35" spans="1:7" x14ac:dyDescent="0.25">
      <c r="A35" s="1675"/>
      <c r="B35" s="1868"/>
      <c r="C35" s="1676"/>
      <c r="D35" s="1867"/>
      <c r="E35" s="1562">
        <f t="shared" si="2"/>
        <v>0</v>
      </c>
      <c r="F35" s="1815">
        <f t="shared" si="3"/>
        <v>0</v>
      </c>
      <c r="G35" s="1816">
        <f t="shared" si="4"/>
        <v>0</v>
      </c>
    </row>
    <row r="36" spans="1:7" x14ac:dyDescent="0.25">
      <c r="A36" s="1675"/>
      <c r="B36" s="1868"/>
      <c r="C36" s="1676"/>
      <c r="D36" s="1867"/>
      <c r="E36" s="1562">
        <f t="shared" si="2"/>
        <v>0</v>
      </c>
      <c r="F36" s="1815">
        <f t="shared" si="3"/>
        <v>0</v>
      </c>
      <c r="G36" s="1816">
        <f t="shared" si="4"/>
        <v>0</v>
      </c>
    </row>
    <row r="37" spans="1:7" x14ac:dyDescent="0.25">
      <c r="A37" s="1675"/>
      <c r="B37" s="1868"/>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701991</v>
      </c>
      <c r="E141" s="1563">
        <f t="shared" si="1"/>
        <v>25000</v>
      </c>
      <c r="F141" s="1817">
        <f>SUM(F17:F140)</f>
        <v>68730</v>
      </c>
      <c r="G141" s="1818">
        <f>SUM(G17:G140)</f>
        <v>574131</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L31" sqref="L3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v>10295</v>
      </c>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2072</v>
      </c>
      <c r="B10" s="972"/>
      <c r="C10" s="977"/>
      <c r="D10" s="973"/>
      <c r="E10" s="974">
        <v>222805</v>
      </c>
      <c r="F10" s="975"/>
      <c r="G10" s="976"/>
      <c r="H10" s="162"/>
      <c r="I10" s="162"/>
    </row>
    <row r="11" spans="1:9" s="669" customFormat="1" ht="22.5" customHeight="1" x14ac:dyDescent="0.2">
      <c r="A11" s="2304" t="s">
        <v>1942</v>
      </c>
      <c r="B11" s="2305"/>
      <c r="C11" s="2305"/>
      <c r="D11" s="2306"/>
      <c r="E11" s="978">
        <v>37317</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4880983</v>
      </c>
      <c r="F19" s="1822"/>
      <c r="G19" s="1824">
        <f>'Expenditures 15-22'!K33-SUM('Expenditures 15-22'!G33,'Expenditures 15-22'!I33)+'Expenditures 15-22'!D229</f>
        <v>4880983</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158039</v>
      </c>
      <c r="F21" s="1825"/>
      <c r="G21" s="1828">
        <f>'Expenditures 15-22'!K42-SUM('Expenditures 15-22'!G42,'Expenditures 15-22'!I42)+'Expenditures 15-22'!K120-SUM('Expenditures 15-22'!G120,'Expenditures 15-22'!I120)+'Expenditures 15-22'!K180-SUM('Expenditures 15-22'!G180,'Expenditures 15-22'!I180)+'Expenditures 15-22'!D238</f>
        <v>158039</v>
      </c>
      <c r="H21" s="988"/>
      <c r="I21" s="162"/>
    </row>
    <row r="22" spans="1:9" s="669" customFormat="1" ht="12" customHeight="1" x14ac:dyDescent="0.2">
      <c r="A22" s="995" t="s">
        <v>585</v>
      </c>
      <c r="B22" s="996"/>
      <c r="C22" s="994">
        <v>2200</v>
      </c>
      <c r="D22" s="1825"/>
      <c r="E22" s="1827">
        <f>'Expenditures 15-22'!K47-SUM('Expenditures 15-22'!G47,'Expenditures 15-22'!I47)+'Expenditures 15-22'!D243</f>
        <v>70941</v>
      </c>
      <c r="F22" s="1825"/>
      <c r="G22" s="1828">
        <f>'Expenditures 15-22'!K47-SUM('Expenditures 15-22'!G47,'Expenditures 15-22'!I47)+'Expenditures 15-22'!D243</f>
        <v>70941</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346670</v>
      </c>
      <c r="F23" s="1825"/>
      <c r="G23" s="1827">
        <f>'Expenditures 15-22'!K53-SUM('Expenditures 15-22'!G53,'Expenditures 15-22'!I53)+'Expenditures 15-22'!D257+'Expenditures 15-22'!K330-SUM('Expenditures 15-22'!G330,'Expenditures 15-22'!I330)</f>
        <v>346670</v>
      </c>
      <c r="H23" s="988"/>
      <c r="I23" s="162"/>
    </row>
    <row r="24" spans="1:9" s="669" customFormat="1" ht="12" customHeight="1" x14ac:dyDescent="0.2">
      <c r="A24" s="995" t="s">
        <v>587</v>
      </c>
      <c r="B24" s="996"/>
      <c r="C24" s="994">
        <v>2400</v>
      </c>
      <c r="D24" s="1825"/>
      <c r="E24" s="1827">
        <f>'Expenditures 15-22'!K57-SUM('Expenditures 15-22'!G57,'Expenditures 15-22'!I57)+'Expenditures 15-22'!D261</f>
        <v>554450</v>
      </c>
      <c r="F24" s="1825"/>
      <c r="G24" s="1828">
        <f>'Expenditures 15-22'!K57-SUM('Expenditures 15-22'!G57,'Expenditures 15-22'!I57)+'Expenditures 15-22'!D261</f>
        <v>554450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90504</v>
      </c>
      <c r="E27" s="1827">
        <f>E8</f>
        <v>10295</v>
      </c>
      <c r="F27" s="1827">
        <f>'Expenditures 15-22'!K60-SUM('Expenditures 15-22'!G60,'Expenditures 15-22'!I60)+'Expenditures 15-22'!D264-E8</f>
        <v>90504</v>
      </c>
      <c r="G27" s="1828">
        <f>E8</f>
        <v>10295</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644886</v>
      </c>
      <c r="F28" s="1829">
        <f>'Expenditures 15-22'!K61-SUM('Expenditures 15-22'!G61,'Expenditures 15-22'!I61)+'Expenditures 15-22'!K124-SUM('Expenditures 15-22'!G124,'Expenditures 15-22'!I124)+'Expenditures 15-22'!D266-E9</f>
        <v>644886</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608434</v>
      </c>
      <c r="F29" s="1825"/>
      <c r="G29" s="1828">
        <f>'Expenditures 15-22'!K62-SUM('Expenditures 15-22'!G62,'Expenditures 15-22'!I62)+'Expenditures 15-22'!K125-SUM('Expenditures 15-22'!G125,'Expenditures 15-22'!I125)+'Expenditures 15-22'!K182-SUM('Expenditures 15-22'!G182,'Expenditures 15-22'!I182)+'Expenditures 15-22'!D267</f>
        <v>608434</v>
      </c>
      <c r="H29" s="986"/>
    </row>
    <row r="30" spans="1:9" ht="12" customHeight="1" x14ac:dyDescent="0.2">
      <c r="A30" s="995" t="s">
        <v>102</v>
      </c>
      <c r="B30" s="998"/>
      <c r="C30" s="994">
        <v>2560</v>
      </c>
      <c r="D30" s="1825"/>
      <c r="E30" s="1827">
        <f>'Expenditures 15-22'!K63-SUM('Expenditures 15-22'!G63,'Expenditures 15-22'!I63)+'Expenditures 15-22'!D268-E10</f>
        <v>155816</v>
      </c>
      <c r="F30" s="1825"/>
      <c r="G30" s="1827">
        <f>'Expenditures 15-22'!K63-SUM('Expenditures 15-22'!G63,'Expenditures 15-22'!I63)+'Expenditures 15-22'!D268-E10</f>
        <v>155816</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116368</v>
      </c>
      <c r="F39" s="1825"/>
      <c r="G39" s="1827">
        <f>'Expenditures 15-22'!K75-SUM('Expenditures 15-22'!G75,'Expenditures 15-22'!I75)+'Expenditures 15-22'!K130-SUM('Expenditures 15-22'!G130,'Expenditures 15-22'!I130)+'Expenditures 15-22'!K185-SUM('Expenditures 15-22'!G185,'Expenditures 15-22'!I185)+'Expenditures 15-22'!D280</f>
        <v>116368</v>
      </c>
    </row>
    <row r="40" spans="1:7" ht="12" customHeight="1" x14ac:dyDescent="0.2">
      <c r="A40" s="991" t="s">
        <v>1928</v>
      </c>
      <c r="B40" s="992"/>
      <c r="C40" s="994"/>
      <c r="D40" s="1825"/>
      <c r="E40" s="1829">
        <f>-'Contracts Paid in CY 29'!G141</f>
        <v>-574131</v>
      </c>
      <c r="F40" s="1825"/>
      <c r="G40" s="1829">
        <f>-'Contracts Paid in CY 29'!G141</f>
        <v>-574131</v>
      </c>
    </row>
    <row r="41" spans="1:7" ht="12" customHeight="1" x14ac:dyDescent="0.2">
      <c r="A41" s="999" t="s">
        <v>158</v>
      </c>
      <c r="B41" s="1000"/>
      <c r="C41" s="1001"/>
      <c r="D41" s="1829">
        <f>SUM(D19:D39)</f>
        <v>90504</v>
      </c>
      <c r="E41" s="1829">
        <f>SUM(E19:E40)</f>
        <v>6972751</v>
      </c>
      <c r="F41" s="1829">
        <f>SUM(F19:F39)</f>
        <v>735390</v>
      </c>
      <c r="G41" s="1829">
        <f>SUM(G19:G40)</f>
        <v>6327865</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90504</v>
      </c>
      <c r="F43" s="1830" t="s">
        <v>495</v>
      </c>
      <c r="G43" s="1831">
        <f>F41</f>
        <v>735390</v>
      </c>
    </row>
    <row r="44" spans="1:7" ht="12" customHeight="1" x14ac:dyDescent="0.2">
      <c r="A44" s="988"/>
      <c r="B44" s="162"/>
      <c r="C44" s="1002"/>
      <c r="D44" s="1830" t="s">
        <v>494</v>
      </c>
      <c r="E44" s="1831">
        <f>E41</f>
        <v>6972751</v>
      </c>
      <c r="F44" s="1830" t="s">
        <v>494</v>
      </c>
      <c r="G44" s="1831">
        <f>G41</f>
        <v>6327865</v>
      </c>
    </row>
    <row r="45" spans="1:7" ht="12" customHeight="1" x14ac:dyDescent="0.2">
      <c r="A45" s="988"/>
      <c r="B45" s="162"/>
      <c r="C45" s="162"/>
      <c r="D45" s="1832" t="s">
        <v>1063</v>
      </c>
      <c r="E45" s="1833">
        <f>(E43/E44)</f>
        <v>1.2979669000083325E-2</v>
      </c>
      <c r="F45" s="1832" t="s">
        <v>1063</v>
      </c>
      <c r="G45" s="1833">
        <f>(G43/G44)</f>
        <v>0.11621455261766804</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L31" sqref="L31"/>
      <selection pane="bottomLeft" activeCell="A5" sqref="A5:F5"/>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0" t="s">
        <v>1446</v>
      </c>
      <c r="B1" s="2310"/>
      <c r="C1" s="2310"/>
      <c r="D1" s="2310"/>
      <c r="E1" s="2310"/>
      <c r="F1" s="2310"/>
    </row>
    <row r="2" spans="1:10" x14ac:dyDescent="0.2">
      <c r="A2" s="1911" t="s">
        <v>2044</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1" t="s">
        <v>1627</v>
      </c>
      <c r="B5" s="2312"/>
      <c r="C5" s="2313"/>
      <c r="D5" s="2313"/>
      <c r="E5" s="2313"/>
      <c r="F5" s="2313"/>
    </row>
    <row r="6" spans="1:10" ht="12" customHeight="1" x14ac:dyDescent="0.25">
      <c r="A6" s="1874"/>
      <c r="B6" s="1875"/>
      <c r="C6" s="2314" t="str">
        <f>COVER!A17</f>
        <v>Chester CUSD 139</v>
      </c>
      <c r="D6" s="2314"/>
      <c r="E6" s="2314"/>
      <c r="F6" s="1876"/>
    </row>
    <row r="7" spans="1:10" ht="11.25" customHeight="1" thickBot="1" x14ac:dyDescent="0.3">
      <c r="A7" s="1874"/>
      <c r="B7" s="1875"/>
      <c r="C7" s="2315">
        <f>COVER!A13</f>
        <v>45079139026</v>
      </c>
      <c r="D7" s="2315"/>
      <c r="E7" s="2315"/>
      <c r="F7" s="1876"/>
    </row>
    <row r="8" spans="1:10" ht="25.5" customHeight="1" thickBot="1" x14ac:dyDescent="0.25">
      <c r="A8" s="1917" t="s">
        <v>2021</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t="s">
        <v>2075</v>
      </c>
      <c r="D19" s="1889" t="s">
        <v>2075</v>
      </c>
      <c r="E19" s="1892"/>
      <c r="F19" s="1891" t="s">
        <v>2112</v>
      </c>
      <c r="H19" s="1902">
        <f t="shared" si="0"/>
        <v>5</v>
      </c>
      <c r="I19" s="1902">
        <f t="shared" si="1"/>
        <v>5</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t="s">
        <v>2075</v>
      </c>
      <c r="D26" s="1889" t="s">
        <v>2075</v>
      </c>
      <c r="E26" s="1892"/>
      <c r="F26" s="1891" t="s">
        <v>2113</v>
      </c>
      <c r="H26" s="1902">
        <f t="shared" si="0"/>
        <v>5</v>
      </c>
      <c r="I26" s="1902">
        <f t="shared" si="1"/>
        <v>5</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10</v>
      </c>
      <c r="I34" s="1902">
        <f>SUM(I11:I32)</f>
        <v>10</v>
      </c>
      <c r="J34" s="1902">
        <f>SUM(J11:J32)</f>
        <v>0</v>
      </c>
      <c r="K34" s="1902">
        <f>SUM(H34:J34)</f>
        <v>20</v>
      </c>
    </row>
    <row r="35" spans="1:11" ht="12" customHeight="1" x14ac:dyDescent="0.2">
      <c r="A35" s="1895" t="s">
        <v>1459</v>
      </c>
      <c r="B35" s="1896"/>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7"/>
      <c r="B39" s="1897"/>
      <c r="C39" s="1897"/>
      <c r="D39" s="1897"/>
      <c r="E39" s="1897"/>
      <c r="F39" s="1897"/>
    </row>
    <row r="40" spans="1:11" s="1894" customFormat="1" ht="12" customHeight="1" x14ac:dyDescent="0.25">
      <c r="A40" s="1898" t="s">
        <v>1458</v>
      </c>
      <c r="B40" s="1899"/>
      <c r="C40" s="2324"/>
      <c r="D40" s="2324"/>
      <c r="E40" s="2324"/>
      <c r="F40" s="2325"/>
      <c r="H40" s="1903"/>
      <c r="I40" s="1903"/>
      <c r="J40" s="1903"/>
      <c r="K40" s="1903"/>
    </row>
    <row r="41" spans="1:11" s="1894" customFormat="1" ht="12" customHeight="1" x14ac:dyDescent="0.25">
      <c r="A41" s="2326"/>
      <c r="B41" s="2327"/>
      <c r="C41" s="2327"/>
      <c r="D41" s="2327"/>
      <c r="E41" s="2327"/>
      <c r="F41" s="2328"/>
      <c r="H41" s="1903"/>
      <c r="I41" s="1903"/>
      <c r="J41" s="1903"/>
      <c r="K41" s="1903"/>
    </row>
    <row r="42" spans="1:11" s="1894" customFormat="1" ht="12" customHeight="1" x14ac:dyDescent="0.25">
      <c r="A42" s="2326"/>
      <c r="B42" s="2327"/>
      <c r="C42" s="2327"/>
      <c r="D42" s="2327"/>
      <c r="E42" s="2327"/>
      <c r="F42" s="2328"/>
      <c r="H42" s="1903"/>
      <c r="I42" s="1903"/>
      <c r="J42" s="1903"/>
      <c r="K42" s="1903"/>
    </row>
    <row r="43" spans="1:11" s="1894" customFormat="1" ht="15" x14ac:dyDescent="0.25">
      <c r="A43" s="2318"/>
      <c r="B43" s="2319"/>
      <c r="C43" s="2319"/>
      <c r="D43" s="2319"/>
      <c r="E43" s="2319"/>
      <c r="F43" s="2320"/>
      <c r="H43" s="1903"/>
      <c r="I43" s="1903"/>
      <c r="J43" s="1903"/>
      <c r="K43" s="1903"/>
    </row>
    <row r="44" spans="1:11" s="1894" customFormat="1" ht="12" hidden="1" customHeight="1" x14ac:dyDescent="0.25">
      <c r="A44" s="2318"/>
      <c r="B44" s="2319"/>
      <c r="C44" s="2319"/>
      <c r="D44" s="2319"/>
      <c r="E44" s="2319"/>
      <c r="F44" s="2320"/>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L31" sqref="L3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8" t="s">
        <v>693</v>
      </c>
      <c r="B6" s="1664"/>
      <c r="C6" s="1664"/>
      <c r="D6" s="1664"/>
      <c r="E6" s="1665"/>
      <c r="F6" s="1016"/>
      <c r="G6" s="1010"/>
      <c r="H6" s="1017" t="s">
        <v>1086</v>
      </c>
      <c r="I6" s="2334" t="str">
        <f>COVER!A17</f>
        <v>Chester CUSD 139</v>
      </c>
      <c r="J6" s="2335"/>
      <c r="Q6" s="1686"/>
    </row>
    <row r="7" spans="1:17" x14ac:dyDescent="0.2">
      <c r="A7" s="2336" t="s">
        <v>924</v>
      </c>
      <c r="B7" s="2337"/>
      <c r="C7" s="2337"/>
      <c r="D7" s="2337"/>
      <c r="E7" s="2338"/>
      <c r="F7" s="1018"/>
      <c r="G7" s="1010"/>
      <c r="H7" s="1017" t="s">
        <v>390</v>
      </c>
      <c r="I7" s="2339">
        <f>COVER!A13</f>
        <v>45079139026</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9" t="s">
        <v>1701</v>
      </c>
      <c r="F9" s="1024"/>
      <c r="G9" s="1024"/>
      <c r="H9" s="192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185803</v>
      </c>
      <c r="F12" s="1040"/>
      <c r="G12" s="1834">
        <f t="shared" ref="G12:G18" si="0">SUM(E12:F12)</f>
        <v>185803</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185803</v>
      </c>
      <c r="F19" s="1836">
        <f t="shared" si="2"/>
        <v>0</v>
      </c>
      <c r="G19" s="1836">
        <f t="shared" si="2"/>
        <v>185803</v>
      </c>
      <c r="H19" s="1836">
        <f t="shared" si="2"/>
        <v>0</v>
      </c>
      <c r="I19" s="1836">
        <f t="shared" si="2"/>
        <v>0</v>
      </c>
      <c r="J19" s="1836">
        <f t="shared" si="2"/>
        <v>0</v>
      </c>
    </row>
    <row r="20" spans="1:10" ht="13.5" thickTop="1" x14ac:dyDescent="0.2">
      <c r="A20" s="1036">
        <v>9</v>
      </c>
      <c r="B20" s="2346" t="s">
        <v>1703</v>
      </c>
      <c r="C20" s="2346"/>
      <c r="D20" s="2347"/>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1941</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L31" sqref="L3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2114</v>
      </c>
    </row>
    <row r="6" spans="1:2" x14ac:dyDescent="0.2">
      <c r="A6" s="1069">
        <v>2</v>
      </c>
      <c r="B6" s="329" t="s">
        <v>2115</v>
      </c>
    </row>
    <row r="7" spans="1:2" x14ac:dyDescent="0.2">
      <c r="A7" s="1069">
        <v>3</v>
      </c>
      <c r="B7" s="329" t="s">
        <v>2116</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Chester CUSD 139</v>
      </c>
    </row>
    <row r="65" spans="2:2" x14ac:dyDescent="0.2">
      <c r="B65" s="1071">
        <f>COVER!A13</f>
        <v>45079139026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19" zoomScale="110" zoomScaleNormal="110" workbookViewId="0">
      <selection activeCell="L31" sqref="L3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9" t="s">
        <v>1709</v>
      </c>
    </row>
    <row r="23" spans="1:5" x14ac:dyDescent="0.2">
      <c r="A23" s="168"/>
      <c r="B23" s="162" t="s">
        <v>1966</v>
      </c>
      <c r="D23" s="167" t="s">
        <v>658</v>
      </c>
      <c r="E23" s="1859"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L31" sqref="L3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50178" r:id="rId4">
          <objectPr defaultSize="0" r:id="rId5">
            <anchor moveWithCells="1">
              <from>
                <xdr:col>1</xdr:col>
                <xdr:colOff>295275</xdr:colOff>
                <xdr:row>5</xdr:row>
                <xdr:rowOff>104775</xdr:rowOff>
              </from>
              <to>
                <xdr:col>1</xdr:col>
                <xdr:colOff>1209675</xdr:colOff>
                <xdr:row>9</xdr:row>
                <xdr:rowOff>142875</xdr:rowOff>
              </to>
            </anchor>
          </objectPr>
        </oleObject>
      </mc:Choice>
      <mc:Fallback>
        <oleObject progId="Document" dvAspect="DVASPECT_ICON" shapeId="50178"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L31" sqref="L3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2052</v>
      </c>
      <c r="B4" s="2374"/>
      <c r="C4" s="2374"/>
      <c r="D4" s="2374"/>
      <c r="E4" s="2374"/>
      <c r="F4" s="2375"/>
      <c r="G4" s="1075"/>
      <c r="H4" s="1075"/>
    </row>
    <row r="5" spans="1:8" ht="14.25" customHeight="1" x14ac:dyDescent="0.2">
      <c r="A5" s="2376" t="s">
        <v>2053</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7530972</v>
      </c>
      <c r="C8" s="1838">
        <f>'Acct Summary 7-8'!D8</f>
        <v>590625</v>
      </c>
      <c r="D8" s="1838">
        <f>'Acct Summary 7-8'!F8</f>
        <v>579792</v>
      </c>
      <c r="E8" s="1838">
        <f>'Acct Summary 7-8'!I8</f>
        <v>38664</v>
      </c>
      <c r="F8" s="1838">
        <f>SUM(B8:E8)</f>
        <v>8740053</v>
      </c>
    </row>
    <row r="9" spans="1:8" s="1080" customFormat="1" ht="14.25" customHeight="1" thickBot="1" x14ac:dyDescent="0.25">
      <c r="A9" s="1079" t="s">
        <v>1436</v>
      </c>
      <c r="B9" s="1839">
        <f>'Acct Summary 7-8'!C17</f>
        <v>6990919</v>
      </c>
      <c r="C9" s="1839">
        <f>'Acct Summary 7-8'!D17</f>
        <v>611747</v>
      </c>
      <c r="D9" s="1839">
        <f>'Acct Summary 7-8'!F17</f>
        <v>608434</v>
      </c>
      <c r="E9" s="1838"/>
      <c r="F9" s="1838">
        <f>SUM(B9:E9)</f>
        <v>8211100</v>
      </c>
    </row>
    <row r="10" spans="1:8" s="1080" customFormat="1" ht="14.25" thickTop="1" thickBot="1" x14ac:dyDescent="0.25">
      <c r="A10" s="1081" t="s">
        <v>1437</v>
      </c>
      <c r="B10" s="1840">
        <f>(B8-B9)</f>
        <v>540053</v>
      </c>
      <c r="C10" s="1840">
        <f>(C8-C9)</f>
        <v>-21122</v>
      </c>
      <c r="D10" s="1840">
        <f>(D8-D9)</f>
        <v>-28642</v>
      </c>
      <c r="E10" s="1839">
        <f>(E8-E9)</f>
        <v>38664</v>
      </c>
      <c r="F10" s="1841">
        <f>SUM(F8-F9)</f>
        <v>528953</v>
      </c>
    </row>
    <row r="11" spans="1:8" s="1080" customFormat="1" ht="14.25" thickTop="1" thickBot="1" x14ac:dyDescent="0.25">
      <c r="A11" s="1082" t="s">
        <v>1785</v>
      </c>
      <c r="B11" s="1842">
        <f>'Acct Summary 7-8'!C81</f>
        <v>439875</v>
      </c>
      <c r="C11" s="1842">
        <f>'Acct Summary 7-8'!D81</f>
        <v>-129009</v>
      </c>
      <c r="D11" s="1842">
        <f>'Acct Summary 7-8'!F81</f>
        <v>103972</v>
      </c>
      <c r="E11" s="1842">
        <f>'Acct Summary 7-8'!I81</f>
        <v>836955</v>
      </c>
      <c r="F11" s="1843">
        <f>SUM(B11:E11)</f>
        <v>1251793</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1"/>
      <c r="B2" s="1922"/>
      <c r="C2" s="1923"/>
      <c r="D2" s="1924"/>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2045</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2046</v>
      </c>
      <c r="D66" s="1126"/>
    </row>
    <row r="67" spans="1:4" x14ac:dyDescent="0.2">
      <c r="A67" s="1120"/>
      <c r="B67" s="1141"/>
      <c r="C67" s="1148" t="s">
        <v>1079</v>
      </c>
      <c r="D67" s="1126"/>
    </row>
    <row r="68" spans="1:4" x14ac:dyDescent="0.2">
      <c r="A68" s="1101"/>
      <c r="B68" s="1111"/>
      <c r="C68" s="1103" t="s">
        <v>2047</v>
      </c>
      <c r="D68" s="1125" t="str">
        <f>IF('Short-Term Long-Term Debt 24'!F49=SUM(,'Acct Summary 7-8'!C33:K33),"OK","ERROR!")</f>
        <v>OK</v>
      </c>
    </row>
    <row r="69" spans="1:4" x14ac:dyDescent="0.2">
      <c r="A69" s="1101"/>
      <c r="B69" s="1111"/>
      <c r="C69" s="1103" t="s">
        <v>2048</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2049</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2050</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2051</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ENTER BUDGET DATA!</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45079139026</v>
      </c>
    </row>
    <row r="3" spans="1:2" x14ac:dyDescent="0.2">
      <c r="A3" t="s">
        <v>1013</v>
      </c>
      <c r="B3" s="138" t="str">
        <f>COVER!A15</f>
        <v>Randolph</v>
      </c>
    </row>
    <row r="4" spans="1:2" x14ac:dyDescent="0.2">
      <c r="A4" t="s">
        <v>1064</v>
      </c>
      <c r="B4" s="138" t="str">
        <f>COVER!A17</f>
        <v>Chester CUSD 139</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066-005248</v>
      </c>
    </row>
    <row r="16" spans="1:2" x14ac:dyDescent="0.2">
      <c r="A16" t="s">
        <v>442</v>
      </c>
      <c r="B16" s="138" t="str">
        <f>COVER!T13</f>
        <v>Moore &amp; Simonin, PC</v>
      </c>
    </row>
    <row r="17" spans="1:2" x14ac:dyDescent="0.2">
      <c r="A17" t="s">
        <v>939</v>
      </c>
      <c r="B17" s="138" t="str">
        <f>COVER!T15</f>
        <v>Robert E. Moore, CPA</v>
      </c>
    </row>
    <row r="18" spans="1:2" x14ac:dyDescent="0.2">
      <c r="A18" t="s">
        <v>1212</v>
      </c>
      <c r="B18" s="138" t="str">
        <f>COVER!T17</f>
        <v>3636 North Belt West</v>
      </c>
    </row>
    <row r="19" spans="1:2" x14ac:dyDescent="0.2">
      <c r="A19" t="s">
        <v>941</v>
      </c>
      <c r="B19" s="138" t="str">
        <f>COVER!T25</f>
        <v>mooresimonin@mrsaccountants.com</v>
      </c>
    </row>
    <row r="20" spans="1:2" x14ac:dyDescent="0.2">
      <c r="A20" t="s">
        <v>942</v>
      </c>
      <c r="B20" s="138" t="str">
        <f>COVER!T19</f>
        <v>Belleville</v>
      </c>
    </row>
    <row r="21" spans="1:2" x14ac:dyDescent="0.2">
      <c r="A21" t="s">
        <v>500</v>
      </c>
      <c r="B21" s="138" t="str">
        <f>COVER!X19</f>
        <v>IL</v>
      </c>
    </row>
    <row r="22" spans="1:2" x14ac:dyDescent="0.2">
      <c r="A22" t="s">
        <v>943</v>
      </c>
      <c r="B22" s="138">
        <f>COVER!Z19</f>
        <v>62226</v>
      </c>
    </row>
    <row r="23" spans="1:2" x14ac:dyDescent="0.2">
      <c r="A23" t="s">
        <v>1214</v>
      </c>
      <c r="B23" s="138" t="str">
        <f>COVER!T21</f>
        <v>618-233-5049</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35370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889875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450000</v>
      </c>
      <c r="C91" s="2" t="s">
        <v>594</v>
      </c>
      <c r="D91" s="2" t="str">
        <f t="shared" si="0"/>
        <v>Error?</v>
      </c>
    </row>
    <row r="92" spans="1:4" x14ac:dyDescent="0.2">
      <c r="A92" s="5">
        <v>31</v>
      </c>
      <c r="B92" s="138">
        <f>'Assets-Liab 5-6'!C39</f>
        <v>439875</v>
      </c>
      <c r="D92" s="2" t="str">
        <f t="shared" si="0"/>
        <v>Error?</v>
      </c>
    </row>
    <row r="93" spans="1:4" x14ac:dyDescent="0.2">
      <c r="A93" s="5">
        <v>32</v>
      </c>
      <c r="B93" s="138">
        <f>'Assets-Liab 5-6'!C41</f>
        <v>889875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20991</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150000</v>
      </c>
      <c r="C122" s="2" t="s">
        <v>594</v>
      </c>
      <c r="D122" s="2" t="str">
        <f t="shared" si="0"/>
        <v>Error?</v>
      </c>
    </row>
    <row r="123" spans="1:4" x14ac:dyDescent="0.2">
      <c r="A123" s="5">
        <v>62</v>
      </c>
      <c r="B123" s="138">
        <f>'Assets-Liab 5-6'!D39</f>
        <v>-129009</v>
      </c>
      <c r="D123" s="2" t="str">
        <f t="shared" si="0"/>
        <v>Error?</v>
      </c>
    </row>
    <row r="124" spans="1:4" x14ac:dyDescent="0.2">
      <c r="A124" s="5">
        <v>63</v>
      </c>
      <c r="B124" s="138">
        <f>'Assets-Liab 5-6'!D41</f>
        <v>20991</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1046672</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1046672</v>
      </c>
      <c r="D140" s="2" t="str">
        <f t="shared" si="1"/>
        <v>Error?</v>
      </c>
    </row>
    <row r="141" spans="1:4" x14ac:dyDescent="0.2">
      <c r="A141" s="5">
        <v>80</v>
      </c>
      <c r="B141" s="138">
        <f>'Assets-Liab 5-6'!E41</f>
        <v>1046672</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103972</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103972</v>
      </c>
      <c r="D170" s="2" t="str">
        <f t="shared" si="1"/>
        <v>Error?</v>
      </c>
    </row>
    <row r="171" spans="1:4" x14ac:dyDescent="0.2">
      <c r="A171" s="5">
        <v>110</v>
      </c>
      <c r="B171" s="138">
        <f>'Assets-Liab 5-6'!F41</f>
        <v>103972</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58279</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58279</v>
      </c>
      <c r="D189" s="2" t="str">
        <f t="shared" si="1"/>
        <v>Error?</v>
      </c>
    </row>
    <row r="190" spans="1:4" x14ac:dyDescent="0.2">
      <c r="A190" s="5">
        <v>129</v>
      </c>
      <c r="B190" s="138">
        <f>'Assets-Liab 5-6'!G41</f>
        <v>58279</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1178939</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1178939</v>
      </c>
      <c r="D212" s="2" t="str">
        <f t="shared" si="2"/>
        <v>Error?</v>
      </c>
    </row>
    <row r="213" spans="1:4" x14ac:dyDescent="0.2">
      <c r="A213" s="12">
        <v>152</v>
      </c>
      <c r="B213" s="138">
        <f>'Assets-Liab 5-6'!H41</f>
        <v>1178939</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251280</v>
      </c>
      <c r="D273" s="2" t="str">
        <f t="shared" si="3"/>
        <v>Error?</v>
      </c>
    </row>
    <row r="274" spans="1:4" x14ac:dyDescent="0.2">
      <c r="A274" s="5">
        <v>213</v>
      </c>
      <c r="B274" s="138">
        <f>'Assets-Liab 5-6'!M17</f>
        <v>23096351</v>
      </c>
      <c r="D274" s="2" t="str">
        <f t="shared" si="3"/>
        <v>Error?</v>
      </c>
    </row>
    <row r="275" spans="1:4" x14ac:dyDescent="0.2">
      <c r="A275" s="5">
        <v>214</v>
      </c>
      <c r="B275" s="138">
        <f>'Assets-Liab 5-6'!M18</f>
        <v>1380375</v>
      </c>
      <c r="D275" s="2" t="str">
        <f t="shared" si="3"/>
        <v>Error?</v>
      </c>
    </row>
    <row r="276" spans="1:4" x14ac:dyDescent="0.2">
      <c r="A276" s="5">
        <v>215</v>
      </c>
      <c r="B276" s="138">
        <f>'Assets-Liab 5-6'!M19</f>
        <v>2105484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26833490</v>
      </c>
      <c r="C279" s="2" t="s">
        <v>594</v>
      </c>
      <c r="D279" s="2" t="str">
        <f t="shared" si="3"/>
        <v>Error?</v>
      </c>
    </row>
    <row r="280" spans="1:4" x14ac:dyDescent="0.2">
      <c r="A280" s="5">
        <v>219</v>
      </c>
      <c r="B280" s="138">
        <f>'Assets-Liab 5-6'!M40</f>
        <v>26833490</v>
      </c>
      <c r="D280" s="2" t="str">
        <f t="shared" si="3"/>
        <v>Error?</v>
      </c>
    </row>
    <row r="281" spans="1:4" x14ac:dyDescent="0.2">
      <c r="A281" s="5">
        <v>220</v>
      </c>
      <c r="B281" s="138">
        <f>'Assets-Liab 5-6'!M41</f>
        <v>26833490</v>
      </c>
      <c r="C281" s="2" t="s">
        <v>594</v>
      </c>
      <c r="D281" s="2" t="str">
        <f t="shared" si="3"/>
        <v>Error?</v>
      </c>
    </row>
    <row r="282" spans="1:4" x14ac:dyDescent="0.2">
      <c r="A282" s="5">
        <v>221</v>
      </c>
      <c r="B282" s="138">
        <f>'Assets-Liab 5-6'!N21</f>
        <v>1046672</v>
      </c>
      <c r="D282" s="2" t="str">
        <f t="shared" si="3"/>
        <v>Error?</v>
      </c>
    </row>
    <row r="283" spans="1:4" x14ac:dyDescent="0.2">
      <c r="A283" s="5">
        <v>222</v>
      </c>
      <c r="B283" s="138">
        <f>'Assets-Liab 5-6'!N22</f>
        <v>6548328</v>
      </c>
      <c r="D283" s="2" t="str">
        <f t="shared" si="3"/>
        <v>Error?</v>
      </c>
    </row>
    <row r="284" spans="1:4" x14ac:dyDescent="0.2">
      <c r="A284" s="5">
        <v>223</v>
      </c>
      <c r="B284" s="138">
        <f>'Assets-Liab 5-6'!N23</f>
        <v>7595000</v>
      </c>
      <c r="C284" s="2" t="s">
        <v>594</v>
      </c>
      <c r="D284" s="2" t="str">
        <f t="shared" si="3"/>
        <v>Error?</v>
      </c>
    </row>
    <row r="285" spans="1:4" x14ac:dyDescent="0.2">
      <c r="A285" s="5">
        <v>224</v>
      </c>
      <c r="B285" s="138">
        <f>'Assets-Liab 5-6'!N36</f>
        <v>7595000</v>
      </c>
      <c r="D285" s="2" t="str">
        <f t="shared" si="3"/>
        <v>Error?</v>
      </c>
    </row>
    <row r="286" spans="1:4" x14ac:dyDescent="0.2">
      <c r="A286" s="10">
        <v>225</v>
      </c>
      <c r="D286" s="2" t="str">
        <f t="shared" si="3"/>
        <v>OK</v>
      </c>
    </row>
    <row r="287" spans="1:4" x14ac:dyDescent="0.2">
      <c r="A287" s="5">
        <v>226</v>
      </c>
      <c r="B287" s="138">
        <f>'Assets-Liab 5-6'!N37</f>
        <v>7595000</v>
      </c>
      <c r="C287" s="2" t="s">
        <v>594</v>
      </c>
      <c r="D287" s="2" t="str">
        <f t="shared" si="3"/>
        <v>Error?</v>
      </c>
    </row>
    <row r="288" spans="1:4" x14ac:dyDescent="0.2">
      <c r="A288" s="5">
        <v>227</v>
      </c>
      <c r="B288" s="138">
        <f>'Assets-Liab 5-6'!N41</f>
        <v>7595000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2132158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202922</v>
      </c>
      <c r="D717" s="2" t="str">
        <f t="shared" si="10"/>
        <v>Error?</v>
      </c>
    </row>
    <row r="718" spans="1:4" x14ac:dyDescent="0.2">
      <c r="A718" s="5">
        <v>657</v>
      </c>
      <c r="B718" s="138">
        <f>'Expenditures 15-22'!C14</f>
        <v>208076</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3664443</v>
      </c>
      <c r="C720" s="2" t="s">
        <v>594</v>
      </c>
      <c r="D720" s="2" t="str">
        <f t="shared" si="10"/>
        <v>Error?</v>
      </c>
    </row>
    <row r="721" spans="1:4" x14ac:dyDescent="0.2">
      <c r="A721" s="5">
        <v>660</v>
      </c>
      <c r="B721" s="138">
        <f>'Expenditures 15-22'!C36</f>
        <v>467</v>
      </c>
      <c r="D721" s="2" t="str">
        <f t="shared" si="10"/>
        <v>Error?</v>
      </c>
    </row>
    <row r="722" spans="1:4" x14ac:dyDescent="0.2">
      <c r="A722" s="5">
        <v>661</v>
      </c>
      <c r="B722" s="138">
        <f>'Expenditures 15-22'!C37</f>
        <v>78424</v>
      </c>
      <c r="D722" s="2" t="str">
        <f t="shared" si="10"/>
        <v>Error?</v>
      </c>
    </row>
    <row r="723" spans="1:4" x14ac:dyDescent="0.2">
      <c r="A723" s="5">
        <v>662</v>
      </c>
      <c r="B723" s="138">
        <f>'Expenditures 15-22'!C38</f>
        <v>34513</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113404</v>
      </c>
      <c r="C727" s="2" t="s">
        <v>594</v>
      </c>
      <c r="D727" s="2" t="str">
        <f t="shared" si="10"/>
        <v>Error?</v>
      </c>
    </row>
    <row r="728" spans="1:4" x14ac:dyDescent="0.2">
      <c r="A728" s="5">
        <v>667</v>
      </c>
      <c r="B728" s="138">
        <f>'Expenditures 15-22'!C44</f>
        <v>37218</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37218</v>
      </c>
      <c r="C731" s="2" t="s">
        <v>594</v>
      </c>
      <c r="D731" s="2" t="str">
        <f t="shared" si="10"/>
        <v>Error?</v>
      </c>
    </row>
    <row r="732" spans="1:4" x14ac:dyDescent="0.2">
      <c r="A732" s="5">
        <v>671</v>
      </c>
      <c r="B732" s="138">
        <f>'Expenditures 15-22'!C49</f>
        <v>4139</v>
      </c>
      <c r="D732" s="2" t="str">
        <f t="shared" si="10"/>
        <v>Error?</v>
      </c>
    </row>
    <row r="733" spans="1:4" x14ac:dyDescent="0.2">
      <c r="A733" s="5">
        <v>672</v>
      </c>
      <c r="B733" s="138">
        <f>'Expenditures 15-22'!C50</f>
        <v>142465</v>
      </c>
      <c r="D733" s="2" t="str">
        <f t="shared" si="10"/>
        <v>Error?</v>
      </c>
    </row>
    <row r="734" spans="1:4" x14ac:dyDescent="0.2">
      <c r="A734" s="5">
        <v>673</v>
      </c>
      <c r="B734" s="138">
        <f>'Expenditures 15-22'!C53</f>
        <v>146604</v>
      </c>
      <c r="C734" s="2" t="s">
        <v>594</v>
      </c>
      <c r="D734" s="2" t="str">
        <f t="shared" si="10"/>
        <v>Error?</v>
      </c>
    </row>
    <row r="735" spans="1:4" x14ac:dyDescent="0.2">
      <c r="A735" s="5">
        <v>674</v>
      </c>
      <c r="B735" s="138">
        <f>'Expenditures 15-22'!C55</f>
        <v>378684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378684</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53332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124253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177585</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853495</v>
      </c>
      <c r="C755" s="2" t="s">
        <v>594</v>
      </c>
      <c r="D755" s="2" t="str">
        <f t="shared" si="10"/>
        <v>Error?</v>
      </c>
    </row>
    <row r="756" spans="1:4" x14ac:dyDescent="0.2">
      <c r="A756" s="5">
        <v>695</v>
      </c>
      <c r="B756" s="138">
        <f>'Expenditures 15-22'!C75</f>
        <v>81490</v>
      </c>
      <c r="D756" s="2" t="str">
        <f t="shared" si="10"/>
        <v>Error?</v>
      </c>
    </row>
    <row r="757" spans="1:4" x14ac:dyDescent="0.2">
      <c r="A757" s="5">
        <v>696</v>
      </c>
      <c r="B757" s="138">
        <f>'Expenditures 15-22'!C114</f>
        <v>4599428</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437157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42794</v>
      </c>
      <c r="D775" s="2" t="str">
        <f t="shared" si="11"/>
        <v>Error?</v>
      </c>
    </row>
    <row r="776" spans="1:4" x14ac:dyDescent="0.2">
      <c r="A776" s="5">
        <v>715</v>
      </c>
      <c r="B776" s="138">
        <f>'Expenditures 15-22'!D14</f>
        <v>31528</v>
      </c>
      <c r="D776" s="2" t="str">
        <f t="shared" si="11"/>
        <v>Error?</v>
      </c>
    </row>
    <row r="777" spans="1:4" x14ac:dyDescent="0.2">
      <c r="A777" s="5">
        <v>716</v>
      </c>
      <c r="B777" s="138">
        <f>'Expenditures 15-22'!D15</f>
        <v>0</v>
      </c>
      <c r="D777" s="2" t="str">
        <f t="shared" si="11"/>
        <v>Error?</v>
      </c>
    </row>
    <row r="778" spans="1:4" x14ac:dyDescent="0.2">
      <c r="A778" s="5">
        <v>717</v>
      </c>
      <c r="B778" s="138">
        <f>'Expenditures 15-22'!D33</f>
        <v>747801</v>
      </c>
      <c r="C778" s="2" t="s">
        <v>594</v>
      </c>
      <c r="D778" s="2" t="str">
        <f t="shared" si="11"/>
        <v>Error?</v>
      </c>
    </row>
    <row r="779" spans="1:4" x14ac:dyDescent="0.2">
      <c r="A779" s="5">
        <v>718</v>
      </c>
      <c r="B779" s="138">
        <f>'Expenditures 15-22'!D36</f>
        <v>46</v>
      </c>
      <c r="D779" s="2" t="str">
        <f t="shared" si="11"/>
        <v>Error?</v>
      </c>
    </row>
    <row r="780" spans="1:4" x14ac:dyDescent="0.2">
      <c r="A780" s="5">
        <v>719</v>
      </c>
      <c r="B780" s="138">
        <f>'Expenditures 15-22'!D37</f>
        <v>15836</v>
      </c>
      <c r="D780" s="2" t="str">
        <f t="shared" si="11"/>
        <v>Error?</v>
      </c>
    </row>
    <row r="781" spans="1:4" x14ac:dyDescent="0.2">
      <c r="A781" s="5">
        <v>720</v>
      </c>
      <c r="B781" s="138">
        <f>'Expenditures 15-22'!D38</f>
        <v>1</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15883</v>
      </c>
      <c r="C785" s="2" t="s">
        <v>594</v>
      </c>
      <c r="D785" s="2" t="str">
        <f t="shared" si="11"/>
        <v>Error?</v>
      </c>
    </row>
    <row r="786" spans="1:4" x14ac:dyDescent="0.2">
      <c r="A786" s="5">
        <v>725</v>
      </c>
      <c r="B786" s="138">
        <f>'Expenditures 15-22'!D44</f>
        <v>10628</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10628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27381</v>
      </c>
      <c r="D791" s="2" t="str">
        <f t="shared" si="11"/>
        <v>Error?</v>
      </c>
    </row>
    <row r="792" spans="1:4" x14ac:dyDescent="0.2">
      <c r="A792" s="5">
        <v>731</v>
      </c>
      <c r="B792" s="138">
        <f>'Expenditures 15-22'!D53</f>
        <v>27381</v>
      </c>
      <c r="C792" s="2" t="s">
        <v>594</v>
      </c>
      <c r="D792" s="2" t="str">
        <f t="shared" si="11"/>
        <v>Error?</v>
      </c>
    </row>
    <row r="793" spans="1:4" x14ac:dyDescent="0.2">
      <c r="A793" s="5">
        <v>732</v>
      </c>
      <c r="B793" s="138">
        <f>'Expenditures 15-22'!D55</f>
        <v>107948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107948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11221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11474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22695</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184535</v>
      </c>
      <c r="C813" s="2" t="s">
        <v>594</v>
      </c>
      <c r="D813" s="2" t="str">
        <f t="shared" si="11"/>
        <v>Error?</v>
      </c>
    </row>
    <row r="814" spans="1:4" x14ac:dyDescent="0.2">
      <c r="A814" s="5">
        <v>753</v>
      </c>
      <c r="B814" s="138">
        <f>'Expenditures 15-22'!D75</f>
        <v>6421</v>
      </c>
      <c r="D814" s="2" t="str">
        <f t="shared" si="11"/>
        <v>Error?</v>
      </c>
    </row>
    <row r="815" spans="1:4" x14ac:dyDescent="0.2">
      <c r="A815" s="5">
        <v>754</v>
      </c>
      <c r="B815" s="138">
        <f>'Expenditures 15-22'!D114</f>
        <v>938757</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99672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2300</v>
      </c>
      <c r="D833" s="2" t="str">
        <f t="shared" si="12"/>
        <v>Error?</v>
      </c>
    </row>
    <row r="834" spans="1:4" x14ac:dyDescent="0.2">
      <c r="A834" s="5">
        <v>773</v>
      </c>
      <c r="B834" s="138">
        <f>'Expenditures 15-22'!E14</f>
        <v>51889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161372</v>
      </c>
      <c r="C836" s="2" t="s">
        <v>594</v>
      </c>
      <c r="D836" s="2" t="str">
        <f t="shared" si="12"/>
        <v>Error?</v>
      </c>
    </row>
    <row r="837" spans="1:4" x14ac:dyDescent="0.2">
      <c r="A837" s="5">
        <v>776</v>
      </c>
      <c r="B837" s="138">
        <f>'Expenditures 15-22'!E36</f>
        <v>11894</v>
      </c>
      <c r="D837" s="2" t="str">
        <f t="shared" si="12"/>
        <v>Error?</v>
      </c>
    </row>
    <row r="838" spans="1:4" x14ac:dyDescent="0.2">
      <c r="A838" s="5">
        <v>777</v>
      </c>
      <c r="B838" s="138">
        <f>'Expenditures 15-22'!E37</f>
        <v>412</v>
      </c>
      <c r="D838" s="2" t="str">
        <f t="shared" si="12"/>
        <v>Error?</v>
      </c>
    </row>
    <row r="839" spans="1:4" x14ac:dyDescent="0.2">
      <c r="A839" s="5">
        <v>778</v>
      </c>
      <c r="B839" s="138">
        <f>'Expenditures 15-22'!E38</f>
        <v>141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12447</v>
      </c>
      <c r="C843" s="2" t="s">
        <v>594</v>
      </c>
      <c r="D843" s="2" t="str">
        <f t="shared" si="12"/>
        <v>Error?</v>
      </c>
    </row>
    <row r="844" spans="1:4" x14ac:dyDescent="0.2">
      <c r="A844" s="5">
        <v>783</v>
      </c>
      <c r="B844" s="138">
        <f>'Expenditures 15-22'!E44</f>
        <v>11361</v>
      </c>
      <c r="D844" s="2" t="str">
        <f t="shared" si="12"/>
        <v>Error?</v>
      </c>
    </row>
    <row r="845" spans="1:4" x14ac:dyDescent="0.2">
      <c r="A845" s="5">
        <v>784</v>
      </c>
      <c r="B845" s="138">
        <f>'Expenditures 15-22'!E45</f>
        <v>22</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11383</v>
      </c>
      <c r="C847" s="2" t="s">
        <v>594</v>
      </c>
      <c r="D847" s="2" t="str">
        <f t="shared" si="12"/>
        <v>Error?</v>
      </c>
    </row>
    <row r="848" spans="1:4" x14ac:dyDescent="0.2">
      <c r="A848" s="5">
        <v>787</v>
      </c>
      <c r="B848" s="138">
        <f>'Expenditures 15-22'!E49</f>
        <v>28089</v>
      </c>
      <c r="D848" s="2" t="str">
        <f t="shared" si="12"/>
        <v>Error?</v>
      </c>
    </row>
    <row r="849" spans="1:4" x14ac:dyDescent="0.2">
      <c r="A849" s="5">
        <v>788</v>
      </c>
      <c r="B849" s="138">
        <f>'Expenditures 15-22'!E50</f>
        <v>4119</v>
      </c>
      <c r="D849" s="2" t="str">
        <f t="shared" si="12"/>
        <v>Error?</v>
      </c>
    </row>
    <row r="850" spans="1:4" x14ac:dyDescent="0.2">
      <c r="A850" s="5">
        <v>789</v>
      </c>
      <c r="B850" s="138">
        <f>'Expenditures 15-22'!E53</f>
        <v>32208</v>
      </c>
      <c r="C850" s="2" t="s">
        <v>594</v>
      </c>
      <c r="D850" s="2" t="str">
        <f t="shared" si="12"/>
        <v>Error?</v>
      </c>
    </row>
    <row r="851" spans="1:4" x14ac:dyDescent="0.2">
      <c r="A851" s="5">
        <v>790</v>
      </c>
      <c r="B851" s="138">
        <f>'Expenditures 15-22'!E55</f>
        <v>35184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35184</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22757</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858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23615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114837</v>
      </c>
      <c r="C871" s="2" t="s">
        <v>594</v>
      </c>
      <c r="D871" s="2" t="str">
        <f t="shared" si="12"/>
        <v>Error?</v>
      </c>
    </row>
    <row r="872" spans="1:4" x14ac:dyDescent="0.2">
      <c r="A872" s="5">
        <v>811</v>
      </c>
      <c r="B872" s="138">
        <f>'Expenditures 15-22'!E75</f>
        <v>5634</v>
      </c>
      <c r="D872" s="2" t="str">
        <f t="shared" si="12"/>
        <v>Error?</v>
      </c>
    </row>
    <row r="873" spans="1:4" x14ac:dyDescent="0.2">
      <c r="A873" s="5">
        <v>812</v>
      </c>
      <c r="B873" s="138">
        <f>'Expenditures 15-22'!E114</f>
        <v>497438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97671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4755</v>
      </c>
      <c r="D891" s="2" t="str">
        <f t="shared" si="12"/>
        <v>Error?</v>
      </c>
    </row>
    <row r="892" spans="1:4" x14ac:dyDescent="0.2">
      <c r="A892" s="5">
        <v>831</v>
      </c>
      <c r="B892" s="138">
        <f>'Expenditures 15-22'!F14</f>
        <v>26507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161098</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560</v>
      </c>
      <c r="D896" s="2" t="str">
        <f t="shared" si="13"/>
        <v>Error?</v>
      </c>
    </row>
    <row r="897" spans="1:4" x14ac:dyDescent="0.2">
      <c r="A897" s="5">
        <v>836</v>
      </c>
      <c r="B897" s="138">
        <f>'Expenditures 15-22'!F38</f>
        <v>1385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1945</v>
      </c>
      <c r="C901" s="2" t="s">
        <v>594</v>
      </c>
      <c r="D901" s="2" t="str">
        <f t="shared" si="13"/>
        <v>Error?</v>
      </c>
    </row>
    <row r="902" spans="1:4" x14ac:dyDescent="0.2">
      <c r="A902" s="5">
        <v>841</v>
      </c>
      <c r="B902" s="138">
        <f>'Expenditures 15-22'!F44</f>
        <v>1491</v>
      </c>
      <c r="D902" s="2" t="str">
        <f t="shared" si="13"/>
        <v>Error?</v>
      </c>
    </row>
    <row r="903" spans="1:4" x14ac:dyDescent="0.2">
      <c r="A903" s="5">
        <v>842</v>
      </c>
      <c r="B903" s="138">
        <f>'Expenditures 15-22'!F45</f>
        <v>2423</v>
      </c>
      <c r="D903" s="2" t="str">
        <f t="shared" si="13"/>
        <v>Error?</v>
      </c>
    </row>
    <row r="904" spans="1:4" x14ac:dyDescent="0.2">
      <c r="A904" s="5">
        <v>843</v>
      </c>
      <c r="B904" s="138">
        <f>'Expenditures 15-22'!F46</f>
        <v>7220</v>
      </c>
      <c r="D904" s="2" t="str">
        <f t="shared" si="13"/>
        <v>Error?</v>
      </c>
    </row>
    <row r="905" spans="1:4" x14ac:dyDescent="0.2">
      <c r="A905" s="5">
        <v>844</v>
      </c>
      <c r="B905" s="138">
        <f>'Expenditures 15-22'!F47</f>
        <v>11134</v>
      </c>
      <c r="C905" s="2" t="s">
        <v>594</v>
      </c>
      <c r="D905" s="2" t="str">
        <f t="shared" si="13"/>
        <v>Error?</v>
      </c>
    </row>
    <row r="906" spans="1:4" x14ac:dyDescent="0.2">
      <c r="A906" s="5">
        <v>845</v>
      </c>
      <c r="B906" s="138">
        <f>'Expenditures 15-22'!F49</f>
        <v>1495</v>
      </c>
      <c r="D906" s="2" t="str">
        <f t="shared" si="13"/>
        <v>Error?</v>
      </c>
    </row>
    <row r="907" spans="1:4" x14ac:dyDescent="0.2">
      <c r="A907" s="5">
        <v>846</v>
      </c>
      <c r="B907" s="138">
        <f>'Expenditures 15-22'!F50</f>
        <v>1948</v>
      </c>
      <c r="D907" s="2" t="str">
        <f t="shared" si="13"/>
        <v>Error?</v>
      </c>
    </row>
    <row r="908" spans="1:4" x14ac:dyDescent="0.2">
      <c r="A908" s="5">
        <v>847</v>
      </c>
      <c r="B908" s="138">
        <f>'Expenditures 15-22'!F53</f>
        <v>3443</v>
      </c>
      <c r="C908" s="2" t="s">
        <v>594</v>
      </c>
      <c r="D908" s="2" t="str">
        <f t="shared" si="13"/>
        <v>Error?</v>
      </c>
    </row>
    <row r="909" spans="1:4" x14ac:dyDescent="0.2">
      <c r="A909" s="5">
        <v>848</v>
      </c>
      <c r="B909" s="138">
        <f>'Expenditures 15-22'!F55</f>
        <v>12475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12475</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2756</v>
      </c>
      <c r="D913" s="2" t="str">
        <f t="shared" si="13"/>
        <v>Error?</v>
      </c>
    </row>
    <row r="914" spans="1:4" x14ac:dyDescent="0.2">
      <c r="A914" s="5">
        <v>853</v>
      </c>
      <c r="B914" s="138">
        <f>'Expenditures 15-22'!F61</f>
        <v>4480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221947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229183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258180</v>
      </c>
      <c r="C929" s="2" t="s">
        <v>594</v>
      </c>
      <c r="D929" s="2" t="str">
        <f t="shared" si="13"/>
        <v>Error?</v>
      </c>
    </row>
    <row r="930" spans="1:4" x14ac:dyDescent="0.2">
      <c r="A930" s="5">
        <v>869</v>
      </c>
      <c r="B930" s="138">
        <f>'Expenditures 15-22'!F75</f>
        <v>7474</v>
      </c>
      <c r="D930" s="2" t="str">
        <f t="shared" si="13"/>
        <v>Error?</v>
      </c>
    </row>
    <row r="931" spans="1:4" x14ac:dyDescent="0.2">
      <c r="A931" s="5">
        <v>870</v>
      </c>
      <c r="B931" s="138">
        <f>'Expenditures 15-22'!F114</f>
        <v>426752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30000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30000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30000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30000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1733</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12750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24926</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2705</v>
      </c>
      <c r="D1022" s="2" t="str">
        <f t="shared" si="14"/>
        <v>Error?</v>
      </c>
    </row>
    <row r="1023" spans="1:4" x14ac:dyDescent="0.2">
      <c r="A1023" s="5">
        <v>962</v>
      </c>
      <c r="B1023" s="138">
        <f>'Expenditures 15-22'!H50</f>
        <v>9890</v>
      </c>
      <c r="D1023" s="2" t="str">
        <f t="shared" ref="D1023:D1086" si="15">IF(ISBLANK(B1023),"OK",IF(A1023-B1023=0,"OK","Error?"))</f>
        <v>Error?</v>
      </c>
    </row>
    <row r="1024" spans="1:4" x14ac:dyDescent="0.2">
      <c r="A1024" s="5">
        <v>963</v>
      </c>
      <c r="B1024" s="138">
        <f>'Expenditures 15-22'!H53</f>
        <v>12595</v>
      </c>
      <c r="C1024" s="2" t="s">
        <v>594</v>
      </c>
      <c r="D1024" s="2" t="str">
        <f t="shared" si="15"/>
        <v>Error?</v>
      </c>
    </row>
    <row r="1025" spans="1:4" x14ac:dyDescent="0.2">
      <c r="A1025" s="5">
        <v>964</v>
      </c>
      <c r="B1025" s="138">
        <f>'Expenditures 15-22'!H55</f>
        <v>2307</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2307</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617</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617</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15519</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454228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494673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2772262</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252771</v>
      </c>
      <c r="C1105" s="2" t="s">
        <v>594</v>
      </c>
      <c r="D1105" s="2" t="str">
        <f t="shared" si="16"/>
        <v>Error?</v>
      </c>
    </row>
    <row r="1106" spans="1:4" x14ac:dyDescent="0.2">
      <c r="A1106" s="5">
        <v>1045</v>
      </c>
      <c r="B1106" s="138">
        <f>'Expenditures 15-22'!K14</f>
        <v>330750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4763511</v>
      </c>
      <c r="C1108" s="2" t="s">
        <v>594</v>
      </c>
      <c r="D1108" s="2" t="str">
        <f t="shared" si="16"/>
        <v>Error?</v>
      </c>
    </row>
    <row r="1109" spans="1:4" x14ac:dyDescent="0.2">
      <c r="A1109" s="5">
        <v>1048</v>
      </c>
      <c r="B1109" s="138">
        <f>'Expenditures 15-22'!K36</f>
        <v>12407</v>
      </c>
      <c r="C1109" s="2" t="s">
        <v>594</v>
      </c>
      <c r="D1109" s="2" t="str">
        <f t="shared" si="16"/>
        <v>Error?</v>
      </c>
    </row>
    <row r="1110" spans="1:4" x14ac:dyDescent="0.2">
      <c r="A1110" s="5">
        <v>1049</v>
      </c>
      <c r="B1110" s="138">
        <f>'Expenditures 15-22'!K37</f>
        <v>95232</v>
      </c>
      <c r="C1110" s="2" t="s">
        <v>594</v>
      </c>
      <c r="D1110" s="2" t="str">
        <f t="shared" si="16"/>
        <v>Error?</v>
      </c>
    </row>
    <row r="1111" spans="1:4" x14ac:dyDescent="0.2">
      <c r="A1111" s="5">
        <v>1050</v>
      </c>
      <c r="B1111" s="138">
        <f>'Expenditures 15-22'!K38</f>
        <v>36040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143679</v>
      </c>
      <c r="C1115" s="2" t="s">
        <v>594</v>
      </c>
      <c r="D1115" s="2" t="str">
        <f t="shared" si="16"/>
        <v>Error?</v>
      </c>
    </row>
    <row r="1116" spans="1:4" x14ac:dyDescent="0.2">
      <c r="A1116" s="5">
        <v>1055</v>
      </c>
      <c r="B1116" s="138">
        <f>'Expenditures 15-22'!K44</f>
        <v>60698</v>
      </c>
      <c r="C1116" s="2" t="s">
        <v>594</v>
      </c>
      <c r="D1116" s="2" t="str">
        <f t="shared" si="16"/>
        <v>Error?</v>
      </c>
    </row>
    <row r="1117" spans="1:4" x14ac:dyDescent="0.2">
      <c r="A1117" s="5">
        <v>1056</v>
      </c>
      <c r="B1117" s="138">
        <f>'Expenditures 15-22'!K45</f>
        <v>2445</v>
      </c>
      <c r="C1117" s="2" t="s">
        <v>594</v>
      </c>
      <c r="D1117" s="2" t="str">
        <f t="shared" si="16"/>
        <v>Error?</v>
      </c>
    </row>
    <row r="1118" spans="1:4" x14ac:dyDescent="0.2">
      <c r="A1118" s="5">
        <v>1057</v>
      </c>
      <c r="B1118" s="138">
        <f>'Expenditures 15-22'!K46</f>
        <v>7220</v>
      </c>
      <c r="C1118" s="2" t="s">
        <v>594</v>
      </c>
      <c r="D1118" s="2" t="str">
        <f t="shared" si="16"/>
        <v>Error?</v>
      </c>
    </row>
    <row r="1119" spans="1:4" x14ac:dyDescent="0.2">
      <c r="A1119" s="5">
        <v>1058</v>
      </c>
      <c r="B1119" s="138">
        <f>'Expenditures 15-22'!K47</f>
        <v>70363</v>
      </c>
      <c r="C1119" s="2" t="s">
        <v>594</v>
      </c>
      <c r="D1119" s="2" t="str">
        <f t="shared" si="16"/>
        <v>Error?</v>
      </c>
    </row>
    <row r="1120" spans="1:4" x14ac:dyDescent="0.2">
      <c r="A1120" s="5">
        <v>1059</v>
      </c>
      <c r="B1120" s="138">
        <f>'Expenditures 15-22'!K49</f>
        <v>36428</v>
      </c>
      <c r="C1120" s="2" t="s">
        <v>594</v>
      </c>
      <c r="D1120" s="2" t="str">
        <f t="shared" si="16"/>
        <v>Error?</v>
      </c>
    </row>
    <row r="1121" spans="1:4" x14ac:dyDescent="0.2">
      <c r="A1121" s="5">
        <v>1060</v>
      </c>
      <c r="B1121" s="138">
        <f>'Expenditures 15-22'!K50</f>
        <v>185803</v>
      </c>
      <c r="C1121" s="2" t="s">
        <v>594</v>
      </c>
      <c r="D1121" s="2" t="str">
        <f t="shared" si="16"/>
        <v>Error?</v>
      </c>
    </row>
    <row r="1122" spans="1:4" x14ac:dyDescent="0.2">
      <c r="A1122" s="5">
        <v>1061</v>
      </c>
      <c r="B1122" s="138">
        <f>'Expenditures 15-22'!K53</f>
        <v>222231</v>
      </c>
      <c r="C1122" s="2" t="s">
        <v>594</v>
      </c>
      <c r="D1122" s="2" t="str">
        <f t="shared" si="16"/>
        <v>Error?</v>
      </c>
    </row>
    <row r="1123" spans="1:4" x14ac:dyDescent="0.2">
      <c r="A1123" s="5">
        <v>1062</v>
      </c>
      <c r="B1123" s="138">
        <f>'Expenditures 15-22'!K55</f>
        <v>536598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536598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90683</v>
      </c>
      <c r="C1127" s="2" t="s">
        <v>594</v>
      </c>
      <c r="D1127" s="2" t="str">
        <f t="shared" si="16"/>
        <v>Error?</v>
      </c>
    </row>
    <row r="1128" spans="1:4" x14ac:dyDescent="0.2">
      <c r="A1128" s="5">
        <v>1067</v>
      </c>
      <c r="B1128" s="138">
        <f>'Expenditures 15-22'!K61</f>
        <v>34480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358532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483695</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1456566</v>
      </c>
      <c r="C1143" s="2" t="s">
        <v>594</v>
      </c>
      <c r="D1143" s="2" t="str">
        <f t="shared" si="16"/>
        <v>Error?</v>
      </c>
    </row>
    <row r="1144" spans="1:4" x14ac:dyDescent="0.2">
      <c r="A1144" s="5">
        <v>1083</v>
      </c>
      <c r="B1144" s="138">
        <f>'Expenditures 15-22'!K75</f>
        <v>101019</v>
      </c>
      <c r="C1144" s="2" t="s">
        <v>594</v>
      </c>
      <c r="D1144" s="2" t="str">
        <f t="shared" si="16"/>
        <v>Error?</v>
      </c>
    </row>
    <row r="1145" spans="1:4" x14ac:dyDescent="0.2">
      <c r="A1145" s="5">
        <v>1084</v>
      </c>
      <c r="B1145" s="138">
        <f>'Expenditures 15-22'!K102</f>
        <v>669823</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6990919</v>
      </c>
      <c r="C1152" s="2" t="s">
        <v>594</v>
      </c>
      <c r="D1152" s="2" t="str">
        <f t="shared" si="17"/>
        <v>Error?</v>
      </c>
    </row>
    <row r="1153" spans="1:4" x14ac:dyDescent="0.2">
      <c r="A1153" s="5">
        <v>1092</v>
      </c>
      <c r="B1153" s="138">
        <f>'Expenditures 15-22'!K115</f>
        <v>540053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197791</v>
      </c>
      <c r="D1221" s="2" t="str">
        <f t="shared" si="18"/>
        <v>Error?</v>
      </c>
    </row>
    <row r="1222" spans="1:4" x14ac:dyDescent="0.2">
      <c r="A1222" s="10">
        <v>1161</v>
      </c>
      <c r="D1222" s="2" t="str">
        <f t="shared" si="18"/>
        <v>OK</v>
      </c>
    </row>
    <row r="1223" spans="1:4" x14ac:dyDescent="0.2">
      <c r="A1223" s="5">
        <v>1162</v>
      </c>
      <c r="B1223" s="138">
        <f>'Expenditures 15-22'!C127</f>
        <v>197791</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197791</v>
      </c>
      <c r="C1225" s="2" t="s">
        <v>594</v>
      </c>
      <c r="D1225" s="2" t="str">
        <f t="shared" si="18"/>
        <v>Error?</v>
      </c>
    </row>
    <row r="1226" spans="1:4" x14ac:dyDescent="0.2">
      <c r="A1226" s="5">
        <v>1165</v>
      </c>
      <c r="B1226" s="138">
        <f>'Expenditures 15-22'!C151</f>
        <v>197791</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33124</v>
      </c>
      <c r="D1229" s="2" t="str">
        <f t="shared" si="18"/>
        <v>Error?</v>
      </c>
    </row>
    <row r="1230" spans="1:4" x14ac:dyDescent="0.2">
      <c r="A1230" s="10">
        <v>1169</v>
      </c>
      <c r="D1230" s="2" t="str">
        <f t="shared" si="18"/>
        <v>OK</v>
      </c>
    </row>
    <row r="1231" spans="1:4" x14ac:dyDescent="0.2">
      <c r="A1231" s="5">
        <v>1170</v>
      </c>
      <c r="B1231" s="138">
        <f>'Expenditures 15-22'!D127</f>
        <v>33124</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33124</v>
      </c>
      <c r="C1233" s="2" t="s">
        <v>594</v>
      </c>
      <c r="D1233" s="2" t="str">
        <f t="shared" si="18"/>
        <v>Error?</v>
      </c>
    </row>
    <row r="1234" spans="1:4" x14ac:dyDescent="0.2">
      <c r="A1234" s="5">
        <v>1173</v>
      </c>
      <c r="B1234" s="138">
        <f>'Expenditures 15-22'!D151</f>
        <v>33124</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1500</v>
      </c>
      <c r="D1236" s="2" t="str">
        <f t="shared" si="18"/>
        <v>Error?</v>
      </c>
    </row>
    <row r="1237" spans="1:4" x14ac:dyDescent="0.2">
      <c r="A1237" s="5">
        <v>1176</v>
      </c>
      <c r="B1237" s="138">
        <f>'Expenditures 15-22'!E124</f>
        <v>102668</v>
      </c>
      <c r="D1237" s="2" t="str">
        <f t="shared" si="18"/>
        <v>Error?</v>
      </c>
    </row>
    <row r="1238" spans="1:4" x14ac:dyDescent="0.2">
      <c r="A1238" s="10">
        <v>1177</v>
      </c>
      <c r="D1238" s="2" t="str">
        <f t="shared" si="18"/>
        <v>OK</v>
      </c>
    </row>
    <row r="1239" spans="1:4" x14ac:dyDescent="0.2">
      <c r="A1239" s="5">
        <v>1178</v>
      </c>
      <c r="B1239" s="138">
        <f>'Expenditures 15-22'!E127</f>
        <v>104168</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104168</v>
      </c>
      <c r="C1241" s="2" t="s">
        <v>594</v>
      </c>
      <c r="D1241" s="2" t="str">
        <f t="shared" si="18"/>
        <v>Error?</v>
      </c>
    </row>
    <row r="1242" spans="1:4" x14ac:dyDescent="0.2">
      <c r="A1242" s="5">
        <v>1181</v>
      </c>
      <c r="B1242" s="138">
        <f>'Expenditures 15-22'!E151</f>
        <v>104168</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271437</v>
      </c>
      <c r="D1245" s="2" t="str">
        <f t="shared" si="18"/>
        <v>Error?</v>
      </c>
    </row>
    <row r="1246" spans="1:4" x14ac:dyDescent="0.2">
      <c r="A1246" s="10">
        <v>1185</v>
      </c>
      <c r="D1246" s="2" t="str">
        <f t="shared" si="18"/>
        <v>OK</v>
      </c>
    </row>
    <row r="1247" spans="1:4" x14ac:dyDescent="0.2">
      <c r="A1247" s="5">
        <v>1186</v>
      </c>
      <c r="B1247" s="138">
        <f>'Expenditures 15-22'!F127</f>
        <v>271437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271437</v>
      </c>
      <c r="C1249" s="2" t="s">
        <v>594</v>
      </c>
      <c r="D1249" s="2" t="str">
        <f t="shared" si="18"/>
        <v>Error?</v>
      </c>
    </row>
    <row r="1250" spans="1:4" x14ac:dyDescent="0.2">
      <c r="A1250" s="5">
        <v>1189</v>
      </c>
      <c r="B1250" s="138">
        <f>'Expenditures 15-22'!F151</f>
        <v>271437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18</v>
      </c>
      <c r="D1262" s="2" t="str">
        <f t="shared" si="18"/>
        <v>Error?</v>
      </c>
    </row>
    <row r="1263" spans="1:4" x14ac:dyDescent="0.2">
      <c r="A1263" s="10">
        <v>1202</v>
      </c>
      <c r="D1263" s="2" t="str">
        <f t="shared" si="18"/>
        <v>OK</v>
      </c>
    </row>
    <row r="1264" spans="1:4" x14ac:dyDescent="0.2">
      <c r="A1264" s="5">
        <v>1203</v>
      </c>
      <c r="B1264" s="138">
        <f>'Expenditures 15-22'!H127</f>
        <v>18</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18</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18</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1500</v>
      </c>
      <c r="C1275" s="2" t="s">
        <v>594</v>
      </c>
      <c r="D1275" s="2" t="str">
        <f t="shared" si="18"/>
        <v>Error?</v>
      </c>
    </row>
    <row r="1276" spans="1:4" x14ac:dyDescent="0.2">
      <c r="A1276" s="5">
        <v>1215</v>
      </c>
      <c r="B1276" s="138">
        <f>'Expenditures 15-22'!K124</f>
        <v>610247</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611747</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611747</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611747</v>
      </c>
      <c r="C1288" s="2" t="s">
        <v>594</v>
      </c>
      <c r="D1288" s="2" t="str">
        <f t="shared" si="19"/>
        <v>Error?</v>
      </c>
    </row>
    <row r="1289" spans="1:4" x14ac:dyDescent="0.2">
      <c r="A1289" s="5">
        <v>1228</v>
      </c>
      <c r="B1289" s="138">
        <f>'Expenditures 15-22'!K152</f>
        <v>-21122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338946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560000</v>
      </c>
      <c r="D1315" s="2" t="str">
        <f t="shared" si="19"/>
        <v>Error?</v>
      </c>
    </row>
    <row r="1316" spans="1:4" x14ac:dyDescent="0.2">
      <c r="A1316" s="5">
        <v>1255</v>
      </c>
      <c r="B1316" s="138">
        <f>'Expenditures 15-22'!H171</f>
        <v>1825</v>
      </c>
      <c r="D1316" s="2" t="str">
        <f t="shared" si="19"/>
        <v>Error?</v>
      </c>
    </row>
    <row r="1317" spans="1:4" x14ac:dyDescent="0.2">
      <c r="A1317" s="5">
        <v>1256</v>
      </c>
      <c r="B1317" s="138">
        <f>'Expenditures 15-22'!H172</f>
        <v>900771</v>
      </c>
      <c r="C1317" s="2" t="s">
        <v>594</v>
      </c>
      <c r="D1317" s="2" t="str">
        <f t="shared" si="19"/>
        <v>Error?</v>
      </c>
    </row>
    <row r="1318" spans="1:4" x14ac:dyDescent="0.2">
      <c r="A1318" s="5">
        <v>1257</v>
      </c>
      <c r="B1318" s="138">
        <f>'Expenditures 15-22'!H174</f>
        <v>900771</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338946</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560000</v>
      </c>
      <c r="C1329" s="2" t="s">
        <v>594</v>
      </c>
      <c r="D1329" s="2" t="str">
        <f t="shared" si="19"/>
        <v>Error?</v>
      </c>
    </row>
    <row r="1330" spans="1:4" x14ac:dyDescent="0.2">
      <c r="A1330" s="5">
        <v>1269</v>
      </c>
      <c r="B1330" s="138">
        <f>'Expenditures 15-22'!K171</f>
        <v>1825</v>
      </c>
      <c r="C1330" s="2" t="s">
        <v>594</v>
      </c>
      <c r="D1330" s="2" t="str">
        <f t="shared" si="19"/>
        <v>Error?</v>
      </c>
    </row>
    <row r="1331" spans="1:4" x14ac:dyDescent="0.2">
      <c r="A1331" s="5">
        <v>1270</v>
      </c>
      <c r="B1331" s="138">
        <f>'Expenditures 15-22'!K172</f>
        <v>900771</v>
      </c>
      <c r="C1331" s="2" t="s">
        <v>594</v>
      </c>
      <c r="D1331" s="2" t="str">
        <f t="shared" si="19"/>
        <v>Error?</v>
      </c>
    </row>
    <row r="1332" spans="1:4" x14ac:dyDescent="0.2">
      <c r="A1332" s="5">
        <v>1271</v>
      </c>
      <c r="B1332" s="138">
        <f>'Expenditures 15-22'!K174</f>
        <v>900771</v>
      </c>
      <c r="C1332" s="2" t="s">
        <v>594</v>
      </c>
      <c r="D1332" s="2" t="str">
        <f t="shared" si="19"/>
        <v>Error?</v>
      </c>
    </row>
    <row r="1333" spans="1:4" x14ac:dyDescent="0.2">
      <c r="A1333" s="5">
        <v>1272</v>
      </c>
      <c r="B1333" s="138">
        <f>'Expenditures 15-22'!K175</f>
        <v>491270</v>
      </c>
      <c r="C1333" s="2" t="s">
        <v>594</v>
      </c>
      <c r="D1333" s="2" t="str">
        <f t="shared" si="19"/>
        <v>Error?</v>
      </c>
    </row>
    <row r="1334" spans="1:4" x14ac:dyDescent="0.2">
      <c r="A1334" s="10">
        <v>1273</v>
      </c>
      <c r="D1334" s="2" t="str">
        <f t="shared" si="19"/>
        <v>OK</v>
      </c>
    </row>
    <row r="1335" spans="1:4" x14ac:dyDescent="0.2">
      <c r="A1335" s="5">
        <v>1274</v>
      </c>
      <c r="B1335" s="138">
        <f>'Expenditures 15-22'!C182</f>
        <v>4032</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4032</v>
      </c>
      <c r="C1339" s="2" t="s">
        <v>594</v>
      </c>
      <c r="D1339" s="2" t="str">
        <f t="shared" si="19"/>
        <v>Error?</v>
      </c>
    </row>
    <row r="1340" spans="1:4" x14ac:dyDescent="0.2">
      <c r="A1340" s="5">
        <v>1279</v>
      </c>
      <c r="B1340" s="138">
        <f>'Expenditures 15-22'!C210</f>
        <v>4032</v>
      </c>
      <c r="C1340" s="2" t="s">
        <v>594</v>
      </c>
      <c r="D1340" s="2" t="str">
        <f t="shared" si="19"/>
        <v>Error?</v>
      </c>
    </row>
    <row r="1341" spans="1:4" x14ac:dyDescent="0.2">
      <c r="A1341" s="5">
        <v>1280</v>
      </c>
      <c r="B1341" s="138">
        <f>'Expenditures 15-22'!D182</f>
        <v>772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772</v>
      </c>
      <c r="C1345" s="2" t="s">
        <v>594</v>
      </c>
      <c r="D1345" s="2" t="str">
        <f t="shared" si="20"/>
        <v>Error?</v>
      </c>
    </row>
    <row r="1346" spans="1:4" x14ac:dyDescent="0.2">
      <c r="A1346" s="5">
        <v>1285</v>
      </c>
      <c r="B1346" s="138">
        <f>'Expenditures 15-22'!D210</f>
        <v>772</v>
      </c>
      <c r="C1346" s="2" t="s">
        <v>594</v>
      </c>
      <c r="D1346" s="2" t="str">
        <f t="shared" si="20"/>
        <v>Error?</v>
      </c>
    </row>
    <row r="1347" spans="1:4" x14ac:dyDescent="0.2">
      <c r="A1347" s="5">
        <v>1286</v>
      </c>
      <c r="B1347" s="138">
        <f>'Expenditures 15-22'!E182</f>
        <v>603630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603630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603630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608434</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608434</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608434</v>
      </c>
      <c r="C1388" s="2" t="s">
        <v>594</v>
      </c>
      <c r="D1388" s="2" t="str">
        <f t="shared" si="20"/>
        <v>Error?</v>
      </c>
    </row>
    <row r="1389" spans="1:4" x14ac:dyDescent="0.2">
      <c r="A1389" s="5">
        <v>1328</v>
      </c>
      <c r="B1389" s="138">
        <f>'Expenditures 15-22'!K211</f>
        <v>-28642</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1679</v>
      </c>
      <c r="D1407" s="2" t="str">
        <f t="shared" ref="D1407:D1470" si="21">IF(ISBLANK(B1407),"OK",IF(A1407-B1407=0,"OK","Error?"))</f>
        <v>Error?</v>
      </c>
    </row>
    <row r="1408" spans="1:4" x14ac:dyDescent="0.2">
      <c r="A1408" s="5">
        <v>1347</v>
      </c>
      <c r="B1408" s="138">
        <f>'Expenditures 15-22'!D223</f>
        <v>6641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121343</v>
      </c>
      <c r="C1410" s="2" t="s">
        <v>594</v>
      </c>
      <c r="D1410" s="2" t="str">
        <f t="shared" si="21"/>
        <v>Error?</v>
      </c>
    </row>
    <row r="1411" spans="1:4" x14ac:dyDescent="0.2">
      <c r="A1411" s="5">
        <v>1350</v>
      </c>
      <c r="B1411" s="138">
        <f>'Expenditures 15-22'!D232</f>
        <v>7</v>
      </c>
      <c r="D1411" s="2" t="str">
        <f t="shared" si="21"/>
        <v>Error?</v>
      </c>
    </row>
    <row r="1412" spans="1:4" x14ac:dyDescent="0.2">
      <c r="A1412" s="5">
        <v>1351</v>
      </c>
      <c r="B1412" s="138">
        <f>'Expenditures 15-22'!D233</f>
        <v>7489</v>
      </c>
      <c r="D1412" s="2" t="str">
        <f t="shared" si="21"/>
        <v>Error?</v>
      </c>
    </row>
    <row r="1413" spans="1:4" x14ac:dyDescent="0.2">
      <c r="A1413" s="5">
        <v>1352</v>
      </c>
      <c r="B1413" s="138">
        <f>'Expenditures 15-22'!D234</f>
        <v>6864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14360</v>
      </c>
      <c r="C1417" s="2" t="s">
        <v>594</v>
      </c>
      <c r="D1417" s="2" t="str">
        <f t="shared" si="21"/>
        <v>Error?</v>
      </c>
    </row>
    <row r="1418" spans="1:4" x14ac:dyDescent="0.2">
      <c r="A1418" s="5">
        <v>1357</v>
      </c>
      <c r="B1418" s="138">
        <f>'Expenditures 15-22'!D240</f>
        <v>540</v>
      </c>
      <c r="D1418" s="2" t="str">
        <f t="shared" si="21"/>
        <v>Error?</v>
      </c>
    </row>
    <row r="1419" spans="1:4" x14ac:dyDescent="0.2">
      <c r="A1419" s="5">
        <v>1358</v>
      </c>
      <c r="B1419" s="138">
        <f>'Expenditures 15-22'!D241</f>
        <v>38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578</v>
      </c>
      <c r="C1421" s="2" t="s">
        <v>594</v>
      </c>
      <c r="D1421" s="2" t="str">
        <f t="shared" si="21"/>
        <v>Error?</v>
      </c>
    </row>
    <row r="1422" spans="1:4" x14ac:dyDescent="0.2">
      <c r="A1422" s="5">
        <v>1361</v>
      </c>
      <c r="B1422" s="138">
        <f>'Expenditures 15-22'!D245</f>
        <v>642</v>
      </c>
      <c r="D1422" s="2" t="str">
        <f t="shared" si="21"/>
        <v>Error?</v>
      </c>
    </row>
    <row r="1423" spans="1:4" x14ac:dyDescent="0.2">
      <c r="A1423" s="5">
        <v>1362</v>
      </c>
      <c r="B1423" s="138">
        <f>'Expenditures 15-22'!D246</f>
        <v>9118</v>
      </c>
      <c r="D1423" s="2" t="str">
        <f t="shared" si="21"/>
        <v>Error?</v>
      </c>
    </row>
    <row r="1424" spans="1:4" x14ac:dyDescent="0.2">
      <c r="A1424" s="5">
        <v>1363</v>
      </c>
      <c r="B1424" s="138">
        <f>'Expenditures 15-22'!D257</f>
        <v>9760</v>
      </c>
      <c r="C1424" s="2" t="s">
        <v>594</v>
      </c>
      <c r="D1424" s="2" t="str">
        <f t="shared" si="21"/>
        <v>Error?</v>
      </c>
    </row>
    <row r="1425" spans="1:4" x14ac:dyDescent="0.2">
      <c r="A1425" s="5">
        <v>1364</v>
      </c>
      <c r="B1425" s="138">
        <f>'Expenditures 15-22'!D259</f>
        <v>17852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17852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10116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35368</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20089</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65573</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108123</v>
      </c>
      <c r="C1446" s="2" t="s">
        <v>594</v>
      </c>
      <c r="D1446" s="2" t="str">
        <f t="shared" si="21"/>
        <v>Error?</v>
      </c>
    </row>
    <row r="1447" spans="1:4" x14ac:dyDescent="0.2">
      <c r="A1447" s="5">
        <v>1386</v>
      </c>
      <c r="B1447" s="138">
        <f>'Expenditures 15-22'!D280</f>
        <v>15349</v>
      </c>
      <c r="D1447" s="2" t="str">
        <f t="shared" si="21"/>
        <v>Error?</v>
      </c>
    </row>
    <row r="1448" spans="1:4" x14ac:dyDescent="0.2">
      <c r="A1448" s="5">
        <v>1387</v>
      </c>
      <c r="B1448" s="138">
        <f>'Expenditures 15-22'!D295</f>
        <v>244815</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1679</v>
      </c>
      <c r="C1471" s="2" t="s">
        <v>594</v>
      </c>
      <c r="D1471" s="2" t="str">
        <f t="shared" ref="D1471:D1534" si="22">IF(ISBLANK(B1471),"OK",IF(A1471-B1471=0,"OK","Error?"))</f>
        <v>Error?</v>
      </c>
    </row>
    <row r="1472" spans="1:4" x14ac:dyDescent="0.2">
      <c r="A1472" s="5">
        <v>1411</v>
      </c>
      <c r="B1472" s="138">
        <f>'Expenditures 15-22'!K223</f>
        <v>6641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121343</v>
      </c>
      <c r="C1474" s="2" t="s">
        <v>594</v>
      </c>
      <c r="D1474" s="2" t="str">
        <f t="shared" si="22"/>
        <v>Error?</v>
      </c>
    </row>
    <row r="1475" spans="1:4" x14ac:dyDescent="0.2">
      <c r="A1475" s="5">
        <v>1414</v>
      </c>
      <c r="B1475" s="138">
        <f>'Expenditures 15-22'!K232</f>
        <v>7</v>
      </c>
      <c r="C1475" s="2" t="s">
        <v>594</v>
      </c>
      <c r="D1475" s="2" t="str">
        <f t="shared" si="22"/>
        <v>Error?</v>
      </c>
    </row>
    <row r="1476" spans="1:4" x14ac:dyDescent="0.2">
      <c r="A1476" s="5">
        <v>1415</v>
      </c>
      <c r="B1476" s="138">
        <f>'Expenditures 15-22'!K233</f>
        <v>7489</v>
      </c>
      <c r="C1476" s="2" t="s">
        <v>594</v>
      </c>
      <c r="D1476" s="2" t="str">
        <f t="shared" si="22"/>
        <v>Error?</v>
      </c>
    </row>
    <row r="1477" spans="1:4" x14ac:dyDescent="0.2">
      <c r="A1477" s="5">
        <v>1416</v>
      </c>
      <c r="B1477" s="138">
        <f>'Expenditures 15-22'!K234</f>
        <v>6864</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14360</v>
      </c>
      <c r="C1481" s="2" t="s">
        <v>594</v>
      </c>
      <c r="D1481" s="2" t="str">
        <f t="shared" si="22"/>
        <v>Error?</v>
      </c>
    </row>
    <row r="1482" spans="1:4" x14ac:dyDescent="0.2">
      <c r="A1482" s="5">
        <v>1421</v>
      </c>
      <c r="B1482" s="138">
        <f>'Expenditures 15-22'!K240</f>
        <v>540</v>
      </c>
      <c r="C1482" s="2" t="s">
        <v>594</v>
      </c>
      <c r="D1482" s="2" t="str">
        <f t="shared" si="22"/>
        <v>Error?</v>
      </c>
    </row>
    <row r="1483" spans="1:4" x14ac:dyDescent="0.2">
      <c r="A1483" s="5">
        <v>1422</v>
      </c>
      <c r="B1483" s="138">
        <f>'Expenditures 15-22'!K241</f>
        <v>38</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578</v>
      </c>
      <c r="C1485" s="2" t="s">
        <v>594</v>
      </c>
      <c r="D1485" s="2" t="str">
        <f t="shared" si="22"/>
        <v>Error?</v>
      </c>
    </row>
    <row r="1486" spans="1:4" x14ac:dyDescent="0.2">
      <c r="A1486" s="5">
        <v>1425</v>
      </c>
      <c r="B1486" s="138">
        <f>'Expenditures 15-22'!K245</f>
        <v>642</v>
      </c>
      <c r="C1486" s="2" t="s">
        <v>594</v>
      </c>
      <c r="D1486" s="2" t="str">
        <f t="shared" si="22"/>
        <v>Error?</v>
      </c>
    </row>
    <row r="1487" spans="1:4" x14ac:dyDescent="0.2">
      <c r="A1487" s="5">
        <v>1426</v>
      </c>
      <c r="B1487" s="138">
        <f>'Expenditures 15-22'!K246</f>
        <v>9118</v>
      </c>
      <c r="C1487" s="2" t="s">
        <v>594</v>
      </c>
      <c r="D1487" s="2" t="str">
        <f t="shared" si="22"/>
        <v>Error?</v>
      </c>
    </row>
    <row r="1488" spans="1:4" x14ac:dyDescent="0.2">
      <c r="A1488" s="5">
        <v>1427</v>
      </c>
      <c r="B1488" s="138">
        <f>'Expenditures 15-22'!K257</f>
        <v>9760</v>
      </c>
      <c r="C1488" s="2" t="s">
        <v>594</v>
      </c>
      <c r="D1488" s="2" t="str">
        <f t="shared" si="22"/>
        <v>Error?</v>
      </c>
    </row>
    <row r="1489" spans="1:4" x14ac:dyDescent="0.2">
      <c r="A1489" s="5">
        <v>1428</v>
      </c>
      <c r="B1489" s="138">
        <f>'Expenditures 15-22'!K259</f>
        <v>17852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17852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10116</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35368</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20089</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65573</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108123</v>
      </c>
      <c r="C1510" s="2" t="s">
        <v>594</v>
      </c>
      <c r="D1510" s="2" t="str">
        <f t="shared" si="22"/>
        <v>Error?</v>
      </c>
    </row>
    <row r="1511" spans="1:4" x14ac:dyDescent="0.2">
      <c r="A1511" s="5">
        <v>1450</v>
      </c>
      <c r="B1511" s="138">
        <f>'Expenditures 15-22'!K280</f>
        <v>15349</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244815</v>
      </c>
      <c r="C1517" s="2" t="s">
        <v>594</v>
      </c>
      <c r="D1517" s="2" t="str">
        <f t="shared" si="22"/>
        <v>Error?</v>
      </c>
    </row>
    <row r="1518" spans="1:4" x14ac:dyDescent="0.2">
      <c r="A1518" s="5">
        <v>1457</v>
      </c>
      <c r="B1518" s="138">
        <f>'Expenditures 15-22'!K296</f>
        <v>4563</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83892</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83892</v>
      </c>
      <c r="C1535" s="2" t="s">
        <v>594</v>
      </c>
      <c r="D1535" s="2" t="str">
        <f t="shared" ref="D1535:D1598" si="23">IF(ISBLANK(B1535),"OK",IF(A1535-B1535=0,"OK","Error?"))</f>
        <v>Error?</v>
      </c>
    </row>
    <row r="1536" spans="1:4" x14ac:dyDescent="0.2">
      <c r="A1536" s="5">
        <v>1475</v>
      </c>
      <c r="B1536" s="138">
        <f>'Expenditures 15-22'!E312</f>
        <v>83892</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37289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37289</v>
      </c>
      <c r="C1547" s="2" t="s">
        <v>594</v>
      </c>
      <c r="D1547" s="2" t="str">
        <f t="shared" si="23"/>
        <v>Error?</v>
      </c>
    </row>
    <row r="1548" spans="1:4" x14ac:dyDescent="0.2">
      <c r="A1548" s="5">
        <v>1487</v>
      </c>
      <c r="B1548" s="138">
        <f>'Expenditures 15-22'!G312</f>
        <v>37289</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121181</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121181</v>
      </c>
      <c r="C1559" s="2" t="s">
        <v>594</v>
      </c>
      <c r="D1559" s="2" t="str">
        <f t="shared" si="23"/>
        <v>Error?</v>
      </c>
    </row>
    <row r="1560" spans="1:4" x14ac:dyDescent="0.2">
      <c r="A1560" s="5">
        <v>1499</v>
      </c>
      <c r="B1560" s="138">
        <f>'Expenditures 15-22'!K312</f>
        <v>121181</v>
      </c>
      <c r="C1560" s="2" t="s">
        <v>594</v>
      </c>
      <c r="D1560" s="2" t="str">
        <f t="shared" si="23"/>
        <v>Error?</v>
      </c>
    </row>
    <row r="1561" spans="1:4" x14ac:dyDescent="0.2">
      <c r="A1561" s="5">
        <v>1500</v>
      </c>
      <c r="B1561" s="138">
        <f>'Expenditures 15-22'!K313</f>
        <v>-121181</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-100178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439875</v>
      </c>
      <c r="C1630" s="2" t="s">
        <v>594</v>
      </c>
      <c r="D1630" s="2" t="str">
        <f t="shared" si="24"/>
        <v>Error?</v>
      </c>
    </row>
    <row r="1631" spans="1:4" x14ac:dyDescent="0.2">
      <c r="A1631" s="5">
        <v>1570</v>
      </c>
      <c r="B1631" s="138">
        <f>'Acct Summary 7-8'!D79</f>
        <v>-107887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-129009</v>
      </c>
      <c r="C1644" s="2" t="s">
        <v>594</v>
      </c>
      <c r="D1644" s="2" t="str">
        <f t="shared" si="24"/>
        <v>Error?</v>
      </c>
    </row>
    <row r="1645" spans="1:4" x14ac:dyDescent="0.2">
      <c r="A1645" s="5">
        <v>1584</v>
      </c>
      <c r="B1645" s="138">
        <f>'Acct Summary 7-8'!E79</f>
        <v>443246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1046672</v>
      </c>
      <c r="C1658" s="2" t="s">
        <v>594</v>
      </c>
      <c r="D1658" s="2" t="str">
        <f t="shared" si="24"/>
        <v>Error?</v>
      </c>
    </row>
    <row r="1659" spans="1:4" x14ac:dyDescent="0.2">
      <c r="A1659" s="5">
        <v>1598</v>
      </c>
      <c r="B1659" s="138">
        <f>'Acct Summary 7-8'!F79</f>
        <v>132614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103972</v>
      </c>
      <c r="C1672" s="2" t="s">
        <v>594</v>
      </c>
      <c r="D1672" s="2" t="str">
        <f t="shared" si="25"/>
        <v>Error?</v>
      </c>
    </row>
    <row r="1673" spans="1:4" x14ac:dyDescent="0.2">
      <c r="A1673" s="5">
        <v>1612</v>
      </c>
      <c r="B1673" s="138">
        <f>'Acct Summary 7-8'!G79</f>
        <v>53716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58279</v>
      </c>
      <c r="C1686" s="2" t="s">
        <v>594</v>
      </c>
      <c r="D1686" s="2" t="str">
        <f t="shared" si="25"/>
        <v>Error?</v>
      </c>
    </row>
    <row r="1687" spans="1:4" x14ac:dyDescent="0.2">
      <c r="A1687" s="5">
        <v>1626</v>
      </c>
      <c r="B1687" s="138">
        <f>'Acct Summary 7-8'!H79</f>
        <v>1412276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1178939</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1613657</v>
      </c>
      <c r="C1744" s="2" t="s">
        <v>594</v>
      </c>
      <c r="D1744" s="2" t="str">
        <f t="shared" si="26"/>
        <v>Error?</v>
      </c>
    </row>
    <row r="1745" spans="1:5" x14ac:dyDescent="0.2">
      <c r="A1745" s="5">
        <v>1684</v>
      </c>
      <c r="B1745" s="138">
        <f>'Tax Sched 23'!B5</f>
        <v>438898</v>
      </c>
      <c r="C1745" s="2" t="s">
        <v>594</v>
      </c>
      <c r="D1745" s="2" t="str">
        <f t="shared" si="26"/>
        <v>Error?</v>
      </c>
    </row>
    <row r="1746" spans="1:5" x14ac:dyDescent="0.2">
      <c r="A1746" s="5">
        <v>1685</v>
      </c>
      <c r="B1746" s="138">
        <f>'Tax Sched 23'!B6</f>
        <v>735253</v>
      </c>
      <c r="C1746" s="2" t="s">
        <v>594</v>
      </c>
      <c r="D1746" s="2" t="str">
        <f t="shared" si="26"/>
        <v>Error?</v>
      </c>
    </row>
    <row r="1747" spans="1:5" x14ac:dyDescent="0.2">
      <c r="A1747" s="5">
        <v>1686</v>
      </c>
      <c r="B1747" s="138">
        <f>'Tax Sched 23'!B7</f>
        <v>175608</v>
      </c>
      <c r="C1747" s="2" t="s">
        <v>594</v>
      </c>
      <c r="D1747" s="2" t="str">
        <f t="shared" si="26"/>
        <v>Error?</v>
      </c>
    </row>
    <row r="1748" spans="1:5" x14ac:dyDescent="0.2">
      <c r="A1748" s="5">
        <v>1687</v>
      </c>
      <c r="B1748" s="138">
        <f>'Tax Sched 23'!B8</f>
        <v>112709</v>
      </c>
      <c r="C1748" s="2" t="s">
        <v>594</v>
      </c>
      <c r="D1748" s="2" t="str">
        <f t="shared" si="26"/>
        <v>Error?</v>
      </c>
    </row>
    <row r="1749" spans="1:5" x14ac:dyDescent="0.2">
      <c r="A1749" s="5">
        <v>1688</v>
      </c>
      <c r="B1749" s="138">
        <f>'Tax Sched 23'!B10</f>
        <v>38513</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112709</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37574</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3340524</v>
      </c>
      <c r="C1759" s="2" t="s">
        <v>594</v>
      </c>
      <c r="D1759" s="2" t="str">
        <f t="shared" si="26"/>
        <v>Error?</v>
      </c>
    </row>
    <row r="1760" spans="1:5" x14ac:dyDescent="0.2">
      <c r="A1760" s="5">
        <v>1699</v>
      </c>
      <c r="B1760" s="138">
        <f>'Tax Sched 23'!D4</f>
        <v>1613657</v>
      </c>
      <c r="C1760" s="2" t="s">
        <v>594</v>
      </c>
      <c r="D1760" s="2" t="str">
        <f t="shared" si="26"/>
        <v>Error?</v>
      </c>
    </row>
    <row r="1761" spans="1:5" x14ac:dyDescent="0.2">
      <c r="A1761" s="5">
        <v>1700</v>
      </c>
      <c r="B1761" s="138">
        <f>'Tax Sched 23'!D5</f>
        <v>438898</v>
      </c>
      <c r="C1761" s="2" t="s">
        <v>594</v>
      </c>
      <c r="D1761" s="2" t="str">
        <f t="shared" si="26"/>
        <v>Error?</v>
      </c>
    </row>
    <row r="1762" spans="1:5" s="8" customFormat="1" x14ac:dyDescent="0.2">
      <c r="A1762" s="5">
        <v>1701</v>
      </c>
      <c r="B1762" s="138">
        <f>'Tax Sched 23'!D6</f>
        <v>735253</v>
      </c>
      <c r="C1762" s="2" t="s">
        <v>594</v>
      </c>
      <c r="D1762" s="2" t="str">
        <f t="shared" si="26"/>
        <v>Error?</v>
      </c>
      <c r="E1762" s="9"/>
    </row>
    <row r="1763" spans="1:5" x14ac:dyDescent="0.2">
      <c r="A1763" s="5">
        <v>1702</v>
      </c>
      <c r="B1763" s="138">
        <f>'Tax Sched 23'!D7</f>
        <v>175608</v>
      </c>
      <c r="C1763" s="2" t="s">
        <v>594</v>
      </c>
      <c r="D1763" s="2" t="str">
        <f t="shared" si="26"/>
        <v>Error?</v>
      </c>
    </row>
    <row r="1764" spans="1:5" x14ac:dyDescent="0.2">
      <c r="A1764" s="5">
        <v>1703</v>
      </c>
      <c r="B1764" s="138">
        <f>'Tax Sched 23'!D8</f>
        <v>112709</v>
      </c>
      <c r="C1764" s="2" t="s">
        <v>594</v>
      </c>
      <c r="D1764" s="2" t="str">
        <f t="shared" si="26"/>
        <v>Error?</v>
      </c>
    </row>
    <row r="1765" spans="1:5" x14ac:dyDescent="0.2">
      <c r="A1765" s="5">
        <v>1704</v>
      </c>
      <c r="B1765" s="138">
        <f>'Tax Sched 23'!D10</f>
        <v>38513</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112709</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37574</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3340524</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1651254</v>
      </c>
      <c r="C1792" s="2" t="s">
        <v>594</v>
      </c>
      <c r="D1792" s="2" t="str">
        <f t="shared" si="27"/>
        <v>Error?</v>
      </c>
    </row>
    <row r="1793" spans="1:4" x14ac:dyDescent="0.2">
      <c r="A1793" s="5">
        <v>1732</v>
      </c>
      <c r="B1793" s="138">
        <f>'Tax Sched 23'!F5</f>
        <v>449143</v>
      </c>
      <c r="C1793" s="2" t="s">
        <v>594</v>
      </c>
      <c r="D1793" s="2" t="str">
        <f t="shared" si="27"/>
        <v>Error?</v>
      </c>
    </row>
    <row r="1794" spans="1:4" x14ac:dyDescent="0.2">
      <c r="A1794" s="5">
        <v>1733</v>
      </c>
      <c r="B1794" s="138">
        <f>'Tax Sched 23'!F6</f>
        <v>319147</v>
      </c>
      <c r="C1794" s="2" t="s">
        <v>594</v>
      </c>
      <c r="D1794" s="2" t="str">
        <f t="shared" si="27"/>
        <v>Error?</v>
      </c>
    </row>
    <row r="1795" spans="1:4" x14ac:dyDescent="0.2">
      <c r="A1795" s="5">
        <v>1734</v>
      </c>
      <c r="B1795" s="138">
        <f>'Tax Sched 23'!F7</f>
        <v>179711</v>
      </c>
      <c r="C1795" s="2" t="s">
        <v>594</v>
      </c>
      <c r="D1795" s="2" t="str">
        <f t="shared" si="27"/>
        <v>Error?</v>
      </c>
    </row>
    <row r="1796" spans="1:4" x14ac:dyDescent="0.2">
      <c r="A1796" s="5">
        <v>1735</v>
      </c>
      <c r="B1796" s="138">
        <f>'Tax Sched 23'!F8</f>
        <v>115198</v>
      </c>
      <c r="C1796" s="2" t="s">
        <v>594</v>
      </c>
      <c r="D1796" s="2" t="str">
        <f t="shared" si="27"/>
        <v>Error?</v>
      </c>
    </row>
    <row r="1797" spans="1:4" x14ac:dyDescent="0.2">
      <c r="A1797" s="5">
        <v>1736</v>
      </c>
      <c r="B1797" s="138">
        <f>'Tax Sched 23'!F10</f>
        <v>42205</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115198</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38405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2988015</v>
      </c>
      <c r="C1807" s="2" t="s">
        <v>594</v>
      </c>
      <c r="D1807" s="2" t="str">
        <f t="shared" si="27"/>
        <v>Error?</v>
      </c>
    </row>
    <row r="1808" spans="1:4" x14ac:dyDescent="0.2">
      <c r="A1808" s="5">
        <v>1747</v>
      </c>
      <c r="B1808" s="138">
        <f>'Tax Sched 23'!E4</f>
        <v>1651254</v>
      </c>
      <c r="D1808" s="2" t="str">
        <f t="shared" si="27"/>
        <v>Error?</v>
      </c>
    </row>
    <row r="1809" spans="1:4" x14ac:dyDescent="0.2">
      <c r="A1809" s="5">
        <v>1748</v>
      </c>
      <c r="B1809" s="138">
        <f>'Tax Sched 23'!E5</f>
        <v>449143</v>
      </c>
      <c r="D1809" s="2" t="str">
        <f t="shared" si="27"/>
        <v>Error?</v>
      </c>
    </row>
    <row r="1810" spans="1:4" x14ac:dyDescent="0.2">
      <c r="A1810" s="5">
        <v>1749</v>
      </c>
      <c r="B1810" s="138">
        <f>'Tax Sched 23'!E6</f>
        <v>319147</v>
      </c>
      <c r="D1810" s="2" t="str">
        <f t="shared" si="27"/>
        <v>Error?</v>
      </c>
    </row>
    <row r="1811" spans="1:4" x14ac:dyDescent="0.2">
      <c r="A1811" s="5">
        <v>1750</v>
      </c>
      <c r="B1811" s="138">
        <f>'Tax Sched 23'!E7</f>
        <v>179711</v>
      </c>
      <c r="D1811" s="2" t="str">
        <f t="shared" si="27"/>
        <v>Error?</v>
      </c>
    </row>
    <row r="1812" spans="1:4" x14ac:dyDescent="0.2">
      <c r="A1812" s="5">
        <v>1751</v>
      </c>
      <c r="B1812" s="138">
        <f>'Tax Sched 23'!E8</f>
        <v>115198</v>
      </c>
      <c r="D1812" s="2" t="str">
        <f t="shared" si="27"/>
        <v>Error?</v>
      </c>
    </row>
    <row r="1813" spans="1:4" x14ac:dyDescent="0.2">
      <c r="A1813" s="5">
        <v>1752</v>
      </c>
      <c r="B1813" s="138">
        <f>'Tax Sched 23'!E10</f>
        <v>42205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115198</v>
      </c>
      <c r="D1816" s="2" t="str">
        <f t="shared" si="27"/>
        <v>Error?</v>
      </c>
    </row>
    <row r="1817" spans="1:4" x14ac:dyDescent="0.2">
      <c r="A1817" s="5">
        <v>1756</v>
      </c>
      <c r="B1817" s="138">
        <f>'Tax Sched 23'!E12</f>
        <v>0</v>
      </c>
      <c r="D1817" s="2" t="str">
        <f t="shared" si="27"/>
        <v>Error?</v>
      </c>
    </row>
    <row r="1818" spans="1:4" x14ac:dyDescent="0.2">
      <c r="A1818" s="5">
        <v>1757</v>
      </c>
      <c r="B1818" s="138">
        <f>'Tax Sched 23'!E14</f>
        <v>38405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2988015</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8155000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37574</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37574</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37574</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251280</v>
      </c>
      <c r="D2008" s="2" t="str">
        <f t="shared" si="30"/>
        <v>Error?</v>
      </c>
    </row>
    <row r="2009" spans="1:4" x14ac:dyDescent="0.2">
      <c r="A2009" s="5">
        <v>1948</v>
      </c>
      <c r="B2009" s="138">
        <f>'Cap Outlay Deprec 26'!C8</f>
        <v>23174140</v>
      </c>
      <c r="D2009" s="2" t="str">
        <f t="shared" si="30"/>
        <v>Error?</v>
      </c>
    </row>
    <row r="2010" spans="1:4" x14ac:dyDescent="0.2">
      <c r="A2010" s="5">
        <v>1949</v>
      </c>
      <c r="B2010" s="138">
        <f>'Cap Outlay Deprec 26'!C10</f>
        <v>1409303</v>
      </c>
      <c r="D2010" s="2" t="str">
        <f t="shared" si="30"/>
        <v>Error?</v>
      </c>
    </row>
    <row r="2011" spans="1:4" x14ac:dyDescent="0.2">
      <c r="A2011" s="5">
        <v>1950</v>
      </c>
      <c r="B2011" s="138">
        <f>'Cap Outlay Deprec 26'!C12</f>
        <v>1417156</v>
      </c>
      <c r="D2011" s="2" t="str">
        <f t="shared" si="30"/>
        <v>Error?</v>
      </c>
    </row>
    <row r="2012" spans="1:4" x14ac:dyDescent="0.2">
      <c r="A2012" s="5">
        <v>1951</v>
      </c>
      <c r="B2012" s="138">
        <f>'Cap Outlay Deprec 26'!C13</f>
        <v>703282</v>
      </c>
      <c r="D2012" s="2" t="str">
        <f t="shared" si="30"/>
        <v>Error?</v>
      </c>
    </row>
    <row r="2013" spans="1:4" x14ac:dyDescent="0.2">
      <c r="A2013" s="5">
        <v>1952</v>
      </c>
      <c r="B2013" s="138">
        <f>'Cap Outlay Deprec 26'!C16</f>
        <v>26995902</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21658</v>
      </c>
      <c r="D2015" s="2" t="str">
        <f t="shared" si="30"/>
        <v>Error?</v>
      </c>
    </row>
    <row r="2016" spans="1:4" x14ac:dyDescent="0.2">
      <c r="A2016" s="5">
        <v>1955</v>
      </c>
      <c r="B2016" s="138">
        <f>'Cap Outlay Deprec 26'!D10</f>
        <v>9631</v>
      </c>
      <c r="D2016" s="2" t="str">
        <f t="shared" si="30"/>
        <v>Error?</v>
      </c>
    </row>
    <row r="2017" spans="1:4" x14ac:dyDescent="0.2">
      <c r="A2017" s="5">
        <v>1956</v>
      </c>
      <c r="B2017" s="138">
        <f>'Cap Outlay Deprec 26'!D12</f>
        <v>30000</v>
      </c>
      <c r="D2017" s="2" t="str">
        <f t="shared" si="30"/>
        <v>Error?</v>
      </c>
    </row>
    <row r="2018" spans="1:4" x14ac:dyDescent="0.2">
      <c r="A2018" s="5">
        <v>1957</v>
      </c>
      <c r="B2018" s="138">
        <f>'Cap Outlay Deprec 26'!D13</f>
        <v>6000</v>
      </c>
      <c r="D2018" s="2" t="str">
        <f t="shared" si="30"/>
        <v>Error?</v>
      </c>
    </row>
    <row r="2019" spans="1:4" x14ac:dyDescent="0.2">
      <c r="A2019" s="5">
        <v>1958</v>
      </c>
      <c r="B2019" s="138">
        <f>'Cap Outlay Deprec 26'!D16</f>
        <v>67289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99447</v>
      </c>
      <c r="D2021" s="2" t="str">
        <f t="shared" si="30"/>
        <v>Error?</v>
      </c>
    </row>
    <row r="2022" spans="1:4" x14ac:dyDescent="0.2">
      <c r="A2022" s="5">
        <v>1961</v>
      </c>
      <c r="B2022" s="138">
        <f>'Cap Outlay Deprec 26'!E10</f>
        <v>38559</v>
      </c>
      <c r="D2022" s="2" t="str">
        <f t="shared" si="30"/>
        <v>Error?</v>
      </c>
    </row>
    <row r="2023" spans="1:4" x14ac:dyDescent="0.2">
      <c r="A2023" s="5">
        <v>1962</v>
      </c>
      <c r="B2023" s="138">
        <f>'Cap Outlay Deprec 26'!E12</f>
        <v>91695</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229701</v>
      </c>
      <c r="C2025" s="2" t="s">
        <v>594</v>
      </c>
      <c r="D2025" s="2" t="str">
        <f t="shared" si="30"/>
        <v>Error?</v>
      </c>
    </row>
    <row r="2026" spans="1:4" x14ac:dyDescent="0.2">
      <c r="A2026" s="5">
        <v>1965</v>
      </c>
      <c r="B2026" s="138">
        <f>'Cap Outlay Deprec 26'!F5</f>
        <v>251280</v>
      </c>
      <c r="C2026" s="2" t="s">
        <v>594</v>
      </c>
      <c r="D2026" s="2" t="str">
        <f t="shared" si="30"/>
        <v>Error?</v>
      </c>
    </row>
    <row r="2027" spans="1:4" x14ac:dyDescent="0.2">
      <c r="A2027" s="5">
        <v>1966</v>
      </c>
      <c r="B2027" s="138">
        <f>'Cap Outlay Deprec 26'!F8</f>
        <v>23096351</v>
      </c>
      <c r="C2027" s="2" t="s">
        <v>594</v>
      </c>
      <c r="D2027" s="2" t="str">
        <f t="shared" si="30"/>
        <v>Error?</v>
      </c>
    </row>
    <row r="2028" spans="1:4" x14ac:dyDescent="0.2">
      <c r="A2028" s="5">
        <v>1967</v>
      </c>
      <c r="B2028" s="138">
        <f>'Cap Outlay Deprec 26'!F10</f>
        <v>1380375</v>
      </c>
      <c r="C2028" s="2" t="s">
        <v>594</v>
      </c>
      <c r="D2028" s="2" t="str">
        <f t="shared" si="30"/>
        <v>Error?</v>
      </c>
    </row>
    <row r="2029" spans="1:4" x14ac:dyDescent="0.2">
      <c r="A2029" s="5">
        <v>1968</v>
      </c>
      <c r="B2029" s="138">
        <f>'Cap Outlay Deprec 26'!F12</f>
        <v>1355461</v>
      </c>
      <c r="C2029" s="2" t="s">
        <v>594</v>
      </c>
      <c r="D2029" s="2" t="str">
        <f t="shared" si="30"/>
        <v>Error?</v>
      </c>
    </row>
    <row r="2030" spans="1:4" x14ac:dyDescent="0.2">
      <c r="A2030" s="5">
        <v>1969</v>
      </c>
      <c r="B2030" s="138">
        <f>'Cap Outlay Deprec 26'!F13</f>
        <v>709282</v>
      </c>
      <c r="C2030" s="2" t="s">
        <v>594</v>
      </c>
      <c r="D2030" s="2" t="str">
        <f t="shared" si="30"/>
        <v>Error?</v>
      </c>
    </row>
    <row r="2031" spans="1:4" x14ac:dyDescent="0.2">
      <c r="A2031" s="5">
        <v>1970</v>
      </c>
      <c r="B2031" s="138">
        <f>'Cap Outlay Deprec 26'!F16</f>
        <v>26833490</v>
      </c>
      <c r="C2031" s="2" t="s">
        <v>594</v>
      </c>
      <c r="D2031" s="2" t="str">
        <f t="shared" si="30"/>
        <v>Error?</v>
      </c>
    </row>
    <row r="2032" spans="1:4" x14ac:dyDescent="0.2">
      <c r="A2032" s="10">
        <v>1971</v>
      </c>
      <c r="D2032" s="2" t="str">
        <f t="shared" si="30"/>
        <v>OK</v>
      </c>
    </row>
    <row r="2033" spans="1:4" x14ac:dyDescent="0.2">
      <c r="A2033" s="5">
        <v>1972</v>
      </c>
      <c r="B2033" s="138">
        <f>'Cap Outlay Deprec 26'!H8</f>
        <v>8727283</v>
      </c>
      <c r="D2033" s="2" t="str">
        <f t="shared" si="30"/>
        <v>Error?</v>
      </c>
    </row>
    <row r="2034" spans="1:4" x14ac:dyDescent="0.2">
      <c r="A2034" s="5">
        <v>1973</v>
      </c>
      <c r="B2034" s="138">
        <f>'Cap Outlay Deprec 26'!H10</f>
        <v>667385</v>
      </c>
      <c r="D2034" s="2" t="str">
        <f t="shared" si="30"/>
        <v>Error?</v>
      </c>
    </row>
    <row r="2035" spans="1:4" x14ac:dyDescent="0.2">
      <c r="A2035" s="5">
        <v>1974</v>
      </c>
      <c r="B2035" s="138">
        <f>'Cap Outlay Deprec 26'!H12</f>
        <v>1322343</v>
      </c>
      <c r="D2035" s="2" t="str">
        <f t="shared" si="30"/>
        <v>Error?</v>
      </c>
    </row>
    <row r="2036" spans="1:4" x14ac:dyDescent="0.2">
      <c r="A2036" s="5">
        <v>1975</v>
      </c>
      <c r="B2036" s="138">
        <f>'Cap Outlay Deprec 26'!H13</f>
        <v>620109</v>
      </c>
      <c r="D2036" s="2" t="str">
        <f t="shared" si="30"/>
        <v>Error?</v>
      </c>
    </row>
    <row r="2037" spans="1:4" x14ac:dyDescent="0.2">
      <c r="A2037" s="5">
        <v>1976</v>
      </c>
      <c r="B2037" s="138">
        <f>'Cap Outlay Deprec 26'!H16</f>
        <v>11377861</v>
      </c>
      <c r="C2037" s="2" t="s">
        <v>594</v>
      </c>
      <c r="D2037" s="2" t="str">
        <f t="shared" si="30"/>
        <v>Error?</v>
      </c>
    </row>
    <row r="2038" spans="1:4" x14ac:dyDescent="0.2">
      <c r="A2038" s="10">
        <v>1977</v>
      </c>
      <c r="D2038" s="2" t="str">
        <f t="shared" si="30"/>
        <v>OK</v>
      </c>
    </row>
    <row r="2039" spans="1:4" x14ac:dyDescent="0.2">
      <c r="A2039" s="5">
        <v>1978</v>
      </c>
      <c r="B2039" s="138">
        <f>'Cap Outlay Deprec 26'!I8</f>
        <v>644374</v>
      </c>
      <c r="D2039" s="2" t="str">
        <f t="shared" si="30"/>
        <v>Error?</v>
      </c>
    </row>
    <row r="2040" spans="1:4" x14ac:dyDescent="0.2">
      <c r="A2040" s="5">
        <v>1979</v>
      </c>
      <c r="B2040" s="138">
        <f>'Cap Outlay Deprec 26'!I10</f>
        <v>68665</v>
      </c>
      <c r="D2040" s="2" t="str">
        <f t="shared" si="30"/>
        <v>Error?</v>
      </c>
    </row>
    <row r="2041" spans="1:4" x14ac:dyDescent="0.2">
      <c r="A2041" s="5">
        <v>1980</v>
      </c>
      <c r="B2041" s="138">
        <f>'Cap Outlay Deprec 26'!I12</f>
        <v>33130</v>
      </c>
      <c r="D2041" s="2" t="str">
        <f t="shared" si="30"/>
        <v>Error?</v>
      </c>
    </row>
    <row r="2042" spans="1:4" x14ac:dyDescent="0.2">
      <c r="A2042" s="5">
        <v>1981</v>
      </c>
      <c r="B2042" s="138">
        <f>'Cap Outlay Deprec 26'!I13</f>
        <v>43311</v>
      </c>
      <c r="D2042" s="2" t="str">
        <f t="shared" si="30"/>
        <v>Error?</v>
      </c>
    </row>
    <row r="2043" spans="1:4" x14ac:dyDescent="0.2">
      <c r="A2043" s="5">
        <v>1982</v>
      </c>
      <c r="B2043" s="138">
        <f>'Cap Outlay Deprec 26'!I16</f>
        <v>789480</v>
      </c>
      <c r="C2043" s="2" t="s">
        <v>594</v>
      </c>
      <c r="D2043" s="2" t="str">
        <f t="shared" si="30"/>
        <v>Error?</v>
      </c>
    </row>
    <row r="2044" spans="1:4" x14ac:dyDescent="0.2">
      <c r="A2044" s="10">
        <v>1983</v>
      </c>
      <c r="D2044" s="2" t="str">
        <f t="shared" si="30"/>
        <v>OK</v>
      </c>
    </row>
    <row r="2045" spans="1:4" x14ac:dyDescent="0.2">
      <c r="A2045" s="5">
        <v>1984</v>
      </c>
      <c r="B2045" s="138">
        <f>'Cap Outlay Deprec 26'!J8</f>
        <v>99447</v>
      </c>
      <c r="D2045" s="2" t="str">
        <f t="shared" si="30"/>
        <v>Error?</v>
      </c>
    </row>
    <row r="2046" spans="1:4" x14ac:dyDescent="0.2">
      <c r="A2046" s="5">
        <v>1985</v>
      </c>
      <c r="B2046" s="138">
        <f>'Cap Outlay Deprec 26'!J10</f>
        <v>38559</v>
      </c>
      <c r="D2046" s="2" t="str">
        <f t="shared" si="30"/>
        <v>Error?</v>
      </c>
    </row>
    <row r="2047" spans="1:4" x14ac:dyDescent="0.2">
      <c r="A2047" s="5">
        <v>1986</v>
      </c>
      <c r="B2047" s="138">
        <f>'Cap Outlay Deprec 26'!J12</f>
        <v>91695</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229701</v>
      </c>
      <c r="C2049" s="2" t="s">
        <v>594</v>
      </c>
      <c r="D2049" s="2" t="str">
        <f t="shared" si="31"/>
        <v>Error?</v>
      </c>
    </row>
    <row r="2050" spans="1:4" x14ac:dyDescent="0.2">
      <c r="A2050" s="10">
        <v>1989</v>
      </c>
      <c r="D2050" s="2" t="str">
        <f t="shared" si="31"/>
        <v>OK</v>
      </c>
    </row>
    <row r="2051" spans="1:4" x14ac:dyDescent="0.2">
      <c r="A2051" s="5">
        <v>1990</v>
      </c>
      <c r="B2051" s="138">
        <f>'Cap Outlay Deprec 26'!K8</f>
        <v>9272210</v>
      </c>
      <c r="C2051" s="2" t="s">
        <v>594</v>
      </c>
      <c r="D2051" s="2" t="str">
        <f t="shared" si="31"/>
        <v>Error?</v>
      </c>
    </row>
    <row r="2052" spans="1:4" x14ac:dyDescent="0.2">
      <c r="A2052" s="5">
        <v>1991</v>
      </c>
      <c r="B2052" s="138">
        <f>'Cap Outlay Deprec 26'!K10</f>
        <v>697491</v>
      </c>
      <c r="C2052" s="2" t="s">
        <v>594</v>
      </c>
      <c r="D2052" s="2" t="str">
        <f t="shared" si="31"/>
        <v>Error?</v>
      </c>
    </row>
    <row r="2053" spans="1:4" x14ac:dyDescent="0.2">
      <c r="A2053" s="5">
        <v>1992</v>
      </c>
      <c r="B2053" s="138">
        <f>'Cap Outlay Deprec 26'!K12</f>
        <v>1263778</v>
      </c>
      <c r="C2053" s="2" t="s">
        <v>594</v>
      </c>
      <c r="D2053" s="2" t="str">
        <f t="shared" si="31"/>
        <v>Error?</v>
      </c>
    </row>
    <row r="2054" spans="1:4" x14ac:dyDescent="0.2">
      <c r="A2054" s="5">
        <v>1993</v>
      </c>
      <c r="B2054" s="138">
        <f>'Cap Outlay Deprec 26'!K13</f>
        <v>663420</v>
      </c>
      <c r="C2054" s="2" t="s">
        <v>594</v>
      </c>
      <c r="D2054" s="2" t="str">
        <f t="shared" si="31"/>
        <v>Error?</v>
      </c>
    </row>
    <row r="2055" spans="1:4" x14ac:dyDescent="0.2">
      <c r="A2055" s="5">
        <v>1994</v>
      </c>
      <c r="B2055" s="138">
        <f>'Cap Outlay Deprec 26'!K16</f>
        <v>11937640</v>
      </c>
      <c r="C2055" s="2" t="s">
        <v>594</v>
      </c>
      <c r="D2055" s="2" t="str">
        <f t="shared" si="31"/>
        <v>Error?</v>
      </c>
    </row>
    <row r="2056" spans="1:4" x14ac:dyDescent="0.2">
      <c r="A2056" s="5">
        <v>1995</v>
      </c>
      <c r="B2056" s="138">
        <f>'Cap Outlay Deprec 26'!L5</f>
        <v>251280</v>
      </c>
      <c r="C2056" s="2" t="s">
        <v>594</v>
      </c>
      <c r="D2056" s="2" t="str">
        <f t="shared" si="31"/>
        <v>Error?</v>
      </c>
    </row>
    <row r="2057" spans="1:4" x14ac:dyDescent="0.2">
      <c r="A2057" s="5">
        <v>1996</v>
      </c>
      <c r="B2057" s="138">
        <f>'Cap Outlay Deprec 26'!L8</f>
        <v>13824141</v>
      </c>
      <c r="C2057" s="2" t="s">
        <v>594</v>
      </c>
      <c r="D2057" s="2" t="str">
        <f t="shared" si="31"/>
        <v>Error?</v>
      </c>
    </row>
    <row r="2058" spans="1:4" x14ac:dyDescent="0.2">
      <c r="A2058" s="5">
        <v>1997</v>
      </c>
      <c r="B2058" s="138">
        <f>'Cap Outlay Deprec 26'!L10</f>
        <v>682884</v>
      </c>
      <c r="C2058" s="2" t="s">
        <v>594</v>
      </c>
      <c r="D2058" s="2" t="str">
        <f t="shared" si="31"/>
        <v>Error?</v>
      </c>
    </row>
    <row r="2059" spans="1:4" x14ac:dyDescent="0.2">
      <c r="A2059" s="5">
        <v>1998</v>
      </c>
      <c r="B2059" s="138">
        <f>'Cap Outlay Deprec 26'!L12</f>
        <v>91683</v>
      </c>
      <c r="C2059" s="2" t="s">
        <v>594</v>
      </c>
      <c r="D2059" s="2" t="str">
        <f t="shared" si="31"/>
        <v>Error?</v>
      </c>
    </row>
    <row r="2060" spans="1:4" x14ac:dyDescent="0.2">
      <c r="A2060" s="5">
        <v>1999</v>
      </c>
      <c r="B2060" s="138">
        <f>'Cap Outlay Deprec 26'!L13</f>
        <v>45862</v>
      </c>
      <c r="C2060" s="2" t="s">
        <v>594</v>
      </c>
      <c r="D2060" s="2" t="str">
        <f t="shared" si="31"/>
        <v>Error?</v>
      </c>
    </row>
    <row r="2061" spans="1:4" x14ac:dyDescent="0.2">
      <c r="A2061" s="5">
        <v>2000</v>
      </c>
      <c r="B2061" s="138">
        <f>'Cap Outlay Deprec 26'!L16</f>
        <v>14895850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215595</v>
      </c>
      <c r="C2088" s="2" t="s">
        <v>594</v>
      </c>
      <c r="D2088" s="2" t="str">
        <f t="shared" si="31"/>
        <v>Error?</v>
      </c>
    </row>
    <row r="2089" spans="1:4" x14ac:dyDescent="0.2">
      <c r="A2089" s="5">
        <v>2028</v>
      </c>
      <c r="B2089" s="138">
        <f>'Expenditures 15-22'!K92</f>
        <v>454228</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2187681</v>
      </c>
      <c r="C2551" s="2" t="s">
        <v>594</v>
      </c>
      <c r="D2551" s="2" t="str">
        <f t="shared" si="38"/>
        <v>Error?</v>
      </c>
    </row>
    <row r="2552" spans="1:4" x14ac:dyDescent="0.2">
      <c r="A2552" s="10">
        <v>2491</v>
      </c>
      <c r="D2552" s="2" t="str">
        <f t="shared" si="38"/>
        <v>OK</v>
      </c>
    </row>
    <row r="2553" spans="1:4" x14ac:dyDescent="0.2">
      <c r="A2553" s="5">
        <v>2492</v>
      </c>
      <c r="B2553" s="138">
        <f>'Acct Summary 7-8'!C6</f>
        <v>4469674</v>
      </c>
      <c r="C2553" s="2" t="s">
        <v>594</v>
      </c>
      <c r="D2553" s="2" t="str">
        <f t="shared" si="38"/>
        <v>Error?</v>
      </c>
    </row>
    <row r="2554" spans="1:4" x14ac:dyDescent="0.2">
      <c r="A2554" s="5">
        <v>2493</v>
      </c>
      <c r="B2554" s="138">
        <f>'Acct Summary 7-8'!C7</f>
        <v>873617</v>
      </c>
      <c r="C2554" s="2" t="s">
        <v>594</v>
      </c>
      <c r="D2554" s="2" t="str">
        <f t="shared" si="38"/>
        <v>Error?</v>
      </c>
    </row>
    <row r="2555" spans="1:4" x14ac:dyDescent="0.2">
      <c r="A2555" s="5">
        <v>2494</v>
      </c>
      <c r="B2555" s="138">
        <f>'Acct Summary 7-8'!C8</f>
        <v>7530972</v>
      </c>
      <c r="C2555" s="2" t="s">
        <v>594</v>
      </c>
      <c r="D2555" s="2" t="str">
        <f t="shared" si="38"/>
        <v>Error?</v>
      </c>
    </row>
    <row r="2556" spans="1:4" x14ac:dyDescent="0.2">
      <c r="A2556" s="5">
        <v>2495</v>
      </c>
      <c r="B2556" s="138">
        <f>'Acct Summary 7-8'!C12</f>
        <v>4763511</v>
      </c>
      <c r="C2556" s="2" t="s">
        <v>594</v>
      </c>
      <c r="D2556" s="2" t="str">
        <f t="shared" si="38"/>
        <v>Error?</v>
      </c>
    </row>
    <row r="2557" spans="1:4" x14ac:dyDescent="0.2">
      <c r="A2557" s="5">
        <v>2496</v>
      </c>
      <c r="B2557" s="138">
        <f>'Acct Summary 7-8'!C13</f>
        <v>1456566</v>
      </c>
      <c r="C2557" s="2" t="s">
        <v>594</v>
      </c>
      <c r="D2557" s="2" t="str">
        <f t="shared" si="38"/>
        <v>Error?</v>
      </c>
    </row>
    <row r="2558" spans="1:4" x14ac:dyDescent="0.2">
      <c r="A2558" s="5">
        <v>2497</v>
      </c>
      <c r="B2558" s="138">
        <f>'Acct Summary 7-8'!C14</f>
        <v>101019</v>
      </c>
      <c r="C2558" s="2" t="s">
        <v>594</v>
      </c>
      <c r="D2558" s="2" t="str">
        <f t="shared" si="38"/>
        <v>Error?</v>
      </c>
    </row>
    <row r="2559" spans="1:4" x14ac:dyDescent="0.2">
      <c r="A2559" s="5">
        <v>2498</v>
      </c>
      <c r="B2559" s="138">
        <f>'Acct Summary 7-8'!C15</f>
        <v>669823</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6990919</v>
      </c>
      <c r="C2561" s="2" t="s">
        <v>594</v>
      </c>
      <c r="D2561" s="2" t="str">
        <f t="shared" si="39"/>
        <v>Error?</v>
      </c>
    </row>
    <row r="2562" spans="1:4" x14ac:dyDescent="0.2">
      <c r="A2562" s="5">
        <v>2501</v>
      </c>
      <c r="B2562" s="138">
        <f>'Acct Summary 7-8'!C20</f>
        <v>540053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445625</v>
      </c>
      <c r="C2564" s="2" t="s">
        <v>594</v>
      </c>
      <c r="D2564" s="2" t="str">
        <f t="shared" si="39"/>
        <v>Error?</v>
      </c>
    </row>
    <row r="2565" spans="1:4" x14ac:dyDescent="0.2">
      <c r="A2565" s="10">
        <v>2504</v>
      </c>
      <c r="D2565" s="2" t="str">
        <f t="shared" si="39"/>
        <v>OK</v>
      </c>
    </row>
    <row r="2566" spans="1:4" x14ac:dyDescent="0.2">
      <c r="A2566" s="5">
        <v>2505</v>
      </c>
      <c r="B2566" s="138">
        <f>'Acct Summary 7-8'!D6</f>
        <v>145000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590625</v>
      </c>
      <c r="C2568" s="2" t="s">
        <v>594</v>
      </c>
      <c r="D2568" s="2" t="str">
        <f t="shared" si="39"/>
        <v>Error?</v>
      </c>
    </row>
    <row r="2569" spans="1:4" x14ac:dyDescent="0.2">
      <c r="A2569" s="5">
        <v>2508</v>
      </c>
      <c r="B2569" s="138">
        <f>'Acct Summary 7-8'!D13</f>
        <v>611747</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611747</v>
      </c>
      <c r="C2573" s="2" t="s">
        <v>594</v>
      </c>
      <c r="D2573" s="2" t="str">
        <f t="shared" si="39"/>
        <v>Error?</v>
      </c>
    </row>
    <row r="2574" spans="1:4" x14ac:dyDescent="0.2">
      <c r="A2574" s="5">
        <v>2513</v>
      </c>
      <c r="B2574" s="138">
        <f>'Acct Summary 7-8'!D20</f>
        <v>-21122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176299</v>
      </c>
      <c r="C2591" s="2" t="s">
        <v>594</v>
      </c>
      <c r="D2591" s="2" t="str">
        <f t="shared" si="39"/>
        <v>Error?</v>
      </c>
    </row>
    <row r="2592" spans="1:4" x14ac:dyDescent="0.2">
      <c r="A2592" s="10">
        <v>2531</v>
      </c>
      <c r="D2592" s="2" t="str">
        <f t="shared" si="39"/>
        <v>OK</v>
      </c>
    </row>
    <row r="2593" spans="1:4" x14ac:dyDescent="0.2">
      <c r="A2593" s="5">
        <v>2532</v>
      </c>
      <c r="B2593" s="138">
        <f>'Acct Summary 7-8'!F6</f>
        <v>403493</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579792</v>
      </c>
      <c r="C2595" s="2" t="s">
        <v>594</v>
      </c>
      <c r="D2595" s="2" t="str">
        <f t="shared" si="39"/>
        <v>Error?</v>
      </c>
    </row>
    <row r="2596" spans="1:4" x14ac:dyDescent="0.2">
      <c r="A2596" s="5">
        <v>2535</v>
      </c>
      <c r="B2596" s="138">
        <f>'Acct Summary 7-8'!F13</f>
        <v>608434</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608434</v>
      </c>
      <c r="C2600" s="2" t="s">
        <v>594</v>
      </c>
      <c r="D2600" s="2" t="str">
        <f t="shared" si="39"/>
        <v>Error?</v>
      </c>
    </row>
    <row r="2601" spans="1:4" x14ac:dyDescent="0.2">
      <c r="A2601" s="5">
        <v>2540</v>
      </c>
      <c r="B2601" s="138">
        <f>'Acct Summary 7-8'!F20</f>
        <v>-28642</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198053</v>
      </c>
      <c r="C2603" s="2" t="s">
        <v>594</v>
      </c>
      <c r="D2603" s="2" t="str">
        <f t="shared" si="39"/>
        <v>Error?</v>
      </c>
    </row>
    <row r="2604" spans="1:4" x14ac:dyDescent="0.2">
      <c r="A2604" s="5">
        <v>2543</v>
      </c>
      <c r="B2604" s="138">
        <f>'Acct Summary 7-8'!G6</f>
        <v>13325</v>
      </c>
      <c r="C2604" s="2" t="s">
        <v>594</v>
      </c>
      <c r="D2604" s="2" t="str">
        <f t="shared" si="39"/>
        <v>Error?</v>
      </c>
    </row>
    <row r="2605" spans="1:4" x14ac:dyDescent="0.2">
      <c r="A2605" s="5">
        <v>2544</v>
      </c>
      <c r="B2605" s="138">
        <f>'Acct Summary 7-8'!G7</f>
        <v>38000</v>
      </c>
      <c r="C2605" s="2" t="s">
        <v>594</v>
      </c>
      <c r="D2605" s="2" t="str">
        <f t="shared" si="39"/>
        <v>Error?</v>
      </c>
    </row>
    <row r="2606" spans="1:4" x14ac:dyDescent="0.2">
      <c r="A2606" s="5">
        <v>2545</v>
      </c>
      <c r="B2606" s="138">
        <f>'Acct Summary 7-8'!G8</f>
        <v>249378</v>
      </c>
      <c r="C2606" s="2" t="s">
        <v>594</v>
      </c>
      <c r="D2606" s="2" t="str">
        <f t="shared" si="39"/>
        <v>Error?</v>
      </c>
    </row>
    <row r="2607" spans="1:4" x14ac:dyDescent="0.2">
      <c r="A2607" s="5">
        <v>2546</v>
      </c>
      <c r="B2607" s="138">
        <f>'Acct Summary 7-8'!G12</f>
        <v>121343</v>
      </c>
      <c r="C2607" s="2" t="s">
        <v>594</v>
      </c>
      <c r="D2607" s="2" t="str">
        <f t="shared" si="39"/>
        <v>Error?</v>
      </c>
    </row>
    <row r="2608" spans="1:4" x14ac:dyDescent="0.2">
      <c r="A2608" s="5">
        <v>2547</v>
      </c>
      <c r="B2608" s="138">
        <f>'Acct Summary 7-8'!G13</f>
        <v>108123</v>
      </c>
      <c r="C2608" s="2" t="s">
        <v>594</v>
      </c>
      <c r="D2608" s="2" t="str">
        <f t="shared" si="39"/>
        <v>Error?</v>
      </c>
    </row>
    <row r="2609" spans="1:4" x14ac:dyDescent="0.2">
      <c r="A2609" s="5">
        <v>2548</v>
      </c>
      <c r="B2609" s="138">
        <f>'Acct Summary 7-8'!G14</f>
        <v>15349</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244815</v>
      </c>
      <c r="C2612" s="2" t="s">
        <v>594</v>
      </c>
      <c r="D2612" s="2" t="str">
        <f t="shared" si="39"/>
        <v>Error?</v>
      </c>
    </row>
    <row r="2613" spans="1:4" x14ac:dyDescent="0.2">
      <c r="A2613" s="5">
        <v>2552</v>
      </c>
      <c r="B2613" s="138">
        <f>'Acct Summary 7-8'!G20</f>
        <v>4563</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1392041</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1392041</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900771</v>
      </c>
      <c r="C2634" s="2" t="s">
        <v>594</v>
      </c>
      <c r="D2634" s="2" t="str">
        <f t="shared" si="40"/>
        <v>Error?</v>
      </c>
    </row>
    <row r="2635" spans="1:4" x14ac:dyDescent="0.2">
      <c r="A2635" s="5">
        <v>2574</v>
      </c>
      <c r="B2635" s="138">
        <f>'Acct Summary 7-8'!E17</f>
        <v>900771</v>
      </c>
      <c r="C2635" s="2" t="s">
        <v>594</v>
      </c>
      <c r="D2635" s="2" t="str">
        <f t="shared" si="40"/>
        <v>Error?</v>
      </c>
    </row>
    <row r="2636" spans="1:4" x14ac:dyDescent="0.2">
      <c r="A2636" s="5">
        <v>2575</v>
      </c>
      <c r="B2636" s="138">
        <f>'Acct Summary 7-8'!E20</f>
        <v>491270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121181</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121181</v>
      </c>
      <c r="C2661" s="2" t="s">
        <v>594</v>
      </c>
      <c r="D2661" s="2" t="str">
        <f t="shared" si="40"/>
        <v>Error?</v>
      </c>
    </row>
    <row r="2662" spans="1:4" x14ac:dyDescent="0.2">
      <c r="A2662" s="5">
        <v>2601</v>
      </c>
      <c r="B2662" s="138">
        <f>'Acct Summary 7-8'!H20</f>
        <v>-121181</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215595</v>
      </c>
      <c r="C2789" s="2" t="s">
        <v>594</v>
      </c>
      <c r="D2789" s="2" t="str">
        <f t="shared" si="42"/>
        <v>Error?</v>
      </c>
    </row>
    <row r="2790" spans="1:4" x14ac:dyDescent="0.2">
      <c r="A2790" s="5">
        <v>2729</v>
      </c>
      <c r="B2790" s="138">
        <f>'Expenditures 15-22'!E102</f>
        <v>215595</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10295</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836955</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836955</v>
      </c>
      <c r="D2912" s="2" t="str">
        <f t="shared" si="44"/>
        <v>Error?</v>
      </c>
    </row>
    <row r="2913" spans="1:4" x14ac:dyDescent="0.2">
      <c r="A2913" s="5">
        <v>2852</v>
      </c>
      <c r="B2913" s="138">
        <f>'Assets-Liab 5-6'!I41</f>
        <v>836955</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2904</v>
      </c>
      <c r="D2949" s="2" t="str">
        <f t="shared" si="45"/>
        <v>Error?</v>
      </c>
    </row>
    <row r="2950" spans="1:4" x14ac:dyDescent="0.2">
      <c r="A2950" s="5">
        <v>2889</v>
      </c>
      <c r="B2950" s="138">
        <f>'Expenditures 15-22'!E79</f>
        <v>212691</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2904</v>
      </c>
      <c r="C2973" s="2" t="s">
        <v>594</v>
      </c>
      <c r="D2973" s="2" t="str">
        <f t="shared" si="45"/>
        <v>Error?</v>
      </c>
    </row>
    <row r="2974" spans="1:4" x14ac:dyDescent="0.2">
      <c r="A2974" s="5">
        <v>2913</v>
      </c>
      <c r="B2974" s="138">
        <f>'Expenditures 15-22'!K79</f>
        <v>212691</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234654</v>
      </c>
      <c r="D3055" s="2" t="str">
        <f t="shared" si="46"/>
        <v>Error?</v>
      </c>
    </row>
    <row r="3056" spans="1:4" x14ac:dyDescent="0.2">
      <c r="A3056" s="5">
        <v>2995</v>
      </c>
      <c r="B3056" s="138">
        <f>'Expenditures 15-22'!D10</f>
        <v>62045</v>
      </c>
      <c r="D3056" s="2" t="str">
        <f t="shared" si="46"/>
        <v>Error?</v>
      </c>
    </row>
    <row r="3057" spans="1:4" x14ac:dyDescent="0.2">
      <c r="A3057" s="5">
        <v>2996</v>
      </c>
      <c r="B3057" s="138">
        <f>'Expenditures 15-22'!E10</f>
        <v>440</v>
      </c>
      <c r="D3057" s="2" t="str">
        <f t="shared" si="46"/>
        <v>Error?</v>
      </c>
    </row>
    <row r="3058" spans="1:4" x14ac:dyDescent="0.2">
      <c r="A3058" s="5">
        <v>2997</v>
      </c>
      <c r="B3058" s="138">
        <f>'Expenditures 15-22'!F10</f>
        <v>18559</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315698</v>
      </c>
      <c r="C3062" s="2" t="s">
        <v>594</v>
      </c>
      <c r="D3062" s="2" t="str">
        <f t="shared" si="46"/>
        <v>Error?</v>
      </c>
    </row>
    <row r="3063" spans="1:4" x14ac:dyDescent="0.2">
      <c r="A3063" s="10">
        <v>3002</v>
      </c>
      <c r="D3063" s="2" t="str">
        <f t="shared" si="46"/>
        <v>OK</v>
      </c>
    </row>
    <row r="3064" spans="1:4" x14ac:dyDescent="0.2">
      <c r="A3064" s="5">
        <v>3003</v>
      </c>
      <c r="B3064" s="138">
        <f>'Expenditures 15-22'!D219</f>
        <v>38054</v>
      </c>
      <c r="D3064" s="2" t="str">
        <f t="shared" si="46"/>
        <v>Error?</v>
      </c>
    </row>
    <row r="3065" spans="1:4" x14ac:dyDescent="0.2">
      <c r="A3065" s="5">
        <v>3004</v>
      </c>
      <c r="B3065" s="138">
        <f>'Expenditures 15-22'!K219</f>
        <v>38054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38664</v>
      </c>
      <c r="C3225" s="2" t="s">
        <v>594</v>
      </c>
      <c r="D3225" s="2" t="str">
        <f t="shared" si="49"/>
        <v>Error?</v>
      </c>
    </row>
    <row r="3226" spans="1:4" x14ac:dyDescent="0.2">
      <c r="A3226" s="5">
        <v>3165</v>
      </c>
      <c r="B3226" s="138">
        <f>'Acct Summary 7-8'!I8</f>
        <v>38664</v>
      </c>
      <c r="C3226" s="2" t="s">
        <v>594</v>
      </c>
      <c r="D3226" s="2" t="str">
        <f t="shared" si="49"/>
        <v>Error?</v>
      </c>
    </row>
    <row r="3227" spans="1:4" x14ac:dyDescent="0.2">
      <c r="A3227" s="5">
        <v>3166</v>
      </c>
      <c r="B3227" s="138">
        <f>'Acct Summary 7-8'!I20</f>
        <v>38664</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540053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-21122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-28642</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4563</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112156</v>
      </c>
      <c r="D3273" s="2" t="str">
        <f t="shared" si="50"/>
        <v>Error?</v>
      </c>
    </row>
    <row r="3274" spans="1:4" x14ac:dyDescent="0.2">
      <c r="A3274" s="5">
        <v>3213</v>
      </c>
      <c r="B3274" s="138">
        <f>'Acct Summary 7-8'!E44</f>
        <v>112156</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112156</v>
      </c>
      <c r="C3277" s="2" t="s">
        <v>594</v>
      </c>
      <c r="D3277" s="2" t="str">
        <f t="shared" si="50"/>
        <v>Error?</v>
      </c>
    </row>
    <row r="3278" spans="1:4" x14ac:dyDescent="0.2">
      <c r="A3278" s="5">
        <v>3217</v>
      </c>
      <c r="B3278" s="138">
        <f>'Acct Summary 7-8'!E78</f>
        <v>603426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112156</v>
      </c>
      <c r="D3297" s="2" t="str">
        <f t="shared" si="50"/>
        <v>Error?</v>
      </c>
    </row>
    <row r="3298" spans="1:4" x14ac:dyDescent="0.2">
      <c r="A3298" s="5">
        <v>3237</v>
      </c>
      <c r="B3298" s="138">
        <f>'Acct Summary 7-8'!H76</f>
        <v>112156</v>
      </c>
      <c r="C3298" s="2" t="s">
        <v>594</v>
      </c>
      <c r="D3298" s="2" t="str">
        <f t="shared" si="50"/>
        <v>Error?</v>
      </c>
    </row>
    <row r="3299" spans="1:4" x14ac:dyDescent="0.2">
      <c r="A3299" s="5">
        <v>3238</v>
      </c>
      <c r="B3299" s="138">
        <f>'Acct Summary 7-8'!H77</f>
        <v>-112156</v>
      </c>
      <c r="C3299" s="2" t="s">
        <v>594</v>
      </c>
      <c r="D3299" s="2" t="str">
        <f t="shared" si="50"/>
        <v>Error?</v>
      </c>
    </row>
    <row r="3300" spans="1:4" x14ac:dyDescent="0.2">
      <c r="A3300" s="5">
        <v>3239</v>
      </c>
      <c r="B3300" s="138">
        <f>'Acct Summary 7-8'!H78</f>
        <v>-233337</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38664</v>
      </c>
      <c r="C3320" s="2" t="s">
        <v>594</v>
      </c>
      <c r="D3320" s="2" t="str">
        <f t="shared" si="50"/>
        <v>Error?</v>
      </c>
    </row>
    <row r="3321" spans="1:4" x14ac:dyDescent="0.2">
      <c r="A3321" s="5">
        <v>3260</v>
      </c>
      <c r="B3321" s="138">
        <f>'Acct Summary 7-8'!I79</f>
        <v>798291</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836955</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775181</v>
      </c>
      <c r="D3366" s="2" t="str">
        <f t="shared" si="51"/>
        <v>Error?</v>
      </c>
    </row>
    <row r="3367" spans="1:4" x14ac:dyDescent="0.2">
      <c r="A3367" s="5">
        <v>3306</v>
      </c>
      <c r="B3367" s="138">
        <f>'Expenditures 15-22'!C19</f>
        <v>3488</v>
      </c>
      <c r="D3367" s="2" t="str">
        <f t="shared" si="51"/>
        <v>Error?</v>
      </c>
    </row>
    <row r="3368" spans="1:4" x14ac:dyDescent="0.2">
      <c r="A3368" s="5">
        <v>3307</v>
      </c>
      <c r="B3368" s="138">
        <f>'Expenditures 15-22'!D8</f>
        <v>149498</v>
      </c>
      <c r="D3368" s="2" t="str">
        <f t="shared" si="51"/>
        <v>Error?</v>
      </c>
    </row>
    <row r="3369" spans="1:4" x14ac:dyDescent="0.2">
      <c r="A3369" s="5">
        <v>3308</v>
      </c>
      <c r="B3369" s="138">
        <f>'Expenditures 15-22'!D19</f>
        <v>401</v>
      </c>
      <c r="D3369" s="2" t="str">
        <f t="shared" si="51"/>
        <v>Error?</v>
      </c>
    </row>
    <row r="3370" spans="1:4" x14ac:dyDescent="0.2">
      <c r="A3370" s="5">
        <v>3309</v>
      </c>
      <c r="B3370" s="138">
        <f>'Expenditures 15-22'!E8</f>
        <v>1629</v>
      </c>
      <c r="D3370" s="2" t="str">
        <f t="shared" si="51"/>
        <v>Error?</v>
      </c>
    </row>
    <row r="3371" spans="1:4" x14ac:dyDescent="0.2">
      <c r="A3371" s="5">
        <v>3310</v>
      </c>
      <c r="B3371" s="138">
        <f>'Expenditures 15-22'!E19</f>
        <v>184</v>
      </c>
      <c r="D3371" s="2" t="str">
        <f t="shared" si="51"/>
        <v>Error?</v>
      </c>
    </row>
    <row r="3372" spans="1:4" x14ac:dyDescent="0.2">
      <c r="A3372" s="5">
        <v>3311</v>
      </c>
      <c r="B3372" s="138">
        <f>'Expenditures 15-22'!F8</f>
        <v>6126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932434</v>
      </c>
      <c r="C3380" s="2" t="s">
        <v>594</v>
      </c>
      <c r="D3380" s="2" t="str">
        <f t="shared" si="51"/>
        <v>Error?</v>
      </c>
    </row>
    <row r="3381" spans="1:4" x14ac:dyDescent="0.2">
      <c r="A3381" s="5">
        <v>3320</v>
      </c>
      <c r="B3381" s="138">
        <f>'Expenditures 15-22'!K19</f>
        <v>4073</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36494</v>
      </c>
      <c r="D3387" s="2" t="str">
        <f t="shared" si="51"/>
        <v>Error?</v>
      </c>
    </row>
    <row r="3388" spans="1:4" x14ac:dyDescent="0.2">
      <c r="A3388" s="5">
        <v>3327</v>
      </c>
      <c r="B3388" s="138">
        <f>'Expenditures 15-22'!D217</f>
        <v>33212</v>
      </c>
      <c r="D3388" s="2" t="str">
        <f t="shared" si="51"/>
        <v>Error?</v>
      </c>
    </row>
    <row r="3389" spans="1:4" x14ac:dyDescent="0.2">
      <c r="A3389" s="5">
        <v>3328</v>
      </c>
      <c r="B3389" s="138">
        <f>'Expenditures 15-22'!D228</f>
        <v>51</v>
      </c>
      <c r="D3389" s="2" t="str">
        <f t="shared" si="51"/>
        <v>Error?</v>
      </c>
    </row>
    <row r="3390" spans="1:4" x14ac:dyDescent="0.2">
      <c r="A3390" s="5">
        <v>3329</v>
      </c>
      <c r="B3390" s="138">
        <f>'Expenditures 15-22'!K215</f>
        <v>36494</v>
      </c>
      <c r="C3390" s="2" t="s">
        <v>594</v>
      </c>
      <c r="D3390" s="2" t="str">
        <f t="shared" si="51"/>
        <v>Error?</v>
      </c>
    </row>
    <row r="3391" spans="1:4" x14ac:dyDescent="0.2">
      <c r="A3391" s="5">
        <v>3330</v>
      </c>
      <c r="B3391" s="138">
        <f>'Expenditures 15-22'!K217</f>
        <v>33212</v>
      </c>
      <c r="C3391" s="2" t="s">
        <v>594</v>
      </c>
      <c r="D3391" s="2" t="str">
        <f t="shared" ref="D3391:D3454" si="52">IF(ISBLANK(B3391),"OK",IF(A3391-B3391=0,"OK","Error?"))</f>
        <v>Error?</v>
      </c>
    </row>
    <row r="3392" spans="1:4" x14ac:dyDescent="0.2">
      <c r="A3392" s="5">
        <v>3331</v>
      </c>
      <c r="B3392" s="138">
        <f>'Expenditures 15-22'!K228</f>
        <v>51</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886495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19888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1046672</v>
      </c>
      <c r="D3417" s="2" t="str">
        <f t="shared" si="52"/>
        <v>Error?</v>
      </c>
    </row>
    <row r="3418" spans="1:4" x14ac:dyDescent="0.2">
      <c r="A3418" s="10">
        <v>3357</v>
      </c>
      <c r="D3418" s="2" t="str">
        <f t="shared" si="52"/>
        <v>OK</v>
      </c>
    </row>
    <row r="3419" spans="1:4" x14ac:dyDescent="0.2">
      <c r="A3419" s="5">
        <v>3358</v>
      </c>
      <c r="B3419" s="138">
        <f>'Assets-Liab 5-6'!F4</f>
        <v>103972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58279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1178939</v>
      </c>
      <c r="D3425" s="2" t="str">
        <f t="shared" si="52"/>
        <v>Error?</v>
      </c>
    </row>
    <row r="3426" spans="1:4" x14ac:dyDescent="0.2">
      <c r="A3426" s="10">
        <v>3365</v>
      </c>
      <c r="D3426" s="2" t="str">
        <f t="shared" si="52"/>
        <v>OK</v>
      </c>
    </row>
    <row r="3427" spans="1:4" x14ac:dyDescent="0.2">
      <c r="A3427" s="5">
        <v>3366</v>
      </c>
      <c r="B3427" s="138">
        <f>'Assets-Liab 5-6'!I4</f>
        <v>236955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75603</v>
      </c>
      <c r="C3446" s="2" t="s">
        <v>594</v>
      </c>
      <c r="D3446" s="2" t="str">
        <f t="shared" si="52"/>
        <v>Error?</v>
      </c>
    </row>
    <row r="3447" spans="1:4" x14ac:dyDescent="0.2">
      <c r="A3447" s="5">
        <v>3386</v>
      </c>
      <c r="B3447" s="138">
        <f>'Tax Sched 23'!D16</f>
        <v>75603</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77754</v>
      </c>
      <c r="C3449" s="2" t="s">
        <v>594</v>
      </c>
      <c r="D3449" s="2" t="str">
        <f t="shared" si="52"/>
        <v>Error?</v>
      </c>
    </row>
    <row r="3450" spans="1:4" x14ac:dyDescent="0.2">
      <c r="A3450" s="5">
        <v>3389</v>
      </c>
      <c r="B3450" s="138">
        <f>'Tax Sched 23'!E16</f>
        <v>77754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23515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23515</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23515</v>
      </c>
      <c r="D3567" s="2" t="str">
        <f t="shared" si="54"/>
        <v>Error?</v>
      </c>
    </row>
    <row r="3568" spans="1:4" x14ac:dyDescent="0.2">
      <c r="A3568" s="5">
        <v>3507</v>
      </c>
      <c r="B3568" s="138">
        <f>'Assets-Liab 5-6'!K41</f>
        <v>23515</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23515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23515</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222805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2689480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10220452</v>
      </c>
      <c r="C4122" s="2" t="s">
        <v>594</v>
      </c>
      <c r="D4122" s="2" t="str">
        <f t="shared" si="63"/>
        <v>Error?</v>
      </c>
    </row>
    <row r="4123" spans="1:4" x14ac:dyDescent="0.2">
      <c r="A4123" s="5">
        <v>4062</v>
      </c>
      <c r="B4123" s="138">
        <f>'Acct Summary 7-8'!D10</f>
        <v>590625</v>
      </c>
      <c r="C4123" s="2" t="s">
        <v>594</v>
      </c>
      <c r="D4123" s="2" t="str">
        <f t="shared" si="63"/>
        <v>Error?</v>
      </c>
    </row>
    <row r="4124" spans="1:4" x14ac:dyDescent="0.2">
      <c r="A4124" s="5">
        <v>4063</v>
      </c>
      <c r="B4124" s="138">
        <f>'Acct Summary 7-8'!E10</f>
        <v>1392041</v>
      </c>
      <c r="C4124" s="2" t="s">
        <v>594</v>
      </c>
      <c r="D4124" s="2" t="str">
        <f t="shared" si="63"/>
        <v>Error?</v>
      </c>
    </row>
    <row r="4125" spans="1:4" x14ac:dyDescent="0.2">
      <c r="A4125" s="5">
        <v>4064</v>
      </c>
      <c r="B4125" s="138">
        <f>'Acct Summary 7-8'!F10</f>
        <v>579792</v>
      </c>
      <c r="C4125" s="2" t="s">
        <v>594</v>
      </c>
      <c r="D4125" s="2" t="str">
        <f t="shared" si="63"/>
        <v>Error?</v>
      </c>
    </row>
    <row r="4126" spans="1:4" x14ac:dyDescent="0.2">
      <c r="A4126" s="5">
        <v>4065</v>
      </c>
      <c r="B4126" s="138">
        <f>'Acct Summary 7-8'!G10</f>
        <v>249378</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38664</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2689480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9680399</v>
      </c>
      <c r="C4136" s="2" t="s">
        <v>594</v>
      </c>
      <c r="D4136" s="2" t="str">
        <f t="shared" si="63"/>
        <v>Error?</v>
      </c>
    </row>
    <row r="4137" spans="1:4" x14ac:dyDescent="0.2">
      <c r="A4137" s="5">
        <v>4076</v>
      </c>
      <c r="B4137" s="138">
        <f>'Acct Summary 7-8'!D19</f>
        <v>611747</v>
      </c>
      <c r="C4137" s="2" t="s">
        <v>594</v>
      </c>
      <c r="D4137" s="2" t="str">
        <f t="shared" si="63"/>
        <v>Error?</v>
      </c>
    </row>
    <row r="4138" spans="1:4" x14ac:dyDescent="0.2">
      <c r="A4138" s="5">
        <v>4077</v>
      </c>
      <c r="B4138" s="138">
        <f>'Acct Summary 7-8'!E19</f>
        <v>900771</v>
      </c>
      <c r="C4138" s="2" t="s">
        <v>594</v>
      </c>
      <c r="D4138" s="2" t="str">
        <f t="shared" si="63"/>
        <v>Error?</v>
      </c>
    </row>
    <row r="4139" spans="1:4" x14ac:dyDescent="0.2">
      <c r="A4139" s="5">
        <v>4078</v>
      </c>
      <c r="B4139" s="138">
        <f>'Acct Summary 7-8'!F19</f>
        <v>608434</v>
      </c>
      <c r="C4139" s="2" t="s">
        <v>594</v>
      </c>
      <c r="D4139" s="2" t="str">
        <f t="shared" si="63"/>
        <v>Error?</v>
      </c>
    </row>
    <row r="4140" spans="1:4" x14ac:dyDescent="0.2">
      <c r="A4140" s="5">
        <v>4079</v>
      </c>
      <c r="B4140" s="138">
        <f>'Acct Summary 7-8'!G19</f>
        <v>244815</v>
      </c>
      <c r="C4140" s="2" t="s">
        <v>594</v>
      </c>
      <c r="D4140" s="2" t="str">
        <f t="shared" si="63"/>
        <v>Error?</v>
      </c>
    </row>
    <row r="4141" spans="1:4" x14ac:dyDescent="0.2">
      <c r="A4141" s="5">
        <v>4080</v>
      </c>
      <c r="B4141" s="138">
        <f>'Acct Summary 7-8'!H19</f>
        <v>121181</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7595000</v>
      </c>
      <c r="C4171" s="2" t="s">
        <v>594</v>
      </c>
      <c r="D4171" s="2" t="str">
        <f t="shared" si="64"/>
        <v>Error?</v>
      </c>
    </row>
    <row r="4172" spans="1:4" x14ac:dyDescent="0.2">
      <c r="A4172" s="5">
        <v>4111</v>
      </c>
      <c r="B4172" s="138">
        <f>'Short-Term Long-Term Debt 24'!J49</f>
        <v>6548328</v>
      </c>
      <c r="C4172" s="2" t="s">
        <v>594</v>
      </c>
      <c r="D4172" s="2" t="str">
        <f t="shared" si="64"/>
        <v>Error?</v>
      </c>
    </row>
    <row r="4173" spans="1:4" x14ac:dyDescent="0.2">
      <c r="A4173" s="5">
        <v>4112</v>
      </c>
      <c r="B4173" s="138">
        <f>'Short-Term Long-Term Debt 24'!H49</f>
        <v>560000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1859.9999999999998</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2560</v>
      </c>
      <c r="C4268" s="2" t="s">
        <v>594</v>
      </c>
      <c r="D4268" s="2" t="str">
        <f t="shared" si="65"/>
        <v>Error?</v>
      </c>
    </row>
    <row r="4269" spans="1:5" x14ac:dyDescent="0.2">
      <c r="A4269" s="12">
        <v>4208</v>
      </c>
      <c r="B4269" s="138">
        <f>'FP Info 3'!J16</f>
        <v>1251793</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12912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815</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21315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16274</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88983285</v>
      </c>
      <c r="D4995" s="2" t="str">
        <f t="shared" si="77"/>
        <v>Error?</v>
      </c>
    </row>
    <row r="4996" spans="1:4" x14ac:dyDescent="0.2">
      <c r="A4996" s="12">
        <v>4935</v>
      </c>
      <c r="B4996" s="138">
        <f>'FP Info 3'!H31</f>
        <v>12279693.330000002</v>
      </c>
      <c r="D4996" s="2" t="str">
        <f t="shared" si="77"/>
        <v>Error?</v>
      </c>
    </row>
    <row r="4997" spans="1:4" x14ac:dyDescent="0.2">
      <c r="A4997" s="12">
        <v>4936</v>
      </c>
      <c r="B4997" s="138">
        <f>'FP Info 3'!H37</f>
        <v>7595000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1613657</v>
      </c>
      <c r="D5061" s="2" t="str">
        <f t="shared" si="78"/>
        <v>Error?</v>
      </c>
    </row>
    <row r="5062" spans="1:4" x14ac:dyDescent="0.2">
      <c r="A5062" s="10">
        <v>5001</v>
      </c>
      <c r="D5062" s="2" t="str">
        <f t="shared" si="78"/>
        <v>OK</v>
      </c>
    </row>
    <row r="5063" spans="1:4" x14ac:dyDescent="0.2">
      <c r="A5063" s="5">
        <v>5002</v>
      </c>
      <c r="B5063" s="138">
        <f>'Revenues 9-14'!C7</f>
        <v>37574</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1651231</v>
      </c>
      <c r="C5066" s="2" t="s">
        <v>594</v>
      </c>
      <c r="D5066" s="2" t="str">
        <f t="shared" si="78"/>
        <v>Error?</v>
      </c>
    </row>
    <row r="5067" spans="1:4" x14ac:dyDescent="0.2">
      <c r="A5067" s="5">
        <v>5006</v>
      </c>
      <c r="B5067" s="138">
        <f>'Revenues 9-14'!C14</f>
        <v>6497</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166866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173363</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10223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10223</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7692</v>
      </c>
      <c r="D5094" s="2" t="str">
        <f t="shared" si="78"/>
        <v>Error?</v>
      </c>
    </row>
    <row r="5095" spans="1:4" x14ac:dyDescent="0.2">
      <c r="A5095" s="5">
        <v>5034</v>
      </c>
      <c r="B5095" s="138">
        <f>'Revenues 9-14'!C74</f>
        <v>11150</v>
      </c>
      <c r="D5095" s="2" t="str">
        <f t="shared" si="78"/>
        <v>Error?</v>
      </c>
    </row>
    <row r="5096" spans="1:4" x14ac:dyDescent="0.2">
      <c r="A5096" s="5">
        <v>5035</v>
      </c>
      <c r="B5096" s="138">
        <f>'Revenues 9-14'!C75</f>
        <v>177596</v>
      </c>
      <c r="C5096" s="2" t="s">
        <v>594</v>
      </c>
      <c r="D5096" s="2" t="str">
        <f t="shared" si="78"/>
        <v>Error?</v>
      </c>
    </row>
    <row r="5097" spans="1:4" x14ac:dyDescent="0.2">
      <c r="A5097" s="5">
        <v>5036</v>
      </c>
      <c r="B5097" s="138">
        <f>'Revenues 9-14'!C77</f>
        <v>35289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13526</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48815</v>
      </c>
      <c r="C5102" s="2" t="s">
        <v>594</v>
      </c>
      <c r="D5102" s="2" t="str">
        <f t="shared" si="78"/>
        <v>Error?</v>
      </c>
    </row>
    <row r="5103" spans="1:4" x14ac:dyDescent="0.2">
      <c r="A5103" s="5">
        <v>5042</v>
      </c>
      <c r="B5103" s="138">
        <f>'Revenues 9-14'!C84</f>
        <v>44558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44558</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45000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12398</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8223</v>
      </c>
      <c r="D5119" s="2" t="str">
        <f t="shared" ref="D5119:D5182" si="79">IF(ISBLANK(B5119),"OK",IF(A5119-B5119=0,"OK","Error?"))</f>
        <v>Error?</v>
      </c>
    </row>
    <row r="5120" spans="1:4" x14ac:dyDescent="0.2">
      <c r="A5120" s="5">
        <v>5059</v>
      </c>
      <c r="B5120" s="138">
        <f>'Revenues 9-14'!C108</f>
        <v>81895</v>
      </c>
      <c r="C5120" s="2" t="s">
        <v>594</v>
      </c>
      <c r="D5120" s="2" t="str">
        <f t="shared" si="79"/>
        <v>Error?</v>
      </c>
    </row>
    <row r="5121" spans="1:4" x14ac:dyDescent="0.2">
      <c r="A5121" s="5">
        <v>5060</v>
      </c>
      <c r="B5121" s="138">
        <f>'Revenues 9-14'!C109</f>
        <v>2187681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3885034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3885034</v>
      </c>
      <c r="C5132" s="2" t="s">
        <v>594</v>
      </c>
      <c r="D5132" s="2" t="str">
        <f t="shared" si="79"/>
        <v>Error?</v>
      </c>
    </row>
    <row r="5133" spans="1:4" x14ac:dyDescent="0.2">
      <c r="A5133" s="5">
        <v>5072</v>
      </c>
      <c r="B5133" s="138">
        <f>'Revenues 9-14'!C124</f>
        <v>78946</v>
      </c>
      <c r="D5133" s="2" t="str">
        <f t="shared" si="79"/>
        <v>Error?</v>
      </c>
    </row>
    <row r="5134" spans="1:4" x14ac:dyDescent="0.2">
      <c r="A5134" s="5">
        <v>5073</v>
      </c>
      <c r="B5134" s="138">
        <f>'Revenues 9-14'!C125</f>
        <v>62203</v>
      </c>
      <c r="D5134" s="2" t="str">
        <f t="shared" si="79"/>
        <v>Error?</v>
      </c>
    </row>
    <row r="5135" spans="1:4" x14ac:dyDescent="0.2">
      <c r="A5135" s="5">
        <v>5074</v>
      </c>
      <c r="B5135" s="138">
        <f>'Revenues 9-14'!C126</f>
        <v>87265</v>
      </c>
      <c r="D5135" s="2" t="str">
        <f t="shared" si="79"/>
        <v>Error?</v>
      </c>
    </row>
    <row r="5136" spans="1:4" x14ac:dyDescent="0.2">
      <c r="A5136" s="10">
        <v>5075</v>
      </c>
      <c r="D5136" s="2" t="str">
        <f t="shared" si="79"/>
        <v>OK</v>
      </c>
    </row>
    <row r="5137" spans="1:4" x14ac:dyDescent="0.2">
      <c r="A5137" s="5">
        <v>5076</v>
      </c>
      <c r="B5137" s="138">
        <f>'Revenues 9-14'!C127</f>
        <v>8203</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4260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240877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6637</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6637</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3471</v>
      </c>
      <c r="D5167" s="2" t="str">
        <f t="shared" si="79"/>
        <v>Error?</v>
      </c>
    </row>
    <row r="5168" spans="1:4" x14ac:dyDescent="0.2">
      <c r="A5168" s="5">
        <v>5107</v>
      </c>
      <c r="B5168" s="138">
        <f>'Revenues 9-14'!C147</f>
        <v>14484</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6000</v>
      </c>
      <c r="D5194" s="2" t="str">
        <f t="shared" si="80"/>
        <v>Error?</v>
      </c>
    </row>
    <row r="5195" spans="1:4" x14ac:dyDescent="0.2">
      <c r="A5195" s="10">
        <v>5134</v>
      </c>
      <c r="D5195" s="2" t="str">
        <f t="shared" si="80"/>
        <v>OK</v>
      </c>
    </row>
    <row r="5196" spans="1:4" x14ac:dyDescent="0.2">
      <c r="A5196" s="5">
        <v>5135</v>
      </c>
      <c r="B5196" s="138">
        <f>'Revenues 9-14'!C158</f>
        <v>311671</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584640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4469674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214059</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44048</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258107</v>
      </c>
      <c r="C5246" s="2" t="s">
        <v>594</v>
      </c>
      <c r="D5246" s="2" t="str">
        <f t="shared" si="80"/>
        <v>Error?</v>
      </c>
    </row>
    <row r="5247" spans="1:4" x14ac:dyDescent="0.2">
      <c r="A5247" s="5">
        <v>5186</v>
      </c>
      <c r="B5247" s="138">
        <f>'Revenues 9-14'!C203</f>
        <v>382377</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382377</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193908</v>
      </c>
      <c r="D5278" s="2" t="str">
        <f t="shared" si="81"/>
        <v>Error?</v>
      </c>
    </row>
    <row r="5279" spans="1:4" x14ac:dyDescent="0.2">
      <c r="A5279" s="5">
        <v>5218</v>
      </c>
      <c r="B5279" s="138">
        <f>'Revenues 9-14'!C221</f>
        <v>3306</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197214</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877</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877</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873617</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873617</v>
      </c>
      <c r="C5326" s="2" t="s">
        <v>594</v>
      </c>
      <c r="D5326" s="2" t="str">
        <f t="shared" si="82"/>
        <v>Error?</v>
      </c>
    </row>
    <row r="5327" spans="1:4" x14ac:dyDescent="0.2">
      <c r="A5327" s="5">
        <v>5266</v>
      </c>
      <c r="B5327" s="138">
        <f>'Revenues 9-14'!C275</f>
        <v>7530972</v>
      </c>
      <c r="C5327" s="2" t="s">
        <v>594</v>
      </c>
      <c r="D5327" s="2" t="str">
        <f t="shared" si="82"/>
        <v>Error?</v>
      </c>
    </row>
    <row r="5328" spans="1:4" x14ac:dyDescent="0.2">
      <c r="A5328" s="5">
        <v>5267</v>
      </c>
      <c r="B5328" s="138">
        <f>'Revenues 9-14'!D5</f>
        <v>438898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438898</v>
      </c>
      <c r="C5334" s="2" t="s">
        <v>594</v>
      </c>
      <c r="D5334" s="2" t="str">
        <f t="shared" si="82"/>
        <v>Error?</v>
      </c>
    </row>
    <row r="5335" spans="1:4" x14ac:dyDescent="0.2">
      <c r="A5335" s="5">
        <v>5274</v>
      </c>
      <c r="B5335" s="138">
        <f>'Revenues 9-14'!D14</f>
        <v>1727</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1727</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5000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5000</v>
      </c>
      <c r="C5355" s="2" t="s">
        <v>594</v>
      </c>
      <c r="D5355" s="2" t="str">
        <f t="shared" si="82"/>
        <v>Error?</v>
      </c>
    </row>
    <row r="5356" spans="1:4" x14ac:dyDescent="0.2">
      <c r="A5356" s="5">
        <v>5295</v>
      </c>
      <c r="B5356" s="138">
        <f>'Revenues 9-14'!D109</f>
        <v>445625</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145000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145000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145000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590625</v>
      </c>
      <c r="C5508" s="2" t="s">
        <v>594</v>
      </c>
      <c r="D5508" s="2" t="str">
        <f t="shared" si="85"/>
        <v>Error?</v>
      </c>
    </row>
    <row r="5509" spans="1:4" x14ac:dyDescent="0.2">
      <c r="A5509" s="5">
        <v>5448</v>
      </c>
      <c r="B5509" s="138">
        <f>'Revenues 9-14'!E5</f>
        <v>735253</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735253</v>
      </c>
      <c r="C5513" s="2" t="s">
        <v>594</v>
      </c>
      <c r="D5513" s="2" t="str">
        <f t="shared" si="85"/>
        <v>Error?</v>
      </c>
    </row>
    <row r="5514" spans="1:4" x14ac:dyDescent="0.2">
      <c r="A5514" s="5">
        <v>5453</v>
      </c>
      <c r="B5514" s="138">
        <f>'Revenues 9-14'!E14</f>
        <v>2893</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2893</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653895</v>
      </c>
      <c r="C5526" s="2" t="s">
        <v>594</v>
      </c>
      <c r="D5526" s="2" t="str">
        <f t="shared" si="85"/>
        <v>Error?</v>
      </c>
    </row>
    <row r="5527" spans="1:4" x14ac:dyDescent="0.2">
      <c r="A5527" s="5">
        <v>5466</v>
      </c>
      <c r="B5527" s="138">
        <f>'Revenues 9-14'!E109</f>
        <v>1392041</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1392041</v>
      </c>
      <c r="C5552" s="2" t="s">
        <v>594</v>
      </c>
      <c r="D5552" s="2" t="str">
        <f t="shared" si="85"/>
        <v>Error?</v>
      </c>
    </row>
    <row r="5553" spans="1:4" x14ac:dyDescent="0.2">
      <c r="A5553" s="5">
        <v>5492</v>
      </c>
      <c r="B5553" s="138">
        <f>'Revenues 9-14'!F5</f>
        <v>175608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175608</v>
      </c>
      <c r="C5557" s="2" t="s">
        <v>594</v>
      </c>
      <c r="D5557" s="2" t="str">
        <f t="shared" si="85"/>
        <v>Error?</v>
      </c>
    </row>
    <row r="5558" spans="1:4" x14ac:dyDescent="0.2">
      <c r="A5558" s="5">
        <v>5497</v>
      </c>
      <c r="B5558" s="138">
        <f>'Revenues 9-14'!F14</f>
        <v>691</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691</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176299</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291520</v>
      </c>
      <c r="D5615" s="2" t="str">
        <f t="shared" si="86"/>
        <v>Error?</v>
      </c>
    </row>
    <row r="5616" spans="1:4" x14ac:dyDescent="0.2">
      <c r="A5616" s="10">
        <v>5555</v>
      </c>
      <c r="D5616" s="2" t="str">
        <f t="shared" si="86"/>
        <v>OK</v>
      </c>
    </row>
    <row r="5617" spans="1:4" x14ac:dyDescent="0.2">
      <c r="A5617" s="5">
        <v>5556</v>
      </c>
      <c r="B5617" s="138">
        <f>'Revenues 9-14'!F152</f>
        <v>96973</v>
      </c>
      <c r="D5617" s="2" t="str">
        <f t="shared" si="86"/>
        <v>Error?</v>
      </c>
    </row>
    <row r="5618" spans="1:4" x14ac:dyDescent="0.2">
      <c r="A5618" s="5">
        <v>5557</v>
      </c>
      <c r="B5618" s="138">
        <f>'Revenues 9-14'!F154</f>
        <v>388493</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15000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403493</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403493</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579792</v>
      </c>
      <c r="C5720" s="2" t="s">
        <v>594</v>
      </c>
      <c r="D5720" s="2" t="str">
        <f t="shared" si="88"/>
        <v>Error?</v>
      </c>
    </row>
    <row r="5721" spans="1:4" x14ac:dyDescent="0.2">
      <c r="A5721" s="5">
        <v>5660</v>
      </c>
      <c r="B5721" s="138">
        <f>'Revenues 9-14'!G5</f>
        <v>112709</v>
      </c>
      <c r="D5721" s="2" t="str">
        <f t="shared" si="88"/>
        <v>Error?</v>
      </c>
    </row>
    <row r="5722" spans="1:4" x14ac:dyDescent="0.2">
      <c r="A5722" s="5">
        <v>5661</v>
      </c>
      <c r="B5722" s="138">
        <f>'Revenues 9-14'!G7</f>
        <v>0</v>
      </c>
      <c r="D5722" s="2" t="str">
        <f t="shared" si="88"/>
        <v>Error?</v>
      </c>
    </row>
    <row r="5723" spans="1:4" x14ac:dyDescent="0.2">
      <c r="A5723" s="5">
        <v>5662</v>
      </c>
      <c r="B5723" s="138">
        <f>'Revenues 9-14'!G8</f>
        <v>75603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188312</v>
      </c>
      <c r="C5725" s="2" t="s">
        <v>594</v>
      </c>
      <c r="D5725" s="2" t="str">
        <f t="shared" si="88"/>
        <v>Error?</v>
      </c>
    </row>
    <row r="5726" spans="1:4" x14ac:dyDescent="0.2">
      <c r="A5726" s="5">
        <v>5665</v>
      </c>
      <c r="B5726" s="138">
        <f>'Revenues 9-14'!G14</f>
        <v>741</v>
      </c>
      <c r="D5726" s="2" t="str">
        <f t="shared" si="88"/>
        <v>Error?</v>
      </c>
    </row>
    <row r="5727" spans="1:4" x14ac:dyDescent="0.2">
      <c r="A5727" s="5">
        <v>5666</v>
      </c>
      <c r="B5727" s="138">
        <f>'Revenues 9-14'!G15</f>
        <v>0</v>
      </c>
      <c r="D5727" s="2" t="str">
        <f t="shared" si="88"/>
        <v>Error?</v>
      </c>
    </row>
    <row r="5728" spans="1:4" x14ac:dyDescent="0.2">
      <c r="A5728" s="5">
        <v>5667</v>
      </c>
      <c r="B5728" s="138">
        <f>'Revenues 9-14'!G16</f>
        <v>9000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9741</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13325</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13325</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13325</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38000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38000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38000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38000</v>
      </c>
      <c r="C5869" s="2" t="s">
        <v>594</v>
      </c>
      <c r="D5869" s="2" t="str">
        <f t="shared" si="90"/>
        <v>Error?</v>
      </c>
    </row>
    <row r="5870" spans="1:4" x14ac:dyDescent="0.2">
      <c r="A5870" s="5">
        <v>5809</v>
      </c>
      <c r="B5870" s="138">
        <f>'Revenues 9-14'!G275</f>
        <v>249378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38513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38513</v>
      </c>
      <c r="C5918" s="2" t="s">
        <v>594</v>
      </c>
      <c r="D5918" s="2" t="str">
        <f t="shared" si="91"/>
        <v>Error?</v>
      </c>
    </row>
    <row r="5919" spans="1:4" x14ac:dyDescent="0.2">
      <c r="A5919" s="5">
        <v>5858</v>
      </c>
      <c r="B5919" s="138">
        <f>'Revenues 9-14'!I14</f>
        <v>151</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151</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38664</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198053</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38664</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158754</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37317</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894.16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600000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3380</v>
      </c>
      <c r="D6113" s="2" t="str">
        <f t="shared" si="94"/>
        <v>Error?</v>
      </c>
      <c r="E6113" s="2" t="s">
        <v>199</v>
      </c>
    </row>
    <row r="6114" spans="1:5" x14ac:dyDescent="0.2">
      <c r="A6114">
        <v>6053</v>
      </c>
      <c r="B6114" s="138">
        <f>'Assets-Liab 5-6'!D11</f>
        <v>1103</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68247</v>
      </c>
      <c r="D6124" s="2" t="str">
        <f t="shared" si="94"/>
        <v>Error?</v>
      </c>
      <c r="E6124" s="2" t="s">
        <v>199</v>
      </c>
    </row>
    <row r="6125" spans="1:5" x14ac:dyDescent="0.2">
      <c r="A6125">
        <v>6064</v>
      </c>
      <c r="B6125" s="138">
        <f>'Assets-Liab 5-6'!C25</f>
        <v>450000</v>
      </c>
      <c r="D6125" s="2" t="str">
        <f t="shared" si="94"/>
        <v>Error?</v>
      </c>
      <c r="E6125" s="2" t="s">
        <v>199</v>
      </c>
    </row>
    <row r="6126" spans="1:5" x14ac:dyDescent="0.2">
      <c r="A6126">
        <v>6065</v>
      </c>
      <c r="B6126" s="138">
        <f>'Assets-Liab 5-6'!D25</f>
        <v>150000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68247</v>
      </c>
      <c r="D6215" s="2" t="str">
        <f t="shared" si="96"/>
        <v>Error?</v>
      </c>
      <c r="E6215" s="2" t="s">
        <v>199</v>
      </c>
    </row>
    <row r="6216" spans="1:5" x14ac:dyDescent="0.2">
      <c r="A6216">
        <v>6155</v>
      </c>
      <c r="B6216" s="138">
        <f>'Assets-Liab 5-6'!J41</f>
        <v>68247</v>
      </c>
      <c r="D6216" s="2" t="str">
        <f t="shared" si="96"/>
        <v>Error?</v>
      </c>
      <c r="E6216" s="2" t="s">
        <v>199</v>
      </c>
    </row>
    <row r="6217" spans="1:5" x14ac:dyDescent="0.2">
      <c r="A6217">
        <v>6156</v>
      </c>
      <c r="B6217" s="138">
        <f>'Assets-Liab 5-6'!J4</f>
        <v>68247</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113153</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113153</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113153</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114679</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114679</v>
      </c>
      <c r="D6229" s="2" t="str">
        <f t="shared" si="96"/>
        <v>Error?</v>
      </c>
      <c r="E6229" s="2" t="s">
        <v>199</v>
      </c>
    </row>
    <row r="6230" spans="1:5" x14ac:dyDescent="0.2">
      <c r="A6230">
        <v>6169</v>
      </c>
      <c r="B6230" s="138">
        <f>'Acct Summary 7-8'!J20</f>
        <v>-1526</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-1526</v>
      </c>
      <c r="D6263" s="2" t="str">
        <f t="shared" si="96"/>
        <v>Error?</v>
      </c>
      <c r="E6263" s="2" t="s">
        <v>199</v>
      </c>
    </row>
    <row r="6264" spans="1:5" x14ac:dyDescent="0.2">
      <c r="A6264">
        <v>6203</v>
      </c>
      <c r="B6264" s="138">
        <f>'Acct Summary 7-8'!J79</f>
        <v>69773</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68247</v>
      </c>
      <c r="D6266" s="2" t="str">
        <f t="shared" si="96"/>
        <v>Error?</v>
      </c>
      <c r="E6266" s="2" t="s">
        <v>199</v>
      </c>
    </row>
    <row r="6267" spans="1:5" x14ac:dyDescent="0.2">
      <c r="A6267">
        <v>6206</v>
      </c>
      <c r="B6267" s="138">
        <f>'Acct Summary 7-8'!C82</f>
        <v>540053</v>
      </c>
      <c r="D6267" s="2" t="str">
        <f t="shared" si="96"/>
        <v>Error?</v>
      </c>
      <c r="E6267" s="2" t="s">
        <v>199</v>
      </c>
    </row>
    <row r="6268" spans="1:5" x14ac:dyDescent="0.2">
      <c r="A6268">
        <v>6207</v>
      </c>
      <c r="B6268" s="138">
        <f>'Acct Summary 7-8'!D82</f>
        <v>-21122</v>
      </c>
      <c r="D6268" s="2" t="str">
        <f t="shared" si="96"/>
        <v>Error?</v>
      </c>
      <c r="E6268" s="2" t="s">
        <v>199</v>
      </c>
    </row>
    <row r="6269" spans="1:5" x14ac:dyDescent="0.2">
      <c r="A6269">
        <v>6208</v>
      </c>
      <c r="B6269" s="138">
        <f>'Acct Summary 7-8'!E82</f>
        <v>603426</v>
      </c>
      <c r="D6269" s="2" t="str">
        <f t="shared" si="96"/>
        <v>Error?</v>
      </c>
      <c r="E6269" s="2" t="s">
        <v>199</v>
      </c>
    </row>
    <row r="6270" spans="1:5" x14ac:dyDescent="0.2">
      <c r="A6270">
        <v>6209</v>
      </c>
      <c r="B6270" s="138">
        <f>'Acct Summary 7-8'!F82</f>
        <v>-28642</v>
      </c>
      <c r="D6270" s="2" t="str">
        <f t="shared" si="96"/>
        <v>Error?</v>
      </c>
      <c r="E6270" s="2" t="s">
        <v>199</v>
      </c>
    </row>
    <row r="6271" spans="1:5" x14ac:dyDescent="0.2">
      <c r="A6271">
        <v>6210</v>
      </c>
      <c r="B6271" s="138">
        <f>'Acct Summary 7-8'!G82</f>
        <v>4563</v>
      </c>
      <c r="D6271" s="2" t="str">
        <f t="shared" ref="D6271:D6334" si="97">IF(ISBLANK(B6271),"OK",IF(A6271-B6271=0,"OK","Error?"))</f>
        <v>Error?</v>
      </c>
      <c r="E6271" s="2" t="s">
        <v>199</v>
      </c>
    </row>
    <row r="6272" spans="1:5" x14ac:dyDescent="0.2">
      <c r="A6272">
        <v>6211</v>
      </c>
      <c r="B6272" s="138">
        <f>'Acct Summary 7-8'!H82</f>
        <v>-233337</v>
      </c>
      <c r="D6272" s="2" t="str">
        <f t="shared" si="97"/>
        <v>Error?</v>
      </c>
      <c r="E6272" s="2" t="s">
        <v>199</v>
      </c>
    </row>
    <row r="6273" spans="1:5" x14ac:dyDescent="0.2">
      <c r="A6273">
        <v>6212</v>
      </c>
      <c r="B6273" s="138">
        <f>'Acct Summary 7-8'!I82</f>
        <v>38664</v>
      </c>
      <c r="D6273" s="2" t="str">
        <f t="shared" si="97"/>
        <v>Error?</v>
      </c>
      <c r="E6273" s="2" t="s">
        <v>199</v>
      </c>
    </row>
    <row r="6274" spans="1:5" x14ac:dyDescent="0.2">
      <c r="A6274">
        <v>6213</v>
      </c>
      <c r="B6274" s="138">
        <f>'Acct Summary 7-8'!J82</f>
        <v>-1526</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1.2277419721511793</v>
      </c>
      <c r="D6276" s="2" t="str">
        <f t="shared" si="97"/>
        <v>Error?</v>
      </c>
      <c r="E6276" s="2" t="s">
        <v>199</v>
      </c>
    </row>
    <row r="6277" spans="1:5" x14ac:dyDescent="0.2">
      <c r="A6277">
        <v>6216</v>
      </c>
      <c r="B6277" s="138">
        <f>'Acct Summary 7-8'!D83</f>
        <v>0.16372501143331086</v>
      </c>
      <c r="D6277" s="2" t="str">
        <f t="shared" si="97"/>
        <v>Error?</v>
      </c>
      <c r="E6277" s="2" t="s">
        <v>199</v>
      </c>
    </row>
    <row r="6278" spans="1:5" x14ac:dyDescent="0.2">
      <c r="A6278">
        <v>6217</v>
      </c>
      <c r="B6278" s="138">
        <f>'Acct Summary 7-8'!E83</f>
        <v>0.57651871837595736</v>
      </c>
      <c r="D6278" s="2" t="str">
        <f t="shared" si="97"/>
        <v>Error?</v>
      </c>
      <c r="E6278" s="2" t="s">
        <v>199</v>
      </c>
    </row>
    <row r="6279" spans="1:5" x14ac:dyDescent="0.2">
      <c r="A6279">
        <v>6218</v>
      </c>
      <c r="B6279" s="138">
        <f>'Acct Summary 7-8'!F83</f>
        <v>-0.27547801331127614</v>
      </c>
      <c r="D6279" s="2" t="str">
        <f t="shared" si="97"/>
        <v>Error?</v>
      </c>
      <c r="E6279" s="2" t="s">
        <v>199</v>
      </c>
    </row>
    <row r="6280" spans="1:5" x14ac:dyDescent="0.2">
      <c r="A6280">
        <v>6219</v>
      </c>
      <c r="B6280" s="138">
        <f>'Acct Summary 7-8'!G83</f>
        <v>7.8295784073165287E-2</v>
      </c>
      <c r="D6280" s="2" t="str">
        <f t="shared" si="97"/>
        <v>Error?</v>
      </c>
      <c r="E6280" s="2" t="s">
        <v>199</v>
      </c>
    </row>
    <row r="6281" spans="1:5" x14ac:dyDescent="0.2">
      <c r="A6281">
        <v>6220</v>
      </c>
      <c r="B6281" s="138">
        <f>'Acct Summary 7-8'!H83</f>
        <v>-0.19792118167267347</v>
      </c>
      <c r="D6281" s="2" t="str">
        <f t="shared" si="97"/>
        <v>Error?</v>
      </c>
      <c r="E6281" s="2" t="s">
        <v>199</v>
      </c>
    </row>
    <row r="6282" spans="1:5" x14ac:dyDescent="0.2">
      <c r="A6282">
        <v>6221</v>
      </c>
      <c r="B6282" s="138">
        <f>'Acct Summary 7-8'!I83</f>
        <v>4.619603204473359E-2</v>
      </c>
      <c r="D6282" s="2" t="str">
        <f t="shared" si="97"/>
        <v>Error?</v>
      </c>
      <c r="E6282" s="2" t="s">
        <v>199</v>
      </c>
    </row>
    <row r="6283" spans="1:5" x14ac:dyDescent="0.2">
      <c r="A6283">
        <v>6222</v>
      </c>
      <c r="B6283" s="138">
        <f>'Acct Summary 7-8'!J83</f>
        <v>-2.2359957214236524E-2</v>
      </c>
      <c r="D6283" s="2" t="str">
        <f t="shared" si="97"/>
        <v>Error?</v>
      </c>
      <c r="E6283" s="2" t="s">
        <v>199</v>
      </c>
    </row>
    <row r="6284" spans="1:5" x14ac:dyDescent="0.2">
      <c r="A6284">
        <v>6223</v>
      </c>
      <c r="B6284" s="138">
        <f>'Acct Summary 7-8'!K83</f>
        <v>0</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112709</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112709</v>
      </c>
      <c r="D6301" s="2" t="str">
        <f t="shared" si="97"/>
        <v>Error?</v>
      </c>
      <c r="E6301" s="2" t="s">
        <v>199</v>
      </c>
    </row>
    <row r="6302" spans="1:5" x14ac:dyDescent="0.2">
      <c r="A6302">
        <v>6241</v>
      </c>
      <c r="B6302" s="138">
        <f>'Revenues 9-14'!J14</f>
        <v>444</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444</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113153</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66631</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3871</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84803</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60277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10443</v>
      </c>
      <c r="D6880" s="2" t="str">
        <f t="shared" si="106"/>
        <v>Error?</v>
      </c>
    </row>
    <row r="6881" spans="1:4" x14ac:dyDescent="0.2">
      <c r="A6881">
        <v>6820</v>
      </c>
      <c r="B6881" s="138">
        <f>'Expenditures 15-22'!K22</f>
        <v>10443</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3871</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36310</v>
      </c>
      <c r="D6981" s="2" t="str">
        <f t="shared" si="108"/>
        <v>Error?</v>
      </c>
    </row>
    <row r="6982" spans="1:4" x14ac:dyDescent="0.2">
      <c r="A6982">
        <v>6921</v>
      </c>
      <c r="B6982" s="138">
        <f>'Expenditures 15-22'!K85</f>
        <v>36310</v>
      </c>
      <c r="D6982" s="2" t="str">
        <f t="shared" si="108"/>
        <v>Error?</v>
      </c>
    </row>
    <row r="6983" spans="1:4" x14ac:dyDescent="0.2">
      <c r="A6983">
        <v>6922</v>
      </c>
      <c r="B6983" s="138">
        <f>'Expenditures 15-22'!H86</f>
        <v>394459</v>
      </c>
      <c r="D6983" s="2" t="str">
        <f t="shared" si="108"/>
        <v>Error?</v>
      </c>
    </row>
    <row r="6984" spans="1:4" x14ac:dyDescent="0.2">
      <c r="A6984">
        <v>6923</v>
      </c>
      <c r="B6984" s="138">
        <f>'Expenditures 15-22'!K86</f>
        <v>394459</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23459</v>
      </c>
      <c r="D6987" s="2" t="str">
        <f t="shared" si="108"/>
        <v>Error?</v>
      </c>
    </row>
    <row r="6988" spans="1:4" x14ac:dyDescent="0.2">
      <c r="A6988">
        <v>6927</v>
      </c>
      <c r="B6988" s="138">
        <f>'Expenditures 15-22'!K88</f>
        <v>23459</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454228</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3871</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5209</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5209</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5209</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114679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5209</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113153</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4648</v>
      </c>
      <c r="D7073" s="2" t="str">
        <f t="shared" si="109"/>
        <v>Error?</v>
      </c>
    </row>
    <row r="7074" spans="1:4" x14ac:dyDescent="0.2">
      <c r="A7074">
        <v>7013</v>
      </c>
      <c r="B7074" s="138">
        <f>'Expenditures 15-22'!K216</f>
        <v>4648</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564</v>
      </c>
      <c r="D7079" s="2" t="str">
        <f t="shared" si="109"/>
        <v>Error?</v>
      </c>
    </row>
    <row r="7080" spans="1:4" x14ac:dyDescent="0.2">
      <c r="A7080">
        <v>7019</v>
      </c>
      <c r="B7080" s="138">
        <f>'Expenditures 15-22'!K226</f>
        <v>564</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48732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48732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39907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39907</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26040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26040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114679</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114679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114679</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114679</v>
      </c>
      <c r="D7224" s="2" t="str">
        <f t="shared" si="111"/>
        <v>Error?</v>
      </c>
    </row>
    <row r="7225" spans="1:4" x14ac:dyDescent="0.2">
      <c r="A7225">
        <v>7164</v>
      </c>
      <c r="B7225" s="138">
        <f>'Expenditures 15-22'!K343</f>
        <v>-1526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12046</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6126</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41333</v>
      </c>
      <c r="D7263" s="2" t="str">
        <f t="shared" si="112"/>
        <v>Error?</v>
      </c>
    </row>
    <row r="7264" spans="1:4" x14ac:dyDescent="0.2">
      <c r="A7264">
        <f t="shared" si="113"/>
        <v>7203</v>
      </c>
      <c r="B7264" s="138">
        <f>'Expenditures 15-22'!D17</f>
        <v>12332</v>
      </c>
      <c r="D7264" s="2" t="str">
        <f t="shared" si="112"/>
        <v>Error?</v>
      </c>
    </row>
    <row r="7265" spans="1:5" x14ac:dyDescent="0.2">
      <c r="A7265">
        <f t="shared" si="113"/>
        <v>7204</v>
      </c>
      <c r="B7265" s="138">
        <f>'Expenditures 15-22'!E17</f>
        <v>5258</v>
      </c>
      <c r="D7265" s="2" t="str">
        <f t="shared" si="112"/>
        <v>Error?</v>
      </c>
    </row>
    <row r="7266" spans="1:5" x14ac:dyDescent="0.2">
      <c r="A7266">
        <f t="shared" si="113"/>
        <v>7205</v>
      </c>
      <c r="B7266" s="138">
        <f>'Expenditures 15-22'!F17</f>
        <v>1354</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40741</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40741</v>
      </c>
      <c r="D7618" s="2" t="str">
        <f t="shared" si="124"/>
        <v>Error?</v>
      </c>
      <c r="E7618" s="2" t="s">
        <v>19</v>
      </c>
    </row>
    <row r="7619" spans="1:5" x14ac:dyDescent="0.2">
      <c r="A7619">
        <f t="shared" si="123"/>
        <v>7558</v>
      </c>
      <c r="B7619" s="138">
        <f>'Cap Outlay Deprec 26'!H14</f>
        <v>40741</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40741</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9080</v>
      </c>
      <c r="D7624" s="2" t="str">
        <f t="shared" si="124"/>
        <v>Error?</v>
      </c>
      <c r="E7624" s="2" t="s">
        <v>19</v>
      </c>
    </row>
    <row r="7625" spans="1:5" x14ac:dyDescent="0.2">
      <c r="A7625">
        <f t="shared" si="123"/>
        <v>7564</v>
      </c>
      <c r="B7625" s="138">
        <f>'Cap Outlay Deprec 26'!I17</f>
        <v>908</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790388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37574</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653895</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701991</v>
      </c>
      <c r="D7797" s="2" t="str">
        <f t="shared" si="127"/>
        <v>Error?</v>
      </c>
      <c r="E7797" s="4" t="s">
        <v>2017</v>
      </c>
    </row>
    <row r="7798" spans="1:5" x14ac:dyDescent="0.2">
      <c r="A7798">
        <v>7737</v>
      </c>
      <c r="B7798" s="138">
        <f>'Contracts Paid in CY 29'!F141</f>
        <v>68730</v>
      </c>
      <c r="D7798" s="2" t="str">
        <f t="shared" si="127"/>
        <v>Error?</v>
      </c>
      <c r="E7798" s="4" t="s">
        <v>2017</v>
      </c>
    </row>
    <row r="7799" spans="1:5" x14ac:dyDescent="0.2">
      <c r="A7799">
        <v>7738</v>
      </c>
      <c r="B7799" s="138">
        <f>'Contracts Paid in CY 29'!G141</f>
        <v>574131</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L31" sqref="L31"/>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1253</v>
      </c>
      <c r="B2" s="2398"/>
      <c r="C2" s="2398"/>
      <c r="D2" s="2398"/>
      <c r="E2" s="2398"/>
      <c r="F2" s="2398"/>
      <c r="G2" s="2398"/>
      <c r="H2" s="2398"/>
      <c r="I2" s="2398"/>
      <c r="J2" s="2398"/>
      <c r="K2" s="2398"/>
      <c r="L2" s="2398"/>
    </row>
    <row r="3" spans="1:29" ht="13.5" customHeight="1" x14ac:dyDescent="0.2">
      <c r="A3" s="2429" t="s">
        <v>1252</v>
      </c>
      <c r="B3" s="2429"/>
      <c r="C3" s="2429"/>
      <c r="D3" s="2429"/>
      <c r="E3" s="2429"/>
      <c r="F3" s="2429"/>
      <c r="G3" s="2429"/>
      <c r="H3" s="2429"/>
      <c r="I3" s="2429"/>
      <c r="J3" s="2429"/>
      <c r="K3" s="2429"/>
      <c r="L3" s="2429"/>
    </row>
    <row r="4" spans="1:29" ht="13.5" customHeight="1" x14ac:dyDescent="0.2">
      <c r="A4" s="2398" t="s">
        <v>1799</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0" t="str">
        <f>COVER!A17</f>
        <v>Chester CUSD 139</v>
      </c>
      <c r="B7" s="2421"/>
      <c r="C7" s="2421"/>
      <c r="D7" s="2422"/>
      <c r="E7" s="2423">
        <f>COVER!A13</f>
        <v>45079139026</v>
      </c>
      <c r="F7" s="2424"/>
      <c r="G7" s="2430" t="str">
        <f>COVER!T23</f>
        <v>066-005248</v>
      </c>
      <c r="H7" s="2431"/>
      <c r="I7" s="2431"/>
      <c r="J7" s="2431"/>
      <c r="K7" s="2431"/>
      <c r="L7" s="243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3"/>
      <c r="B9" s="2434"/>
      <c r="C9" s="2434"/>
      <c r="D9" s="2434"/>
      <c r="E9" s="2434"/>
      <c r="F9" s="2435"/>
      <c r="G9" s="2404" t="str">
        <f>COVER!T13</f>
        <v>Moore &amp; Simonin, PC</v>
      </c>
      <c r="H9" s="2436"/>
      <c r="I9" s="2436"/>
      <c r="J9" s="2436"/>
      <c r="K9" s="2436"/>
      <c r="L9" s="2437"/>
    </row>
    <row r="10" spans="1:29" ht="13.5" customHeight="1" x14ac:dyDescent="0.2">
      <c r="A10" s="2410">
        <f>COVER!A38</f>
        <v>0</v>
      </c>
      <c r="B10" s="2411"/>
      <c r="C10" s="2411"/>
      <c r="D10" s="2411"/>
      <c r="E10" s="2411"/>
      <c r="F10" s="2412"/>
      <c r="G10" s="2404" t="str">
        <f>COVER!T17</f>
        <v>3636 North Belt West</v>
      </c>
      <c r="H10" s="2405"/>
      <c r="I10" s="2405"/>
      <c r="J10" s="2405"/>
      <c r="K10" s="2405"/>
      <c r="L10" s="2406"/>
    </row>
    <row r="11" spans="1:29" ht="13.5" customHeight="1" x14ac:dyDescent="0.2">
      <c r="A11" s="1185" t="s">
        <v>1599</v>
      </c>
      <c r="B11" s="1186"/>
      <c r="C11" s="1187"/>
      <c r="D11" s="1192"/>
      <c r="E11" s="1187"/>
      <c r="F11" s="1191"/>
      <c r="G11" s="2404" t="str">
        <f>COVER!T19</f>
        <v>Belleville</v>
      </c>
      <c r="H11" s="2405"/>
      <c r="I11" s="2405"/>
      <c r="J11" s="2405"/>
      <c r="K11" s="2405"/>
      <c r="L11" s="2406"/>
    </row>
    <row r="12" spans="1:29" ht="13.5" customHeight="1" x14ac:dyDescent="0.2">
      <c r="A12" s="2413" t="s">
        <v>1598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1600</v>
      </c>
      <c r="H13" s="2400"/>
      <c r="I13" s="2416" t="str">
        <f>COVER!T25</f>
        <v>mooresimonin@mrsaccountants.com</v>
      </c>
      <c r="J13" s="2417"/>
      <c r="K13" s="2417"/>
      <c r="L13" s="2418"/>
    </row>
    <row r="14" spans="1:29" ht="13.5" customHeight="1" x14ac:dyDescent="0.2">
      <c r="A14" s="2404" t="str">
        <f>COVER!A19</f>
        <v>1940 Swanwick St.</v>
      </c>
      <c r="B14" s="2405"/>
      <c r="C14" s="2405"/>
      <c r="D14" s="2405"/>
      <c r="E14" s="2405"/>
      <c r="F14" s="2406"/>
      <c r="G14" s="1196" t="s">
        <v>1247</v>
      </c>
      <c r="H14" s="1194"/>
      <c r="I14" s="1194"/>
      <c r="J14" s="1194"/>
      <c r="K14" s="1194"/>
      <c r="L14" s="1195"/>
    </row>
    <row r="15" spans="1:29" ht="13.5" customHeight="1" x14ac:dyDescent="0.2">
      <c r="A15" s="2404" t="str">
        <f>COVER!A21</f>
        <v>Chester</v>
      </c>
      <c r="B15" s="2405"/>
      <c r="C15" s="2405"/>
      <c r="D15" s="2405"/>
      <c r="E15" s="2405"/>
      <c r="F15" s="2406"/>
      <c r="G15" s="2401" t="str">
        <f>COVER!T15</f>
        <v>Robert E. Moore, CPA</v>
      </c>
      <c r="H15" s="2402"/>
      <c r="I15" s="2402"/>
      <c r="J15" s="2402"/>
      <c r="K15" s="2402"/>
      <c r="L15" s="2403"/>
    </row>
    <row r="16" spans="1:29" ht="12.2" customHeight="1" x14ac:dyDescent="0.2">
      <c r="A16" s="2426">
        <f>COVER!A25</f>
        <v>62233</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1246</v>
      </c>
      <c r="H17" s="1194"/>
      <c r="I17" s="1194"/>
      <c r="J17" s="1194"/>
      <c r="K17" s="1198" t="s">
        <v>1245</v>
      </c>
      <c r="L17" s="1191"/>
      <c r="M17" s="1184"/>
    </row>
    <row r="18" spans="1:13" ht="12.2" customHeight="1" x14ac:dyDescent="0.2">
      <c r="A18" s="2410"/>
      <c r="B18" s="2411"/>
      <c r="C18" s="2411"/>
      <c r="D18" s="2411"/>
      <c r="E18" s="2411"/>
      <c r="F18" s="2412"/>
      <c r="G18" s="2420" t="str">
        <f>COVER!T21</f>
        <v>618-233-5049</v>
      </c>
      <c r="H18" s="2421"/>
      <c r="I18" s="2421"/>
      <c r="J18" s="2421"/>
      <c r="K18" s="2420" t="str">
        <f>COVER!X21</f>
        <v>618-233-1061</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L31" sqref="L3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Chester CUSD 139</v>
      </c>
      <c r="B1" s="2419"/>
      <c r="C1" s="2419"/>
      <c r="D1" s="2419"/>
    </row>
    <row r="2" spans="1:11" s="1215" customFormat="1" ht="12.75" x14ac:dyDescent="0.2">
      <c r="A2" s="2443">
        <f>'Single Audit Cover'!E7</f>
        <v>45079139026</v>
      </c>
      <c r="B2" s="2444"/>
      <c r="C2" s="2444"/>
      <c r="D2" s="2444"/>
    </row>
    <row r="3" spans="1:11" s="1215" customFormat="1" ht="12.75" x14ac:dyDescent="0.2">
      <c r="A3" s="2442" t="s">
        <v>1593</v>
      </c>
      <c r="B3" s="2419"/>
      <c r="C3" s="2419"/>
      <c r="D3" s="241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19" sqref="D1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Chester CUSD 139</v>
      </c>
      <c r="B1" s="2446"/>
      <c r="C1" s="2446"/>
      <c r="D1" s="2446"/>
      <c r="E1" s="2446"/>
    </row>
    <row r="2" spans="1:5" x14ac:dyDescent="0.2">
      <c r="A2" s="2447">
        <f>'Single Audit Cover'!E7</f>
        <v>45079139026</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911617</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37317</v>
      </c>
    </row>
    <row r="15" spans="1:5" x14ac:dyDescent="0.2">
      <c r="A15" s="1261"/>
      <c r="B15" s="1262"/>
      <c r="C15" s="1262"/>
    </row>
    <row r="16" spans="1:5" x14ac:dyDescent="0.2">
      <c r="A16" s="1261" t="s">
        <v>1953</v>
      </c>
      <c r="B16" s="1262"/>
      <c r="C16" s="1262"/>
    </row>
    <row r="17" spans="1:4" x14ac:dyDescent="0.2">
      <c r="A17" s="1261" t="s">
        <v>1601</v>
      </c>
      <c r="B17" s="1262" t="s">
        <v>1298</v>
      </c>
      <c r="C17" s="1262"/>
      <c r="D17" s="1264">
        <f>-SUM('Revenues 9-14'!C271:D271,'Revenues 9-14'!F271:G271)</f>
        <v>-815</v>
      </c>
    </row>
    <row r="19" spans="1:4" ht="13.5" thickBot="1" x14ac:dyDescent="0.25">
      <c r="A19" s="1265" t="s">
        <v>1297</v>
      </c>
      <c r="D19" s="1266">
        <f>SUM(D10:D17)</f>
        <v>948119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948119</v>
      </c>
    </row>
    <row r="33" spans="1:4" x14ac:dyDescent="0.2">
      <c r="D33" s="1269"/>
    </row>
    <row r="34" spans="1:4" x14ac:dyDescent="0.2">
      <c r="A34" s="317" t="s">
        <v>1294</v>
      </c>
    </row>
    <row r="35" spans="1:4" x14ac:dyDescent="0.2">
      <c r="A35" s="317" t="s">
        <v>1293</v>
      </c>
      <c r="B35" s="1258" t="s">
        <v>1292</v>
      </c>
      <c r="D35" s="1270">
        <v>948119</v>
      </c>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948119</v>
      </c>
    </row>
    <row r="49" spans="2:4" x14ac:dyDescent="0.2">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L31" sqref="L3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Chester CUSD 139</v>
      </c>
      <c r="C1" s="2450"/>
      <c r="D1" s="2450"/>
      <c r="E1" s="2450"/>
      <c r="F1" s="2450"/>
      <c r="G1" s="2450"/>
      <c r="H1" s="2450"/>
      <c r="I1" s="2450"/>
      <c r="J1" s="2450"/>
      <c r="K1" s="2450"/>
      <c r="L1" s="2450"/>
      <c r="M1" s="2450"/>
    </row>
    <row r="2" spans="2:14" ht="15" x14ac:dyDescent="0.2">
      <c r="B2" s="2451">
        <f>'Single Audit Cover'!E7</f>
        <v>45079139026</v>
      </c>
      <c r="C2" s="2451"/>
      <c r="D2" s="2451"/>
      <c r="E2" s="2451"/>
      <c r="F2" s="2451"/>
      <c r="G2" s="2451"/>
      <c r="H2" s="2451"/>
      <c r="I2" s="2451"/>
      <c r="J2" s="2451"/>
      <c r="K2" s="2451"/>
      <c r="L2" s="2451"/>
      <c r="M2" s="2451"/>
      <c r="N2" s="1302"/>
    </row>
    <row r="3" spans="2:14" ht="15" x14ac:dyDescent="0.2">
      <c r="B3" s="2452" t="s">
        <v>1281</v>
      </c>
      <c r="C3" s="2452"/>
      <c r="D3" s="2452"/>
      <c r="E3" s="2452"/>
      <c r="F3" s="2452"/>
      <c r="G3" s="2452"/>
      <c r="H3" s="2452"/>
      <c r="I3" s="2452"/>
      <c r="J3" s="2452"/>
      <c r="K3" s="2452"/>
      <c r="L3" s="2452"/>
      <c r="M3" s="2452"/>
      <c r="N3" s="1302"/>
    </row>
    <row r="4" spans="2:14" ht="15" x14ac:dyDescent="0.2">
      <c r="B4" s="2453" t="str">
        <f>'Single Audit Cover'!A4</f>
        <v>Year Ending June 30, 2018</v>
      </c>
      <c r="C4" s="2453"/>
      <c r="D4" s="2453"/>
      <c r="E4" s="2453"/>
      <c r="F4" s="2453"/>
      <c r="G4" s="2453"/>
      <c r="H4" s="2453"/>
      <c r="I4" s="2453"/>
      <c r="J4" s="2453"/>
      <c r="K4" s="2453"/>
      <c r="L4" s="2453"/>
      <c r="M4" s="2453"/>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2117</v>
      </c>
      <c r="C11" s="1338"/>
      <c r="D11" s="1339"/>
      <c r="E11" s="1340"/>
      <c r="F11" s="1340"/>
      <c r="G11" s="1340"/>
      <c r="H11" s="1340"/>
      <c r="I11" s="1340"/>
      <c r="J11" s="1340"/>
      <c r="K11" s="1340"/>
      <c r="L11" s="1340">
        <f>+G11+I11+K11</f>
        <v>0</v>
      </c>
      <c r="M11" s="1340"/>
    </row>
    <row r="12" spans="2:14" ht="20.100000000000001" customHeight="1" x14ac:dyDescent="0.2">
      <c r="B12" s="1337" t="s">
        <v>2118</v>
      </c>
      <c r="C12" s="1341"/>
      <c r="D12" s="1342"/>
      <c r="E12" s="1343"/>
      <c r="F12" s="1343"/>
      <c r="G12" s="1343"/>
      <c r="H12" s="1343"/>
      <c r="I12" s="1343"/>
      <c r="J12" s="1343"/>
      <c r="K12" s="1343"/>
      <c r="L12" s="1340">
        <f t="shared" ref="L12:L27" si="0">+G12+I12+K12</f>
        <v>0</v>
      </c>
      <c r="M12" s="1343"/>
    </row>
    <row r="13" spans="2:14" ht="20.100000000000001" customHeight="1" x14ac:dyDescent="0.2">
      <c r="B13" s="1337" t="s">
        <v>2119</v>
      </c>
      <c r="C13" s="1341">
        <v>10.555</v>
      </c>
      <c r="D13" s="1342" t="s">
        <v>2120</v>
      </c>
      <c r="E13" s="1343">
        <v>170316</v>
      </c>
      <c r="F13" s="1343">
        <v>37839</v>
      </c>
      <c r="G13" s="1343">
        <v>170316</v>
      </c>
      <c r="H13" s="1343"/>
      <c r="I13" s="1343">
        <v>37839</v>
      </c>
      <c r="J13" s="1343"/>
      <c r="K13" s="1343"/>
      <c r="L13" s="1340">
        <f t="shared" si="0"/>
        <v>208155</v>
      </c>
      <c r="M13" s="1343"/>
    </row>
    <row r="14" spans="2:14" ht="20.100000000000001" customHeight="1" x14ac:dyDescent="0.2">
      <c r="B14" s="1337"/>
      <c r="C14" s="1341"/>
      <c r="D14" s="1342" t="s">
        <v>2121</v>
      </c>
      <c r="E14" s="1343"/>
      <c r="F14" s="1343">
        <v>176220</v>
      </c>
      <c r="G14" s="1343"/>
      <c r="H14" s="1343"/>
      <c r="I14" s="1343">
        <v>176220</v>
      </c>
      <c r="J14" s="1343"/>
      <c r="K14" s="1343"/>
      <c r="L14" s="1340">
        <f t="shared" si="0"/>
        <v>176220</v>
      </c>
      <c r="M14" s="1343"/>
    </row>
    <row r="15" spans="2:14" ht="20.100000000000001" customHeight="1" x14ac:dyDescent="0.2">
      <c r="B15" s="1337" t="s">
        <v>2122</v>
      </c>
      <c r="C15" s="1341">
        <v>10.553000000000001</v>
      </c>
      <c r="D15" s="1342" t="s">
        <v>2123</v>
      </c>
      <c r="E15" s="1343">
        <v>33358</v>
      </c>
      <c r="F15" s="1343">
        <v>6506</v>
      </c>
      <c r="G15" s="1343">
        <v>33358</v>
      </c>
      <c r="H15" s="1343"/>
      <c r="I15" s="1343">
        <v>6506</v>
      </c>
      <c r="J15" s="1343"/>
      <c r="K15" s="1343"/>
      <c r="L15" s="1340">
        <f t="shared" si="0"/>
        <v>39864</v>
      </c>
      <c r="M15" s="1343"/>
    </row>
    <row r="16" spans="2:14" ht="20.100000000000001" customHeight="1" x14ac:dyDescent="0.2">
      <c r="B16" s="1337"/>
      <c r="C16" s="1341"/>
      <c r="D16" s="1342" t="s">
        <v>2124</v>
      </c>
      <c r="E16" s="1343"/>
      <c r="F16" s="1343">
        <v>37542</v>
      </c>
      <c r="G16" s="1343"/>
      <c r="H16" s="1343"/>
      <c r="I16" s="1343">
        <v>37542</v>
      </c>
      <c r="J16" s="1343"/>
      <c r="K16" s="1343"/>
      <c r="L16" s="1340">
        <f t="shared" si="0"/>
        <v>37542</v>
      </c>
      <c r="M16" s="1343"/>
    </row>
    <row r="17" spans="2:14" ht="20.100000000000001" customHeight="1" x14ac:dyDescent="0.2">
      <c r="B17" s="1337" t="s">
        <v>2125</v>
      </c>
      <c r="C17" s="1341">
        <v>10.555</v>
      </c>
      <c r="D17" s="1342"/>
      <c r="E17" s="1343"/>
      <c r="F17" s="1343">
        <v>37317</v>
      </c>
      <c r="G17" s="1343"/>
      <c r="H17" s="1343"/>
      <c r="I17" s="1343">
        <v>37317</v>
      </c>
      <c r="J17" s="1343"/>
      <c r="K17" s="1343"/>
      <c r="L17" s="1340">
        <f t="shared" si="0"/>
        <v>37317</v>
      </c>
      <c r="M17" s="1343"/>
    </row>
    <row r="18" spans="2:14" ht="20.100000000000001" customHeight="1" x14ac:dyDescent="0.2">
      <c r="B18" s="1337" t="s">
        <v>2126</v>
      </c>
      <c r="C18" s="1341"/>
      <c r="D18" s="1342"/>
      <c r="E18" s="1343">
        <v>203674</v>
      </c>
      <c r="F18" s="1343">
        <v>295424</v>
      </c>
      <c r="G18" s="1343">
        <v>203674</v>
      </c>
      <c r="H18" s="1343"/>
      <c r="I18" s="1343">
        <v>295424</v>
      </c>
      <c r="J18" s="1343"/>
      <c r="K18" s="1343"/>
      <c r="L18" s="1340">
        <f t="shared" si="0"/>
        <v>499098</v>
      </c>
      <c r="M18" s="1343"/>
    </row>
    <row r="19" spans="2:14" ht="20.100000000000001" customHeight="1" x14ac:dyDescent="0.2">
      <c r="B19" s="1337" t="s">
        <v>2127</v>
      </c>
      <c r="C19" s="1341"/>
      <c r="D19" s="1342"/>
      <c r="E19" s="1343"/>
      <c r="F19" s="1343"/>
      <c r="G19" s="1343"/>
      <c r="H19" s="1343"/>
      <c r="I19" s="1343"/>
      <c r="J19" s="1343"/>
      <c r="K19" s="1343"/>
      <c r="L19" s="1340">
        <f t="shared" si="0"/>
        <v>0</v>
      </c>
      <c r="M19" s="1343"/>
    </row>
    <row r="20" spans="2:14" ht="20.100000000000001" customHeight="1" x14ac:dyDescent="0.2">
      <c r="B20" s="1337" t="s">
        <v>2118</v>
      </c>
      <c r="C20" s="1341"/>
      <c r="D20" s="1342"/>
      <c r="E20" s="1343"/>
      <c r="F20" s="1343"/>
      <c r="G20" s="1343"/>
      <c r="H20" s="1343"/>
      <c r="I20" s="1343"/>
      <c r="J20" s="1343"/>
      <c r="K20" s="1343"/>
      <c r="L20" s="1340">
        <f t="shared" si="0"/>
        <v>0</v>
      </c>
      <c r="M20" s="1343"/>
    </row>
    <row r="21" spans="2:14" ht="20.100000000000001" customHeight="1" x14ac:dyDescent="0.2">
      <c r="B21" s="1337" t="s">
        <v>2128</v>
      </c>
      <c r="C21" s="1341" t="s">
        <v>2129</v>
      </c>
      <c r="D21" s="1342" t="s">
        <v>2130</v>
      </c>
      <c r="E21" s="1343">
        <v>142668</v>
      </c>
      <c r="F21" s="1343">
        <v>143346</v>
      </c>
      <c r="G21" s="1343">
        <v>241711</v>
      </c>
      <c r="H21" s="1343"/>
      <c r="I21" s="1343">
        <v>44303</v>
      </c>
      <c r="J21" s="1343"/>
      <c r="K21" s="1343"/>
      <c r="L21" s="1340">
        <f t="shared" si="0"/>
        <v>286014</v>
      </c>
      <c r="M21" s="1343">
        <v>374519</v>
      </c>
    </row>
    <row r="22" spans="2:14" ht="20.100000000000001" customHeight="1" x14ac:dyDescent="0.2">
      <c r="B22" s="1337"/>
      <c r="C22" s="1341"/>
      <c r="D22" s="1342" t="s">
        <v>2131</v>
      </c>
      <c r="E22" s="1343"/>
      <c r="F22" s="1343">
        <v>277031</v>
      </c>
      <c r="G22" s="1343"/>
      <c r="H22" s="1343"/>
      <c r="I22" s="1343">
        <v>331057</v>
      </c>
      <c r="J22" s="1343"/>
      <c r="K22" s="1343"/>
      <c r="L22" s="1340">
        <f t="shared" si="0"/>
        <v>331057</v>
      </c>
      <c r="M22" s="1343">
        <v>381928</v>
      </c>
    </row>
    <row r="23" spans="2:14" ht="20.100000000000001" customHeight="1" x14ac:dyDescent="0.2">
      <c r="B23" s="1337" t="s">
        <v>2132</v>
      </c>
      <c r="C23" s="1341" t="s">
        <v>2133</v>
      </c>
      <c r="D23" s="1342" t="s">
        <v>2134</v>
      </c>
      <c r="E23" s="1343"/>
      <c r="F23" s="1343">
        <v>3306</v>
      </c>
      <c r="G23" s="1343">
        <v>3306</v>
      </c>
      <c r="H23" s="1343"/>
      <c r="I23" s="1343"/>
      <c r="J23" s="1343"/>
      <c r="K23" s="1343"/>
      <c r="L23" s="1340">
        <f t="shared" si="0"/>
        <v>3306</v>
      </c>
      <c r="M23" s="1343"/>
    </row>
    <row r="24" spans="2:14" ht="20.100000000000001" customHeight="1" x14ac:dyDescent="0.2">
      <c r="B24" s="1337" t="s">
        <v>2135</v>
      </c>
      <c r="C24" s="1341" t="s">
        <v>2136</v>
      </c>
      <c r="D24" s="1342" t="s">
        <v>2137</v>
      </c>
      <c r="E24" s="1343">
        <v>1405</v>
      </c>
      <c r="F24" s="1343">
        <v>2479</v>
      </c>
      <c r="G24" s="1343">
        <v>3824</v>
      </c>
      <c r="H24" s="1343"/>
      <c r="I24" s="1343">
        <v>60</v>
      </c>
      <c r="J24" s="1343"/>
      <c r="K24" s="1343"/>
      <c r="L24" s="1340">
        <f t="shared" si="0"/>
        <v>3884</v>
      </c>
      <c r="M24" s="1343">
        <v>26929</v>
      </c>
    </row>
    <row r="25" spans="2:14" ht="20.100000000000001" customHeight="1" x14ac:dyDescent="0.2">
      <c r="B25" s="1337"/>
      <c r="C25" s="1341"/>
      <c r="D25" s="1342" t="s">
        <v>2138</v>
      </c>
      <c r="E25" s="1343"/>
      <c r="F25" s="1343">
        <v>18836</v>
      </c>
      <c r="G25" s="1343"/>
      <c r="H25" s="1343"/>
      <c r="I25" s="1343">
        <v>31107</v>
      </c>
      <c r="J25" s="1343"/>
      <c r="K25" s="1343"/>
      <c r="L25" s="1340">
        <f t="shared" si="0"/>
        <v>31107</v>
      </c>
      <c r="M25" s="1343">
        <v>35941</v>
      </c>
    </row>
    <row r="26" spans="2:14" ht="20.100000000000001" customHeight="1" x14ac:dyDescent="0.2">
      <c r="B26" s="1337" t="s">
        <v>2139</v>
      </c>
      <c r="C26" s="1341"/>
      <c r="D26" s="1342"/>
      <c r="E26" s="1343"/>
      <c r="F26" s="1343"/>
      <c r="G26" s="1343"/>
      <c r="H26" s="1343"/>
      <c r="I26" s="1343"/>
      <c r="J26" s="1343"/>
      <c r="K26" s="1343"/>
      <c r="L26" s="1340">
        <f t="shared" si="0"/>
        <v>0</v>
      </c>
      <c r="M26" s="1343"/>
    </row>
    <row r="27" spans="2:14" ht="20.100000000000001" customHeight="1" x14ac:dyDescent="0.2">
      <c r="B27" s="1337" t="s">
        <v>2140</v>
      </c>
      <c r="C27" s="1341" t="s">
        <v>2133</v>
      </c>
      <c r="D27" s="1342" t="s">
        <v>2141</v>
      </c>
      <c r="E27" s="1343"/>
      <c r="F27" s="1343">
        <v>193908</v>
      </c>
      <c r="G27" s="1343"/>
      <c r="H27" s="1343"/>
      <c r="I27" s="1343">
        <v>193908</v>
      </c>
      <c r="J27" s="1343"/>
      <c r="K27" s="1343"/>
      <c r="L27" s="1340">
        <f t="shared" si="0"/>
        <v>193908</v>
      </c>
      <c r="M27" s="1343">
        <v>202290</v>
      </c>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L31" sqref="L3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Chester CUSD 139</v>
      </c>
      <c r="C1" s="2450"/>
      <c r="D1" s="2450"/>
      <c r="E1" s="2450"/>
      <c r="F1" s="2450"/>
      <c r="G1" s="2450"/>
      <c r="H1" s="2450"/>
      <c r="I1" s="2450"/>
      <c r="J1" s="2450"/>
      <c r="K1" s="2450"/>
      <c r="L1" s="2450"/>
      <c r="M1" s="2450"/>
    </row>
    <row r="2" spans="2:14" ht="15" x14ac:dyDescent="0.2">
      <c r="B2" s="2451">
        <f>'Single Audit Cover'!E7</f>
        <v>45079139026</v>
      </c>
      <c r="C2" s="2451"/>
      <c r="D2" s="2451"/>
      <c r="E2" s="2451"/>
      <c r="F2" s="2451"/>
      <c r="G2" s="2451"/>
      <c r="H2" s="2451"/>
      <c r="I2" s="2451"/>
      <c r="J2" s="2451"/>
      <c r="K2" s="2451"/>
      <c r="L2" s="2451"/>
      <c r="M2" s="2451"/>
      <c r="N2" s="1302"/>
    </row>
    <row r="3" spans="2:14" ht="15" x14ac:dyDescent="0.2">
      <c r="B3" s="2452" t="s">
        <v>1281</v>
      </c>
      <c r="C3" s="2452"/>
      <c r="D3" s="2452"/>
      <c r="E3" s="2452"/>
      <c r="F3" s="2452"/>
      <c r="G3" s="2452"/>
      <c r="H3" s="2452"/>
      <c r="I3" s="2452"/>
      <c r="J3" s="2452"/>
      <c r="K3" s="2452"/>
      <c r="L3" s="2452"/>
      <c r="M3" s="2452"/>
      <c r="N3" s="1302"/>
    </row>
    <row r="4" spans="2:14" ht="15" x14ac:dyDescent="0.2">
      <c r="B4" s="2453" t="str">
        <f>'Single Audit Cover'!A4</f>
        <v>Year Ending June 30, 2018</v>
      </c>
      <c r="C4" s="2453"/>
      <c r="D4" s="2453"/>
      <c r="E4" s="2453"/>
      <c r="F4" s="2453"/>
      <c r="G4" s="2453"/>
      <c r="H4" s="2453"/>
      <c r="I4" s="2453"/>
      <c r="J4" s="2453"/>
      <c r="K4" s="2453"/>
      <c r="L4" s="2453"/>
      <c r="M4" s="2453"/>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2142</v>
      </c>
      <c r="C11" s="1338"/>
      <c r="D11" s="1339"/>
      <c r="E11" s="1340"/>
      <c r="F11" s="1340"/>
      <c r="G11" s="1340"/>
      <c r="H11" s="1340"/>
      <c r="I11" s="1340"/>
      <c r="J11" s="1340"/>
      <c r="K11" s="1340"/>
      <c r="L11" s="1340">
        <f>+G11+I11+K11</f>
        <v>0</v>
      </c>
      <c r="M11" s="1340"/>
    </row>
    <row r="12" spans="2:14" ht="20.100000000000001" customHeight="1" x14ac:dyDescent="0.2">
      <c r="B12" s="1337" t="s">
        <v>2143</v>
      </c>
      <c r="C12" s="1341">
        <v>84.242999999999995</v>
      </c>
      <c r="D12" s="1342" t="s">
        <v>2144</v>
      </c>
      <c r="E12" s="1343"/>
      <c r="F12" s="1343">
        <v>877</v>
      </c>
      <c r="G12" s="1343"/>
      <c r="H12" s="1343"/>
      <c r="I12" s="1343">
        <v>877</v>
      </c>
      <c r="J12" s="1343"/>
      <c r="K12" s="1343"/>
      <c r="L12" s="1340">
        <f t="shared" ref="L12:L27" si="0">+G12+I12+K12</f>
        <v>877</v>
      </c>
      <c r="M12" s="1343"/>
    </row>
    <row r="13" spans="2:14" ht="20.100000000000001" customHeight="1" x14ac:dyDescent="0.2">
      <c r="B13" s="1337" t="s">
        <v>2145</v>
      </c>
      <c r="C13" s="1341"/>
      <c r="D13" s="1342"/>
      <c r="E13" s="1343">
        <v>144073</v>
      </c>
      <c r="F13" s="1343">
        <v>639783</v>
      </c>
      <c r="G13" s="1343">
        <v>248841</v>
      </c>
      <c r="H13" s="1343"/>
      <c r="I13" s="1343">
        <v>601312</v>
      </c>
      <c r="J13" s="1343"/>
      <c r="K13" s="1343"/>
      <c r="L13" s="1340">
        <f t="shared" si="0"/>
        <v>850153</v>
      </c>
      <c r="M13" s="1343"/>
    </row>
    <row r="14" spans="2:14" ht="20.100000000000001" customHeight="1" x14ac:dyDescent="0.2">
      <c r="B14" s="1337" t="s">
        <v>2146</v>
      </c>
      <c r="C14" s="1341"/>
      <c r="D14" s="1342"/>
      <c r="E14" s="1343"/>
      <c r="F14" s="1343"/>
      <c r="G14" s="1343"/>
      <c r="H14" s="1343"/>
      <c r="I14" s="1343"/>
      <c r="J14" s="1343"/>
      <c r="K14" s="1343"/>
      <c r="L14" s="1340">
        <f t="shared" si="0"/>
        <v>0</v>
      </c>
      <c r="M14" s="1343"/>
    </row>
    <row r="15" spans="2:14" ht="20.100000000000001" customHeight="1" x14ac:dyDescent="0.2">
      <c r="B15" s="1337" t="s">
        <v>2147</v>
      </c>
      <c r="C15" s="1341">
        <v>93.778000000000006</v>
      </c>
      <c r="D15" s="1342" t="s">
        <v>2148</v>
      </c>
      <c r="E15" s="1343">
        <v>11051</v>
      </c>
      <c r="F15" s="1343">
        <v>3056</v>
      </c>
      <c r="G15" s="1343">
        <v>14107</v>
      </c>
      <c r="H15" s="1343"/>
      <c r="I15" s="1343"/>
      <c r="J15" s="1343"/>
      <c r="K15" s="1343"/>
      <c r="L15" s="1340">
        <f t="shared" si="0"/>
        <v>14107</v>
      </c>
      <c r="M15" s="1343"/>
    </row>
    <row r="16" spans="2:14" ht="20.100000000000001" customHeight="1" x14ac:dyDescent="0.2">
      <c r="B16" s="1337"/>
      <c r="C16" s="1341"/>
      <c r="D16" s="1342" t="s">
        <v>2149</v>
      </c>
      <c r="E16" s="1343"/>
      <c r="F16" s="1343">
        <v>9856</v>
      </c>
      <c r="G16" s="1343"/>
      <c r="H16" s="1343"/>
      <c r="I16" s="1343">
        <v>12895</v>
      </c>
      <c r="J16" s="1343"/>
      <c r="K16" s="1343"/>
      <c r="L16" s="1340">
        <f t="shared" si="0"/>
        <v>12895</v>
      </c>
      <c r="M16" s="1343"/>
    </row>
    <row r="17" spans="2:14" ht="20.100000000000001" customHeight="1" x14ac:dyDescent="0.2">
      <c r="B17" s="1337" t="s">
        <v>2150</v>
      </c>
      <c r="C17" s="1341"/>
      <c r="D17" s="1342"/>
      <c r="E17" s="1343">
        <v>11051</v>
      </c>
      <c r="F17" s="1343">
        <v>12912</v>
      </c>
      <c r="G17" s="1343">
        <v>14107</v>
      </c>
      <c r="H17" s="1343"/>
      <c r="I17" s="1343">
        <v>12895</v>
      </c>
      <c r="J17" s="1343"/>
      <c r="K17" s="1343"/>
      <c r="L17" s="1340">
        <f t="shared" si="0"/>
        <v>27002</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t="s">
        <v>2151</v>
      </c>
      <c r="C19" s="1341"/>
      <c r="D19" s="1342"/>
      <c r="E19" s="1343">
        <v>358798</v>
      </c>
      <c r="F19" s="1343">
        <v>948119</v>
      </c>
      <c r="G19" s="1343">
        <v>466622</v>
      </c>
      <c r="H19" s="1343"/>
      <c r="I19" s="1343">
        <v>909631</v>
      </c>
      <c r="J19" s="1343"/>
      <c r="K19" s="1343"/>
      <c r="L19" s="1340">
        <f t="shared" si="0"/>
        <v>1376253</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2075</v>
      </c>
      <c r="C53" s="179">
        <v>22</v>
      </c>
      <c r="D53" s="247" t="s">
        <v>1537</v>
      </c>
      <c r="E53" s="248"/>
      <c r="F53" s="249"/>
      <c r="G53" s="249" t="s">
        <v>1536</v>
      </c>
      <c r="H53" s="250">
        <v>35370</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2067</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2065</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2066</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2076</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2019</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B5" sqref="B5"/>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3" t="str">
        <f>'Single Audit Cover'!A7</f>
        <v>Chester CUSD 139</v>
      </c>
      <c r="B1" s="2463"/>
      <c r="C1" s="2463"/>
      <c r="D1" s="2463"/>
      <c r="E1" s="2463"/>
      <c r="F1" s="2463"/>
    </row>
    <row r="2" spans="1:7" ht="13.5" customHeight="1" x14ac:dyDescent="0.2">
      <c r="A2" s="2451">
        <f>'Single Audit Cover'!E7</f>
        <v>45079139026</v>
      </c>
      <c r="B2" s="2451"/>
      <c r="C2" s="2451"/>
      <c r="D2" s="2451"/>
      <c r="E2" s="2451"/>
      <c r="F2" s="2451"/>
      <c r="G2" s="1275"/>
    </row>
    <row r="3" spans="1:7" ht="15.75" customHeight="1" x14ac:dyDescent="0.2">
      <c r="A3" s="2464" t="s">
        <v>1333</v>
      </c>
      <c r="B3" s="2464"/>
      <c r="C3" s="2464"/>
      <c r="D3" s="2464"/>
      <c r="E3" s="2464"/>
      <c r="F3" s="2464"/>
    </row>
    <row r="4" spans="1:7" ht="13.5" customHeight="1" x14ac:dyDescent="0.2">
      <c r="A4" s="2465" t="str">
        <f>'Single Audit Cover'!A4</f>
        <v>Year Ending June 30, 2018</v>
      </c>
      <c r="B4" s="2465"/>
      <c r="C4" s="2465"/>
      <c r="D4" s="2465"/>
      <c r="E4" s="2465"/>
      <c r="F4" s="2465"/>
    </row>
    <row r="5" spans="1:7" ht="8.25" customHeight="1" x14ac:dyDescent="0.2">
      <c r="C5" s="317"/>
      <c r="D5" s="317"/>
    </row>
    <row r="6" spans="1:7" ht="13.5" customHeight="1" x14ac:dyDescent="0.2">
      <c r="A6" s="1276" t="s">
        <v>1831</v>
      </c>
      <c r="C6" s="317"/>
      <c r="D6" s="317"/>
    </row>
    <row r="7" spans="1:7" ht="60.95" customHeight="1" x14ac:dyDescent="0.2">
      <c r="A7" s="2462" t="s">
        <v>2152</v>
      </c>
      <c r="B7" s="2462"/>
      <c r="C7" s="2462"/>
      <c r="D7" s="2462"/>
      <c r="E7" s="2462"/>
      <c r="F7" s="2462"/>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2075</v>
      </c>
      <c r="F10" s="1280" t="s">
        <v>101</v>
      </c>
      <c r="G10" s="1278"/>
    </row>
    <row r="11" spans="1:7" ht="12" customHeight="1" x14ac:dyDescent="0.2">
      <c r="A11" s="1279"/>
      <c r="B11" s="1280"/>
      <c r="C11" s="1926"/>
      <c r="D11" s="1280"/>
      <c r="E11" s="1926"/>
      <c r="F11" s="1280"/>
      <c r="G11" s="1278"/>
    </row>
    <row r="12" spans="1:7" x14ac:dyDescent="0.2">
      <c r="A12" s="1276" t="s">
        <v>1669</v>
      </c>
      <c r="C12" s="1260"/>
      <c r="D12" s="1260"/>
    </row>
    <row r="13" spans="1:7" ht="15" customHeight="1" x14ac:dyDescent="0.2">
      <c r="A13" s="2462" t="s">
        <v>1833</v>
      </c>
      <c r="B13" s="2462"/>
      <c r="C13" s="2462"/>
      <c r="D13" s="2462"/>
      <c r="E13" s="2462"/>
      <c r="F13" s="2462"/>
    </row>
    <row r="14" spans="1:7" ht="9.75" customHeight="1" x14ac:dyDescent="0.2">
      <c r="C14" s="1260"/>
      <c r="D14" s="1260"/>
    </row>
    <row r="15" spans="1:7" ht="13.5" customHeight="1" x14ac:dyDescent="0.2">
      <c r="C15" s="1870" t="s">
        <v>1332</v>
      </c>
      <c r="D15" s="2460" t="s">
        <v>1331</v>
      </c>
      <c r="E15" s="2460"/>
      <c r="F15" s="2460"/>
    </row>
    <row r="16" spans="1:7" ht="13.5" customHeight="1" x14ac:dyDescent="0.2">
      <c r="A16" s="1282"/>
      <c r="B16" s="1276" t="s">
        <v>1330</v>
      </c>
      <c r="C16" s="1870" t="s">
        <v>1329</v>
      </c>
      <c r="D16" s="2461" t="s">
        <v>1670</v>
      </c>
      <c r="E16" s="2461"/>
      <c r="F16" s="2461"/>
    </row>
    <row r="17" spans="1:6" ht="20.45" customHeight="1" x14ac:dyDescent="0.2">
      <c r="A17" s="1283"/>
      <c r="B17" s="1284"/>
      <c r="C17" s="1285"/>
      <c r="D17" s="2455"/>
      <c r="E17" s="2455"/>
      <c r="F17" s="2455"/>
    </row>
    <row r="18" spans="1:6" ht="20.65" customHeight="1" x14ac:dyDescent="0.2">
      <c r="A18" s="1283"/>
      <c r="B18" s="1284"/>
      <c r="C18" s="1285"/>
      <c r="D18" s="2455"/>
      <c r="E18" s="2455"/>
      <c r="F18" s="2455"/>
    </row>
    <row r="19" spans="1:6" ht="20.65" customHeight="1" x14ac:dyDescent="0.2">
      <c r="A19" s="1283"/>
      <c r="B19" s="1284"/>
      <c r="C19" s="1285"/>
      <c r="D19" s="2455"/>
      <c r="E19" s="2455"/>
      <c r="F19" s="2455"/>
    </row>
    <row r="20" spans="1:6" ht="20.65" customHeight="1" x14ac:dyDescent="0.2">
      <c r="A20" s="1283"/>
      <c r="B20" s="1284"/>
      <c r="C20" s="1285"/>
      <c r="D20" s="2455"/>
      <c r="E20" s="2455"/>
      <c r="F20" s="2455"/>
    </row>
    <row r="21" spans="1:6" ht="20.65" customHeight="1" x14ac:dyDescent="0.2">
      <c r="A21" s="1283"/>
      <c r="B21" s="1284"/>
      <c r="C21" s="1285"/>
      <c r="D21" s="2455"/>
      <c r="E21" s="2455"/>
      <c r="F21" s="2455"/>
    </row>
    <row r="22" spans="1:6" ht="20.65" customHeight="1" x14ac:dyDescent="0.2">
      <c r="A22" s="1283"/>
      <c r="B22" s="1284"/>
      <c r="C22" s="1285"/>
      <c r="D22" s="2455"/>
      <c r="E22" s="2455"/>
      <c r="F22" s="2455"/>
    </row>
    <row r="23" spans="1:6" ht="20.65" customHeight="1" x14ac:dyDescent="0.2">
      <c r="A23" s="1283"/>
      <c r="B23" s="1284"/>
      <c r="C23" s="1285"/>
      <c r="D23" s="2455"/>
      <c r="E23" s="2455"/>
      <c r="F23" s="2455"/>
    </row>
    <row r="24" spans="1:6" ht="20.65" customHeight="1" x14ac:dyDescent="0.2">
      <c r="A24" s="1283"/>
      <c r="B24" s="1284"/>
      <c r="C24" s="1285"/>
      <c r="D24" s="2455"/>
      <c r="E24" s="2455"/>
      <c r="F24" s="2455"/>
    </row>
    <row r="25" spans="1:6" ht="20.65" customHeight="1" x14ac:dyDescent="0.2">
      <c r="A25" s="1283"/>
      <c r="B25" s="1284"/>
      <c r="C25" s="1285"/>
      <c r="D25" s="2455"/>
      <c r="E25" s="2455"/>
      <c r="F25" s="2455"/>
    </row>
    <row r="26" spans="1:6" ht="20.65" customHeight="1" x14ac:dyDescent="0.2">
      <c r="A26" s="1283"/>
      <c r="B26" s="1284"/>
      <c r="C26" s="1285"/>
      <c r="D26" s="2455"/>
      <c r="E26" s="2455"/>
      <c r="F26" s="2455"/>
    </row>
    <row r="27" spans="1:6" ht="20.65" customHeight="1" x14ac:dyDescent="0.2">
      <c r="A27" s="1283"/>
      <c r="B27" s="1284"/>
      <c r="C27" s="1285"/>
      <c r="D27" s="2455"/>
      <c r="E27" s="2455"/>
      <c r="F27" s="2455"/>
    </row>
    <row r="28" spans="1:6" ht="20.65" customHeight="1" x14ac:dyDescent="0.2">
      <c r="A28" s="1283"/>
      <c r="B28" s="1284"/>
      <c r="C28" s="1285"/>
      <c r="D28" s="2455"/>
      <c r="E28" s="2455"/>
      <c r="F28" s="2455"/>
    </row>
    <row r="29" spans="1:6" ht="20.65" customHeight="1" x14ac:dyDescent="0.2">
      <c r="A29" s="1283"/>
      <c r="B29" s="1284"/>
      <c r="C29" s="1285"/>
      <c r="D29" s="2455"/>
      <c r="E29" s="2455"/>
      <c r="F29" s="2455"/>
    </row>
    <row r="30" spans="1:6" ht="12" customHeight="1" x14ac:dyDescent="0.2">
      <c r="A30" s="328"/>
      <c r="B30" s="328"/>
      <c r="C30" s="1478"/>
      <c r="D30" s="1927"/>
      <c r="E30" s="1286"/>
    </row>
    <row r="31" spans="1:6" ht="12" customHeight="1" x14ac:dyDescent="0.2">
      <c r="A31" s="1287" t="s">
        <v>1630</v>
      </c>
      <c r="B31" s="328"/>
      <c r="C31" s="1478"/>
      <c r="D31" s="1927"/>
      <c r="E31" s="1286"/>
    </row>
    <row r="32" spans="1:6" ht="30" customHeight="1" x14ac:dyDescent="0.2">
      <c r="A32" s="2456" t="s">
        <v>2153</v>
      </c>
      <c r="B32" s="2456"/>
      <c r="C32" s="2456"/>
      <c r="D32" s="2456"/>
      <c r="E32" s="2456"/>
      <c r="F32" s="2456"/>
    </row>
    <row r="33" spans="1:6" ht="13.5" customHeight="1" x14ac:dyDescent="0.2">
      <c r="A33" s="328" t="s">
        <v>1509</v>
      </c>
      <c r="B33" s="328"/>
      <c r="C33" s="1288">
        <v>37317</v>
      </c>
      <c r="D33" s="1927"/>
      <c r="E33" s="1286"/>
    </row>
    <row r="34" spans="1:6" ht="13.5" customHeight="1" x14ac:dyDescent="0.2">
      <c r="A34" s="328" t="s">
        <v>1946</v>
      </c>
      <c r="B34" s="328"/>
      <c r="C34" s="1289">
        <v>0</v>
      </c>
      <c r="D34" s="1927" t="s">
        <v>1671</v>
      </c>
      <c r="E34" s="2457">
        <f>+C33+C34</f>
        <v>37317</v>
      </c>
      <c r="F34" s="2458"/>
    </row>
    <row r="35" spans="1:6" ht="12" customHeight="1" x14ac:dyDescent="0.2">
      <c r="A35" s="328"/>
      <c r="B35" s="328"/>
      <c r="C35" s="1928"/>
      <c r="D35" s="1927"/>
      <c r="E35" s="1290"/>
      <c r="F35" s="1291"/>
    </row>
    <row r="36" spans="1:6" ht="13.5" customHeight="1" x14ac:dyDescent="0.2">
      <c r="A36" s="1287" t="s">
        <v>1631</v>
      </c>
      <c r="B36" s="328"/>
      <c r="C36" s="1478"/>
      <c r="D36" s="1927"/>
      <c r="E36" s="1286"/>
    </row>
    <row r="37" spans="1:6" ht="14.25" customHeight="1" x14ac:dyDescent="0.2">
      <c r="A37" s="328" t="s">
        <v>1563</v>
      </c>
      <c r="B37" s="328"/>
      <c r="C37" s="1929"/>
      <c r="D37" s="1927"/>
      <c r="E37" s="1286"/>
    </row>
    <row r="38" spans="1:6" ht="14.25" customHeight="1" x14ac:dyDescent="0.2">
      <c r="A38" s="328"/>
      <c r="B38" s="328" t="s">
        <v>1510</v>
      </c>
      <c r="C38" s="1292"/>
      <c r="D38" s="1927"/>
      <c r="E38" s="1286"/>
    </row>
    <row r="39" spans="1:6" ht="14.25" customHeight="1" x14ac:dyDescent="0.2">
      <c r="A39" s="328"/>
      <c r="B39" s="328" t="s">
        <v>1511</v>
      </c>
      <c r="C39" s="1292"/>
      <c r="D39" s="1927"/>
      <c r="E39" s="1286"/>
    </row>
    <row r="40" spans="1:6" ht="14.25" customHeight="1" x14ac:dyDescent="0.2">
      <c r="A40" s="328"/>
      <c r="B40" s="328" t="s">
        <v>1512</v>
      </c>
      <c r="C40" s="1292"/>
      <c r="D40" s="1927"/>
      <c r="E40" s="1286"/>
    </row>
    <row r="41" spans="1:6" ht="14.25" customHeight="1" x14ac:dyDescent="0.2">
      <c r="A41" s="328"/>
      <c r="B41" s="328" t="s">
        <v>1513</v>
      </c>
      <c r="C41" s="1292"/>
      <c r="D41" s="1927"/>
      <c r="E41" s="1286"/>
    </row>
    <row r="42" spans="1:6" ht="14.25" customHeight="1" x14ac:dyDescent="0.2">
      <c r="A42" s="328" t="s">
        <v>1514</v>
      </c>
      <c r="B42" s="328"/>
      <c r="C42" s="1925"/>
      <c r="D42" s="1927"/>
      <c r="E42" s="1286"/>
    </row>
    <row r="43" spans="1:6" ht="14.25" customHeight="1" x14ac:dyDescent="0.2">
      <c r="A43" s="328" t="s">
        <v>1515</v>
      </c>
      <c r="B43" s="328"/>
      <c r="C43" s="1293" t="s">
        <v>401</v>
      </c>
      <c r="D43" s="1927"/>
      <c r="E43" s="1286"/>
    </row>
    <row r="44" spans="1:6" ht="14.25" customHeight="1" x14ac:dyDescent="0.2">
      <c r="A44" s="328"/>
      <c r="B44" s="328"/>
      <c r="C44" s="1929" t="s">
        <v>1516</v>
      </c>
      <c r="D44" s="1927"/>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9" t="s">
        <v>1672</v>
      </c>
      <c r="C49" s="2459"/>
      <c r="D49" s="2459"/>
      <c r="E49" s="1399"/>
    </row>
    <row r="50" spans="1:5" s="1300" customFormat="1" ht="3.75" customHeight="1" x14ac:dyDescent="0.2">
      <c r="A50" s="1299"/>
      <c r="B50" s="1869"/>
      <c r="C50" s="1869"/>
      <c r="D50" s="1869"/>
      <c r="E50" s="1399"/>
    </row>
    <row r="51" spans="1:5" s="1300" customFormat="1" ht="20.25" customHeight="1" x14ac:dyDescent="0.2">
      <c r="A51" s="1301">
        <v>6</v>
      </c>
      <c r="B51" s="2454" t="s">
        <v>1632</v>
      </c>
      <c r="C51" s="2454"/>
      <c r="D51" s="2454"/>
    </row>
    <row r="52" spans="1:5" ht="14.25" customHeight="1" x14ac:dyDescent="0.2">
      <c r="A52" s="1301"/>
      <c r="B52" s="2454"/>
      <c r="C52" s="2454"/>
      <c r="D52" s="2454"/>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 zoomScale="110" zoomScaleNormal="110" workbookViewId="0">
      <selection activeCell="C11" sqref="C11:D11"/>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Chester CUSD 139</v>
      </c>
      <c r="C1" s="2478"/>
      <c r="D1" s="2478"/>
      <c r="E1" s="2478"/>
      <c r="F1" s="2478"/>
      <c r="G1" s="2478"/>
      <c r="H1" s="2478"/>
      <c r="I1" s="2478"/>
      <c r="J1" s="1422"/>
    </row>
    <row r="2" spans="2:10" s="317" customFormat="1" ht="12.75" customHeight="1" x14ac:dyDescent="0.2">
      <c r="B2" s="2479">
        <f>'Single Audit Cover'!E7</f>
        <v>45079139026</v>
      </c>
      <c r="C2" s="2480"/>
      <c r="D2" s="2480"/>
      <c r="E2" s="2480"/>
      <c r="F2" s="2480"/>
      <c r="G2" s="2480"/>
      <c r="H2" s="2480"/>
      <c r="I2" s="2480"/>
      <c r="J2" s="1422"/>
    </row>
    <row r="3" spans="2:10" s="317" customFormat="1" ht="12.75" customHeight="1" x14ac:dyDescent="0.2">
      <c r="B3" s="2481" t="s">
        <v>1347</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1346</v>
      </c>
      <c r="C7" s="2482"/>
      <c r="D7" s="2482"/>
      <c r="E7" s="2482"/>
      <c r="F7" s="2482"/>
      <c r="G7" s="2482"/>
      <c r="H7" s="2482"/>
      <c r="I7" s="248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3" t="s">
        <v>1226</v>
      </c>
      <c r="D11" s="248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2075</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2075</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2075</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2075</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2075</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4" t="s">
        <v>1383</v>
      </c>
      <c r="E29" s="2484"/>
      <c r="F29" s="2484"/>
      <c r="G29" s="2484"/>
      <c r="H29" s="2484"/>
      <c r="I29" s="2484"/>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2075</v>
      </c>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5" t="s">
        <v>1852</v>
      </c>
      <c r="D37" s="2486"/>
      <c r="E37" s="2486"/>
      <c r="F37" s="2487"/>
      <c r="G37" s="2485" t="s">
        <v>1674</v>
      </c>
      <c r="H37" s="2486"/>
      <c r="I37" s="2487"/>
    </row>
    <row r="38" spans="2:9" ht="16.5" customHeight="1" x14ac:dyDescent="0.2">
      <c r="B38" s="1444">
        <v>84.01</v>
      </c>
      <c r="C38" s="2473" t="s">
        <v>2154</v>
      </c>
      <c r="D38" s="2474"/>
      <c r="E38" s="2474"/>
      <c r="F38" s="2475"/>
      <c r="G38" s="2488">
        <v>375360</v>
      </c>
      <c r="H38" s="2489"/>
      <c r="I38" s="2490"/>
    </row>
    <row r="39" spans="2:9" ht="16.5" customHeight="1" x14ac:dyDescent="0.2">
      <c r="B39" s="1444">
        <v>84.027000000000001</v>
      </c>
      <c r="C39" s="2473" t="s">
        <v>2155</v>
      </c>
      <c r="D39" s="2474"/>
      <c r="E39" s="2474"/>
      <c r="F39" s="2475"/>
      <c r="G39" s="2476">
        <v>193908</v>
      </c>
      <c r="H39" s="2476"/>
      <c r="I39" s="2476"/>
    </row>
    <row r="40" spans="2:9" ht="16.5" customHeight="1" x14ac:dyDescent="0.2">
      <c r="B40" s="1444"/>
      <c r="C40" s="2473"/>
      <c r="D40" s="2474"/>
      <c r="E40" s="2474"/>
      <c r="F40" s="2475"/>
      <c r="G40" s="2476"/>
      <c r="H40" s="2476"/>
      <c r="I40" s="2476"/>
    </row>
    <row r="41" spans="2:9" ht="16.5" customHeight="1" x14ac:dyDescent="0.2">
      <c r="B41" s="1444"/>
      <c r="C41" s="2473"/>
      <c r="D41" s="2474"/>
      <c r="E41" s="2474"/>
      <c r="F41" s="2475"/>
      <c r="G41" s="2476"/>
      <c r="H41" s="2476"/>
      <c r="I41" s="2476"/>
    </row>
    <row r="42" spans="2:9" ht="16.5" customHeight="1" x14ac:dyDescent="0.2">
      <c r="B42" s="1444"/>
      <c r="C42" s="2473"/>
      <c r="D42" s="2474"/>
      <c r="E42" s="2474"/>
      <c r="F42" s="2475"/>
      <c r="G42" s="2476"/>
      <c r="H42" s="2476"/>
      <c r="I42" s="2476"/>
    </row>
    <row r="43" spans="2:9" ht="16.5" customHeight="1" x14ac:dyDescent="0.2">
      <c r="B43" s="1444"/>
      <c r="C43" s="2466" t="s">
        <v>1675</v>
      </c>
      <c r="D43" s="2467"/>
      <c r="E43" s="2467"/>
      <c r="F43" s="2468"/>
      <c r="G43" s="2469">
        <f>SUM(G38:I42)</f>
        <v>569268</v>
      </c>
      <c r="H43" s="2469"/>
      <c r="I43" s="2469"/>
    </row>
    <row r="44" spans="2:9" ht="12.75" customHeight="1" x14ac:dyDescent="0.2"/>
    <row r="45" spans="2:9" ht="12.75" customHeight="1" x14ac:dyDescent="0.2">
      <c r="B45" s="1435" t="s">
        <v>1949</v>
      </c>
      <c r="D45" s="2470">
        <v>906931</v>
      </c>
      <c r="E45" s="2471"/>
    </row>
    <row r="46" spans="2:9" ht="5.25" customHeight="1" x14ac:dyDescent="0.2">
      <c r="B46" s="1445"/>
      <c r="D46" s="1446"/>
      <c r="E46" s="1447"/>
    </row>
    <row r="47" spans="2:9" ht="12.75" customHeight="1" x14ac:dyDescent="0.2">
      <c r="B47" s="1300" t="s">
        <v>1676</v>
      </c>
      <c r="C47" s="1300"/>
      <c r="D47" s="1448">
        <f>+G43/D45</f>
        <v>0.62768611945120412</v>
      </c>
      <c r="E47" s="1449"/>
      <c r="F47" s="1450"/>
      <c r="I47" s="1451"/>
    </row>
    <row r="48" spans="2:9" ht="9.9499999999999993" customHeight="1" x14ac:dyDescent="0.2"/>
    <row r="49" spans="1:9" x14ac:dyDescent="0.2">
      <c r="B49" s="1368" t="s">
        <v>1335</v>
      </c>
      <c r="C49" s="1282"/>
      <c r="D49" s="1282"/>
      <c r="E49" s="2472">
        <v>750000</v>
      </c>
      <c r="F49" s="2472"/>
      <c r="G49" s="2472"/>
      <c r="H49" s="322"/>
    </row>
    <row r="51" spans="1:9" ht="13.5" customHeight="1" x14ac:dyDescent="0.2">
      <c r="B51" s="1368" t="s">
        <v>1334</v>
      </c>
      <c r="C51" s="1282"/>
      <c r="E51" s="1438"/>
      <c r="F51" s="1300" t="s">
        <v>940</v>
      </c>
      <c r="G51" s="1438" t="s">
        <v>2075</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L31" sqref="L3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Chester CUSD 139</v>
      </c>
      <c r="C1" s="2477"/>
      <c r="D1" s="2477"/>
      <c r="E1" s="2477"/>
      <c r="F1" s="2477"/>
      <c r="G1" s="2477"/>
      <c r="H1" s="2477"/>
      <c r="I1" s="2477"/>
      <c r="J1" s="2477"/>
      <c r="K1" s="2477"/>
      <c r="L1" s="1374"/>
      <c r="M1" s="1374"/>
    </row>
    <row r="2" spans="1:13" ht="12" customHeight="1" x14ac:dyDescent="0.2">
      <c r="B2" s="2479">
        <f>'Single Audit Cover'!E7</f>
        <v>45079139026</v>
      </c>
      <c r="C2" s="2479"/>
      <c r="D2" s="2479"/>
      <c r="E2" s="2479"/>
      <c r="F2" s="2479"/>
      <c r="G2" s="2479"/>
      <c r="H2" s="2479"/>
      <c r="I2" s="2479"/>
      <c r="J2" s="2479"/>
      <c r="K2" s="2479"/>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1950</v>
      </c>
      <c r="D10" s="1386" t="s">
        <v>2156</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1847</v>
      </c>
      <c r="C38" s="1420"/>
    </row>
    <row r="39" spans="1:13" ht="9.6" customHeight="1" x14ac:dyDescent="0.2">
      <c r="B39" s="1300" t="s">
        <v>1348</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L31" sqref="L3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Chester CUSD 139</v>
      </c>
      <c r="C1" s="2500"/>
      <c r="D1" s="2500"/>
      <c r="E1" s="2500"/>
      <c r="F1" s="2500"/>
      <c r="G1" s="2500"/>
      <c r="H1" s="2500"/>
      <c r="I1" s="2500"/>
      <c r="J1" s="2500"/>
      <c r="K1" s="2500"/>
      <c r="L1" s="1465"/>
    </row>
    <row r="2" spans="1:12" ht="12.75" customHeight="1" x14ac:dyDescent="0.2">
      <c r="B2" s="2501">
        <f>'Single Audit Cover'!E7</f>
        <v>45079139026</v>
      </c>
      <c r="C2" s="2501"/>
      <c r="D2" s="2501"/>
      <c r="E2" s="2501"/>
      <c r="F2" s="2501"/>
      <c r="G2" s="2501"/>
      <c r="H2" s="2501"/>
      <c r="I2" s="2501"/>
      <c r="J2" s="2501"/>
      <c r="K2" s="2501"/>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1950</v>
      </c>
      <c r="D8" s="1468" t="s">
        <v>2156</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L31" sqref="L31"/>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Chester CUSD 139</v>
      </c>
      <c r="C1" s="2477"/>
      <c r="D1" s="2477"/>
      <c r="E1" s="1491"/>
    </row>
    <row r="2" spans="2:5" s="1282" customFormat="1" ht="12.75" customHeight="1" x14ac:dyDescent="0.2">
      <c r="B2" s="2479">
        <f>'Single Audit Cover'!E7</f>
        <v>45079139026</v>
      </c>
      <c r="C2" s="2479"/>
      <c r="D2" s="2479"/>
      <c r="E2" s="1492"/>
    </row>
    <row r="3" spans="2:5" ht="12.75" customHeight="1" x14ac:dyDescent="0.2">
      <c r="B3" s="2493" t="s">
        <v>1867</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1868</v>
      </c>
      <c r="C5" s="328"/>
      <c r="D5" s="328"/>
      <c r="E5" s="328"/>
    </row>
    <row r="6" spans="2:5" s="1282" customFormat="1" ht="13.5" customHeight="1" x14ac:dyDescent="0.2">
      <c r="B6" s="1495" t="s">
        <v>1382</v>
      </c>
      <c r="C6" s="1495" t="s">
        <v>1381</v>
      </c>
      <c r="D6" s="1495" t="s">
        <v>1869</v>
      </c>
    </row>
    <row r="7" spans="2:5" ht="13.5" customHeight="1" x14ac:dyDescent="0.2">
      <c r="B7" s="1496"/>
      <c r="C7" s="324"/>
      <c r="D7" s="324"/>
      <c r="E7" s="324"/>
    </row>
    <row r="8" spans="2:5" ht="13.5" customHeight="1" x14ac:dyDescent="0.2">
      <c r="B8" s="1496" t="s">
        <v>2156</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1870</v>
      </c>
    </row>
    <row r="46" spans="2:5" ht="12.2" customHeight="1" x14ac:dyDescent="0.2">
      <c r="B46" s="1505" t="s">
        <v>1871</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88983285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1.8599999999999998E-2</v>
      </c>
      <c r="E10" s="356" t="s">
        <v>1062</v>
      </c>
      <c r="F10" s="355">
        <v>5.0000000000000001E-3</v>
      </c>
      <c r="G10" s="356" t="s">
        <v>1062</v>
      </c>
      <c r="H10" s="355">
        <v>2E-3</v>
      </c>
      <c r="I10" s="356" t="s">
        <v>1063</v>
      </c>
      <c r="J10" s="1754">
        <f>ROUND(D10+F10+H10,5)</f>
        <v>2.5600000000000001E-2</v>
      </c>
      <c r="K10" s="222"/>
      <c r="L10" s="355">
        <v>5.0000000000000001E-4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8740053</v>
      </c>
      <c r="E16" s="356"/>
      <c r="F16" s="1755">
        <f>SUM('Acct Summary 7-8'!C17,'Acct Summary 7-8'!D17,'Acct Summary 7-8'!F17)</f>
        <v>8211100</v>
      </c>
      <c r="G16" s="356"/>
      <c r="H16" s="1755">
        <f>SUM(D16-F16)</f>
        <v>528953</v>
      </c>
      <c r="I16" s="222"/>
      <c r="J16" s="1755">
        <f>SUM('Acct Summary 7-8'!C81,'Acct Summary 7-8'!D81,'Acct Summary 7-8'!F81,'Acct Summary 7-8'!I81)</f>
        <v>1251793</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12279693.330000002</v>
      </c>
      <c r="I31" s="368"/>
      <c r="J31" s="222"/>
      <c r="K31" s="222"/>
      <c r="L31" s="222"/>
      <c r="M31" s="222"/>
    </row>
    <row r="32" spans="1:13" ht="13.35" customHeight="1" x14ac:dyDescent="0.2">
      <c r="B32" s="369" t="s">
        <v>2075</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7595000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L31" sqref="L3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Chester CUSD 139</v>
      </c>
      <c r="E7" s="391"/>
      <c r="G7" s="252"/>
      <c r="H7" s="387"/>
      <c r="I7" s="387"/>
      <c r="J7" s="387"/>
      <c r="K7" s="387"/>
      <c r="L7" s="329"/>
      <c r="M7" s="329"/>
      <c r="N7" s="329"/>
      <c r="O7" s="329"/>
      <c r="P7" s="329"/>
    </row>
    <row r="8" spans="1:18" ht="12.75" x14ac:dyDescent="0.2">
      <c r="A8" s="329"/>
      <c r="B8" s="329"/>
      <c r="C8" s="389" t="s">
        <v>1187</v>
      </c>
      <c r="D8" s="392">
        <f>COVER!A13</f>
        <v>45079139026</v>
      </c>
      <c r="E8" s="393"/>
      <c r="G8" s="329"/>
      <c r="H8" s="329"/>
      <c r="I8" s="329"/>
      <c r="J8" s="329"/>
      <c r="K8" s="329"/>
      <c r="L8" s="329"/>
      <c r="M8" s="329"/>
      <c r="N8" s="329"/>
      <c r="O8" s="329"/>
      <c r="P8" s="329"/>
    </row>
    <row r="9" spans="1:18" ht="12.75" x14ac:dyDescent="0.2">
      <c r="A9" s="329"/>
      <c r="B9" s="329"/>
      <c r="C9" s="389" t="s">
        <v>737</v>
      </c>
      <c r="D9" s="394" t="str">
        <f>COVER!A15</f>
        <v>Randolph</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1251793</v>
      </c>
      <c r="I12" s="404"/>
      <c r="J12" s="404"/>
      <c r="K12" s="405">
        <f>TRUNC((H12/H13*100000),5)/100000</f>
        <v>0.14322487510000001</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8740053</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8211100</v>
      </c>
      <c r="I17" s="404"/>
      <c r="J17" s="416"/>
      <c r="K17" s="405">
        <f>TRUNC((H17/H18*100000),5)/100000</f>
        <v>0.93947942870000001</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8740053</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1247310</v>
      </c>
      <c r="I24" s="422"/>
      <c r="J24" s="422"/>
      <c r="K24" s="423">
        <f>TRUNC(((H24/H25*100000)/100000),2)</f>
        <v>54.68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22808.611110000002</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2068</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1936276.2816000001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2</v>
      </c>
      <c r="P31" s="216"/>
    </row>
    <row r="32" spans="1:18" s="408" customFormat="1" ht="11.25" x14ac:dyDescent="0.2">
      <c r="A32" s="218"/>
      <c r="B32" s="401"/>
      <c r="C32" s="218" t="s">
        <v>902</v>
      </c>
      <c r="D32" s="218"/>
      <c r="E32" s="218"/>
      <c r="F32" s="218"/>
      <c r="G32" s="402"/>
      <c r="H32" s="403">
        <f>'FP Info 3'!H37</f>
        <v>7595000</v>
      </c>
      <c r="I32" s="420"/>
      <c r="J32" s="420"/>
      <c r="K32" s="423">
        <f>TRUNC(100-((((H32/H33*100))*100)/100),2)</f>
        <v>38.14</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12279693.330000002</v>
      </c>
      <c r="I33" s="420"/>
      <c r="J33" s="420"/>
      <c r="K33" s="403"/>
      <c r="L33" s="218"/>
      <c r="M33" s="435" t="s">
        <v>1207</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3.25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4" activePane="bottomLeft" state="frozen"/>
      <selection activeCell="L31" sqref="L31"/>
      <selection pane="bottomLeft" activeCell="L31" sqref="L3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886495</v>
      </c>
      <c r="D4" s="466">
        <v>19888</v>
      </c>
      <c r="E4" s="466">
        <v>1046672</v>
      </c>
      <c r="F4" s="466">
        <v>103972</v>
      </c>
      <c r="G4" s="466">
        <v>58279</v>
      </c>
      <c r="H4" s="466">
        <v>1178939</v>
      </c>
      <c r="I4" s="466">
        <v>236955</v>
      </c>
      <c r="J4" s="467">
        <v>68247</v>
      </c>
      <c r="K4" s="466">
        <v>23515</v>
      </c>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v>600000</v>
      </c>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v>3380</v>
      </c>
      <c r="D11" s="467">
        <v>1103</v>
      </c>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889875</v>
      </c>
      <c r="D13" s="1759">
        <f t="shared" ref="D13:L13" si="0">SUM(D4:D12)</f>
        <v>20991</v>
      </c>
      <c r="E13" s="1759">
        <f t="shared" si="0"/>
        <v>1046672</v>
      </c>
      <c r="F13" s="1759">
        <f t="shared" si="0"/>
        <v>103972</v>
      </c>
      <c r="G13" s="1759">
        <f t="shared" si="0"/>
        <v>58279</v>
      </c>
      <c r="H13" s="1759">
        <f t="shared" si="0"/>
        <v>1178939</v>
      </c>
      <c r="I13" s="1759">
        <f t="shared" si="0"/>
        <v>836955</v>
      </c>
      <c r="J13" s="1759">
        <f t="shared" si="0"/>
        <v>68247</v>
      </c>
      <c r="K13" s="1759">
        <f t="shared" si="0"/>
        <v>23515</v>
      </c>
      <c r="L13" s="1759">
        <f t="shared" si="0"/>
        <v>0</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251280</v>
      </c>
      <c r="N16" s="484"/>
    </row>
    <row r="17" spans="1:14" s="485" customFormat="1" ht="12.75" customHeight="1" x14ac:dyDescent="0.2">
      <c r="A17" s="482" t="s">
        <v>1470</v>
      </c>
      <c r="B17" s="483">
        <v>230</v>
      </c>
      <c r="C17" s="477"/>
      <c r="D17" s="477"/>
      <c r="E17" s="477"/>
      <c r="F17" s="477"/>
      <c r="G17" s="477"/>
      <c r="H17" s="477"/>
      <c r="I17" s="477"/>
      <c r="J17" s="477"/>
      <c r="K17" s="477"/>
      <c r="L17" s="477"/>
      <c r="M17" s="467">
        <v>23096351</v>
      </c>
      <c r="N17" s="484"/>
    </row>
    <row r="18" spans="1:14" s="485" customFormat="1" ht="12.75" customHeight="1" x14ac:dyDescent="0.2">
      <c r="A18" s="482" t="s">
        <v>1471</v>
      </c>
      <c r="B18" s="483">
        <v>240</v>
      </c>
      <c r="C18" s="477"/>
      <c r="D18" s="477"/>
      <c r="E18" s="477"/>
      <c r="F18" s="477"/>
      <c r="G18" s="477"/>
      <c r="H18" s="477"/>
      <c r="I18" s="477"/>
      <c r="J18" s="477"/>
      <c r="K18" s="477"/>
      <c r="L18" s="477"/>
      <c r="M18" s="467">
        <v>1380375</v>
      </c>
      <c r="N18" s="484"/>
    </row>
    <row r="19" spans="1:14" s="485" customFormat="1" ht="12.75" customHeight="1" x14ac:dyDescent="0.2">
      <c r="A19" s="482" t="s">
        <v>1472</v>
      </c>
      <c r="B19" s="483">
        <v>250</v>
      </c>
      <c r="C19" s="477"/>
      <c r="D19" s="477"/>
      <c r="E19" s="477"/>
      <c r="F19" s="477"/>
      <c r="G19" s="477"/>
      <c r="H19" s="477"/>
      <c r="I19" s="477"/>
      <c r="J19" s="477"/>
      <c r="K19" s="477"/>
      <c r="L19" s="477"/>
      <c r="M19" s="467">
        <v>2105484</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1046672</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6548328</v>
      </c>
    </row>
    <row r="23" spans="1:14" ht="13.5" customHeight="1" thickBot="1" x14ac:dyDescent="0.25">
      <c r="A23" s="1758" t="s">
        <v>664</v>
      </c>
      <c r="B23" s="1763"/>
      <c r="C23" s="468"/>
      <c r="D23" s="468"/>
      <c r="E23" s="468"/>
      <c r="F23" s="468"/>
      <c r="G23" s="468"/>
      <c r="H23" s="468"/>
      <c r="I23" s="468"/>
      <c r="J23" s="468"/>
      <c r="K23" s="468"/>
      <c r="L23" s="468"/>
      <c r="M23" s="1710">
        <f>SUM(M15:M22)</f>
        <v>26833490</v>
      </c>
      <c r="N23" s="1710">
        <f>SUM(N21:N22)</f>
        <v>7595000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v>450000</v>
      </c>
      <c r="D25" s="478">
        <v>150000</v>
      </c>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450000</v>
      </c>
      <c r="D34" s="1762">
        <f t="shared" ref="D34:K34" si="1">SUM(D25:D33)</f>
        <v>150000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7595000</v>
      </c>
    </row>
    <row r="37" spans="1:14" ht="13.5" thickBot="1" x14ac:dyDescent="0.25">
      <c r="A37" s="1758" t="s">
        <v>674</v>
      </c>
      <c r="B37" s="1763"/>
      <c r="C37" s="477"/>
      <c r="D37" s="477"/>
      <c r="E37" s="477"/>
      <c r="F37" s="477"/>
      <c r="G37" s="477"/>
      <c r="H37" s="477"/>
      <c r="I37" s="477"/>
      <c r="J37" s="477"/>
      <c r="K37" s="477"/>
      <c r="L37" s="480"/>
      <c r="M37" s="468"/>
      <c r="N37" s="1710">
        <f>SUM(N36:N36)</f>
        <v>7595000</v>
      </c>
    </row>
    <row r="38" spans="1:14" s="329" customFormat="1" ht="13.5" customHeight="1" thickTop="1" x14ac:dyDescent="0.2">
      <c r="A38" s="496" t="s">
        <v>440</v>
      </c>
      <c r="B38" s="483">
        <v>714</v>
      </c>
      <c r="C38" s="466"/>
      <c r="D38" s="466"/>
      <c r="E38" s="466"/>
      <c r="F38" s="466"/>
      <c r="G38" s="466">
        <v>0</v>
      </c>
      <c r="H38" s="466"/>
      <c r="I38" s="466"/>
      <c r="J38" s="467"/>
      <c r="K38" s="466"/>
      <c r="L38" s="481"/>
      <c r="M38" s="497"/>
      <c r="N38" s="497"/>
    </row>
    <row r="39" spans="1:14" s="329" customFormat="1" ht="13.5" customHeight="1" x14ac:dyDescent="0.2">
      <c r="A39" s="496" t="s">
        <v>360</v>
      </c>
      <c r="B39" s="483">
        <v>730</v>
      </c>
      <c r="C39" s="466">
        <v>439875</v>
      </c>
      <c r="D39" s="466">
        <v>-129009</v>
      </c>
      <c r="E39" s="466">
        <v>1046672</v>
      </c>
      <c r="F39" s="466">
        <v>103972</v>
      </c>
      <c r="G39" s="466">
        <v>58279</v>
      </c>
      <c r="H39" s="466">
        <v>1178939</v>
      </c>
      <c r="I39" s="466">
        <v>836955</v>
      </c>
      <c r="J39" s="467">
        <v>68247</v>
      </c>
      <c r="K39" s="466">
        <v>23515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26833490</v>
      </c>
      <c r="N40" s="497"/>
    </row>
    <row r="41" spans="1:14" ht="13.5" customHeight="1" thickBot="1" x14ac:dyDescent="0.25">
      <c r="A41" s="1758" t="s">
        <v>676</v>
      </c>
      <c r="B41" s="1728"/>
      <c r="C41" s="1710">
        <f>(SUM(C34,C37,C38,C39))</f>
        <v>889875</v>
      </c>
      <c r="D41" s="1710">
        <f t="shared" ref="D41:L41" si="2">SUM(D34,D37,D38:D39)</f>
        <v>20991</v>
      </c>
      <c r="E41" s="1710">
        <f t="shared" si="2"/>
        <v>1046672</v>
      </c>
      <c r="F41" s="1710">
        <f t="shared" si="2"/>
        <v>103972</v>
      </c>
      <c r="G41" s="1710">
        <f t="shared" si="2"/>
        <v>58279</v>
      </c>
      <c r="H41" s="1710">
        <f t="shared" si="2"/>
        <v>1178939</v>
      </c>
      <c r="I41" s="1710">
        <f t="shared" si="2"/>
        <v>836955</v>
      </c>
      <c r="J41" s="1710">
        <f t="shared" si="2"/>
        <v>68247</v>
      </c>
      <c r="K41" s="1710">
        <f t="shared" si="2"/>
        <v>23515</v>
      </c>
      <c r="L41" s="1710">
        <f t="shared" si="2"/>
        <v>0</v>
      </c>
      <c r="M41" s="1710">
        <f>SUM(M40)</f>
        <v>26833490</v>
      </c>
      <c r="N41" s="1710">
        <f>SUM(N37)</f>
        <v>7595000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L31" sqref="L31"/>
      <selection pane="bottomLeft" activeCell="L31" sqref="L3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3" t="s">
        <v>1579</v>
      </c>
      <c r="B4" s="1954">
        <v>1000</v>
      </c>
      <c r="C4" s="1764">
        <f>'Revenues 9-14'!C109</f>
        <v>2187681</v>
      </c>
      <c r="D4" s="1764">
        <f>'Revenues 9-14'!D109</f>
        <v>445625</v>
      </c>
      <c r="E4" s="1764">
        <f>'Revenues 9-14'!E109</f>
        <v>1392041</v>
      </c>
      <c r="F4" s="1764">
        <f>'Revenues 9-14'!F109</f>
        <v>176299</v>
      </c>
      <c r="G4" s="1764">
        <f>'Revenues 9-14'!G109</f>
        <v>198053</v>
      </c>
      <c r="H4" s="1764">
        <f>'Revenues 9-14'!H109</f>
        <v>0</v>
      </c>
      <c r="I4" s="1764">
        <f>'Revenues 9-14'!I109</f>
        <v>38664</v>
      </c>
      <c r="J4" s="1764">
        <f>'Revenues 9-14'!J109</f>
        <v>113153</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4469674</v>
      </c>
      <c r="D6" s="1765">
        <f>'Revenues 9-14'!D173</f>
        <v>145000</v>
      </c>
      <c r="E6" s="1765">
        <f>'Revenues 9-14'!E173</f>
        <v>0</v>
      </c>
      <c r="F6" s="1765">
        <f>'Revenues 9-14'!F173</f>
        <v>403493</v>
      </c>
      <c r="G6" s="1765">
        <f>'Revenues 9-14'!G173</f>
        <v>13325</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873617</v>
      </c>
      <c r="D7" s="1765">
        <f>'Revenues 9-14'!D274</f>
        <v>0</v>
      </c>
      <c r="E7" s="1765">
        <f>'Revenues 9-14'!E274</f>
        <v>0</v>
      </c>
      <c r="F7" s="1765">
        <f>'Revenues 9-14'!F274</f>
        <v>0</v>
      </c>
      <c r="G7" s="1765">
        <f>'Revenues 9-14'!G274</f>
        <v>38000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7530972</v>
      </c>
      <c r="D8" s="1710">
        <f t="shared" ref="D8:K8" si="0">SUM(D4:D7)</f>
        <v>590625</v>
      </c>
      <c r="E8" s="1710">
        <f t="shared" si="0"/>
        <v>1392041</v>
      </c>
      <c r="F8" s="1710">
        <f t="shared" si="0"/>
        <v>579792</v>
      </c>
      <c r="G8" s="1710">
        <f t="shared" si="0"/>
        <v>249378</v>
      </c>
      <c r="H8" s="1710">
        <f t="shared" si="0"/>
        <v>0</v>
      </c>
      <c r="I8" s="1710">
        <f t="shared" si="0"/>
        <v>38664</v>
      </c>
      <c r="J8" s="1710">
        <f t="shared" si="0"/>
        <v>113153</v>
      </c>
      <c r="K8" s="1710">
        <f t="shared" si="0"/>
        <v>0</v>
      </c>
      <c r="L8" s="347"/>
    </row>
    <row r="9" spans="1:13" ht="15.75" thickTop="1" x14ac:dyDescent="0.2">
      <c r="A9" s="514" t="s">
        <v>1752</v>
      </c>
      <c r="B9" s="515">
        <v>3998</v>
      </c>
      <c r="C9" s="481">
        <v>2689480</v>
      </c>
      <c r="D9" s="516"/>
      <c r="E9" s="481"/>
      <c r="F9" s="481"/>
      <c r="G9" s="517"/>
      <c r="H9" s="481"/>
      <c r="I9" s="509" t="s">
        <v>1231</v>
      </c>
      <c r="J9" s="478"/>
      <c r="K9" s="481"/>
      <c r="L9" s="347"/>
    </row>
    <row r="10" spans="1:13" s="519" customFormat="1" ht="13.5" thickBot="1" x14ac:dyDescent="0.25">
      <c r="A10" s="1758" t="s">
        <v>1235</v>
      </c>
      <c r="B10" s="1731"/>
      <c r="C10" s="1710">
        <f>SUM(C8:C9)</f>
        <v>10220452</v>
      </c>
      <c r="D10" s="1710">
        <f t="shared" ref="D10:K10" si="1">SUM(D8:D9)</f>
        <v>590625</v>
      </c>
      <c r="E10" s="1710">
        <f t="shared" si="1"/>
        <v>1392041</v>
      </c>
      <c r="F10" s="1710">
        <f t="shared" si="1"/>
        <v>579792</v>
      </c>
      <c r="G10" s="1710">
        <f t="shared" si="1"/>
        <v>249378</v>
      </c>
      <c r="H10" s="1710">
        <f t="shared" si="1"/>
        <v>0</v>
      </c>
      <c r="I10" s="1710">
        <f t="shared" si="1"/>
        <v>38664</v>
      </c>
      <c r="J10" s="1710">
        <f t="shared" si="1"/>
        <v>113153</v>
      </c>
      <c r="K10" s="1710">
        <f t="shared" si="1"/>
        <v>0</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4763511</v>
      </c>
      <c r="D12" s="520" t="s">
        <v>1231</v>
      </c>
      <c r="E12" s="468" t="s">
        <v>1231</v>
      </c>
      <c r="F12" s="468" t="s">
        <v>1231</v>
      </c>
      <c r="G12" s="1764">
        <f>'Expenditures 15-22'!K229</f>
        <v>121343</v>
      </c>
      <c r="H12" s="521"/>
      <c r="I12" s="468" t="s">
        <v>1231</v>
      </c>
      <c r="J12" s="468" t="s">
        <v>1231</v>
      </c>
      <c r="K12" s="521" t="s">
        <v>1231</v>
      </c>
      <c r="L12" s="347"/>
    </row>
    <row r="13" spans="1:13" ht="15.75" customHeight="1" x14ac:dyDescent="0.2">
      <c r="A13" s="1598" t="s">
        <v>477</v>
      </c>
      <c r="B13" s="1600">
        <v>2000</v>
      </c>
      <c r="C13" s="1765">
        <f>'Expenditures 15-22'!K74</f>
        <v>1456566</v>
      </c>
      <c r="D13" s="1765">
        <f>'Expenditures 15-22'!K129</f>
        <v>611747</v>
      </c>
      <c r="E13" s="469" t="s">
        <v>1231</v>
      </c>
      <c r="F13" s="1765">
        <f>'Expenditures 15-22'!K184</f>
        <v>608434</v>
      </c>
      <c r="G13" s="1765">
        <f>'Expenditures 15-22'!K279</f>
        <v>108123</v>
      </c>
      <c r="H13" s="1765">
        <f>'Expenditures 15-22'!K303</f>
        <v>121181</v>
      </c>
      <c r="I13" s="468" t="s">
        <v>1231</v>
      </c>
      <c r="J13" s="1765">
        <f>'Expenditures 15-22'!K330</f>
        <v>114679</v>
      </c>
      <c r="K13" s="1769">
        <f>'Expenditures 15-22'!K352</f>
        <v>0</v>
      </c>
      <c r="L13" s="347"/>
    </row>
    <row r="14" spans="1:13" ht="15.75" customHeight="1" x14ac:dyDescent="0.2">
      <c r="A14" s="1598" t="s">
        <v>469</v>
      </c>
      <c r="B14" s="1600">
        <v>3000</v>
      </c>
      <c r="C14" s="1765">
        <f>'Expenditures 15-22'!K75</f>
        <v>101019</v>
      </c>
      <c r="D14" s="1765">
        <f>'Expenditures 15-22'!K130</f>
        <v>0</v>
      </c>
      <c r="E14" s="520" t="s">
        <v>1231</v>
      </c>
      <c r="F14" s="1765">
        <f>'Expenditures 15-22'!K185</f>
        <v>0</v>
      </c>
      <c r="G14" s="1765">
        <f>'Expenditures 15-22'!K280</f>
        <v>15349</v>
      </c>
      <c r="H14" s="512"/>
      <c r="I14" s="468" t="s">
        <v>1231</v>
      </c>
      <c r="J14" s="468" t="s">
        <v>1231</v>
      </c>
      <c r="K14" s="512" t="s">
        <v>1231</v>
      </c>
      <c r="L14" s="347"/>
    </row>
    <row r="15" spans="1:13" ht="15.75" customHeight="1" x14ac:dyDescent="0.2">
      <c r="A15" s="1598" t="s">
        <v>109</v>
      </c>
      <c r="B15" s="1600">
        <v>4000</v>
      </c>
      <c r="C15" s="1765">
        <f>'Expenditures 15-22'!K102</f>
        <v>669823</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900771</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6990919</v>
      </c>
      <c r="D17" s="1710">
        <f t="shared" si="2"/>
        <v>611747</v>
      </c>
      <c r="E17" s="1710">
        <f t="shared" si="2"/>
        <v>900771</v>
      </c>
      <c r="F17" s="1710">
        <f t="shared" si="2"/>
        <v>608434</v>
      </c>
      <c r="G17" s="1710">
        <f t="shared" si="2"/>
        <v>244815</v>
      </c>
      <c r="H17" s="1710">
        <f t="shared" si="2"/>
        <v>121181</v>
      </c>
      <c r="I17" s="468"/>
      <c r="J17" s="1710">
        <f>SUM(J12:J16)</f>
        <v>114679</v>
      </c>
      <c r="K17" s="1710">
        <f>SUM(K12:K16)</f>
        <v>0</v>
      </c>
      <c r="L17" s="347"/>
    </row>
    <row r="18" spans="1:12" ht="15" customHeight="1" thickTop="1" x14ac:dyDescent="0.2">
      <c r="A18" s="1766" t="s">
        <v>1753</v>
      </c>
      <c r="B18" s="1767">
        <v>4180</v>
      </c>
      <c r="C18" s="1764">
        <f t="shared" ref="C18:H18" si="3">C9</f>
        <v>2689480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9680399</v>
      </c>
      <c r="D19" s="1710">
        <f t="shared" si="4"/>
        <v>611747</v>
      </c>
      <c r="E19" s="1710">
        <f t="shared" si="4"/>
        <v>900771</v>
      </c>
      <c r="F19" s="1710">
        <f t="shared" si="4"/>
        <v>608434</v>
      </c>
      <c r="G19" s="1710">
        <f t="shared" si="4"/>
        <v>244815</v>
      </c>
      <c r="H19" s="1710">
        <f t="shared" si="4"/>
        <v>121181</v>
      </c>
      <c r="I19" s="468"/>
      <c r="J19" s="1710">
        <f>SUM(J17:J18)</f>
        <v>114679</v>
      </c>
      <c r="K19" s="1710">
        <f>SUM(K17:K18)</f>
        <v>0</v>
      </c>
      <c r="L19" s="347"/>
    </row>
    <row r="20" spans="1:12" ht="16.5" thickTop="1" thickBot="1" x14ac:dyDescent="0.25">
      <c r="A20" s="2143" t="s">
        <v>1754</v>
      </c>
      <c r="B20" s="2144"/>
      <c r="C20" s="1768">
        <f>C8-C17</f>
        <v>540053</v>
      </c>
      <c r="D20" s="1768">
        <f t="shared" ref="D20:K20" si="5">D8-D17</f>
        <v>-21122</v>
      </c>
      <c r="E20" s="1768">
        <f t="shared" si="5"/>
        <v>491270</v>
      </c>
      <c r="F20" s="1768">
        <f t="shared" si="5"/>
        <v>-28642</v>
      </c>
      <c r="G20" s="1768">
        <f t="shared" si="5"/>
        <v>4563</v>
      </c>
      <c r="H20" s="1768">
        <f t="shared" si="5"/>
        <v>-121181</v>
      </c>
      <c r="I20" s="1768">
        <f t="shared" si="5"/>
        <v>38664</v>
      </c>
      <c r="J20" s="1768">
        <f t="shared" si="5"/>
        <v>-1526</v>
      </c>
      <c r="K20" s="1768">
        <f t="shared" si="5"/>
        <v>0</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v>112156</v>
      </c>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112156</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v>112156</v>
      </c>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112156</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112156</v>
      </c>
      <c r="F77" s="1725">
        <f t="shared" si="8"/>
        <v>0</v>
      </c>
      <c r="G77" s="1725">
        <f t="shared" si="8"/>
        <v>0</v>
      </c>
      <c r="H77" s="1725">
        <f t="shared" si="8"/>
        <v>-112156</v>
      </c>
      <c r="I77" s="1725">
        <f t="shared" si="8"/>
        <v>0</v>
      </c>
      <c r="J77" s="1725">
        <f t="shared" si="8"/>
        <v>0</v>
      </c>
      <c r="K77" s="1725">
        <f t="shared" si="8"/>
        <v>0</v>
      </c>
      <c r="L77" s="347"/>
    </row>
    <row r="78" spans="1:12" ht="21.75" customHeight="1" thickTop="1" thickBot="1" x14ac:dyDescent="0.25">
      <c r="A78" s="2139" t="s">
        <v>618</v>
      </c>
      <c r="B78" s="2140"/>
      <c r="C78" s="1724">
        <f t="shared" ref="C78:K78" si="9">C20+C77</f>
        <v>540053</v>
      </c>
      <c r="D78" s="1724">
        <f t="shared" si="9"/>
        <v>-21122</v>
      </c>
      <c r="E78" s="1724">
        <f t="shared" si="9"/>
        <v>603426</v>
      </c>
      <c r="F78" s="1724">
        <f t="shared" si="9"/>
        <v>-28642</v>
      </c>
      <c r="G78" s="1724">
        <f t="shared" si="9"/>
        <v>4563</v>
      </c>
      <c r="H78" s="1724">
        <f t="shared" si="9"/>
        <v>-233337</v>
      </c>
      <c r="I78" s="1724">
        <f t="shared" si="9"/>
        <v>38664</v>
      </c>
      <c r="J78" s="1724">
        <f t="shared" si="9"/>
        <v>-1526</v>
      </c>
      <c r="K78" s="1724">
        <f t="shared" si="9"/>
        <v>0</v>
      </c>
      <c r="L78" s="533"/>
    </row>
    <row r="79" spans="1:12" ht="13.5" thickTop="1" x14ac:dyDescent="0.2">
      <c r="A79" s="1516" t="s">
        <v>2069</v>
      </c>
      <c r="B79" s="534"/>
      <c r="C79" s="478">
        <v>-100178</v>
      </c>
      <c r="D79" s="535">
        <v>-107887</v>
      </c>
      <c r="E79" s="535">
        <v>443246</v>
      </c>
      <c r="F79" s="535">
        <v>132614</v>
      </c>
      <c r="G79" s="535">
        <v>53716</v>
      </c>
      <c r="H79" s="535">
        <v>1412276</v>
      </c>
      <c r="I79" s="535">
        <v>798291</v>
      </c>
      <c r="J79" s="535">
        <v>69773</v>
      </c>
      <c r="K79" s="535">
        <v>23515</v>
      </c>
      <c r="L79" s="347"/>
    </row>
    <row r="80" spans="1:12" x14ac:dyDescent="0.2">
      <c r="A80" s="2145" t="s">
        <v>1896</v>
      </c>
      <c r="B80" s="2146"/>
      <c r="C80" s="467"/>
      <c r="D80" s="467"/>
      <c r="E80" s="467"/>
      <c r="F80" s="467"/>
      <c r="G80" s="467"/>
      <c r="H80" s="467"/>
      <c r="I80" s="467"/>
      <c r="J80" s="467"/>
      <c r="K80" s="467"/>
      <c r="L80" s="347"/>
    </row>
    <row r="81" spans="1:12" ht="13.5" thickBot="1" x14ac:dyDescent="0.25">
      <c r="A81" s="2137" t="s">
        <v>2070</v>
      </c>
      <c r="B81" s="2138"/>
      <c r="C81" s="1710">
        <f>(SUM(C78:C80))</f>
        <v>439875</v>
      </c>
      <c r="D81" s="1710">
        <f>SUM(D78:D80)</f>
        <v>-129009</v>
      </c>
      <c r="E81" s="1710">
        <f t="shared" ref="E81:K81" si="10">SUM(E78:E80)</f>
        <v>1046672</v>
      </c>
      <c r="F81" s="1710">
        <f t="shared" si="10"/>
        <v>103972</v>
      </c>
      <c r="G81" s="1710">
        <f t="shared" si="10"/>
        <v>58279</v>
      </c>
      <c r="H81" s="1710">
        <f t="shared" si="10"/>
        <v>1178939</v>
      </c>
      <c r="I81" s="1710">
        <f t="shared" si="10"/>
        <v>836955</v>
      </c>
      <c r="J81" s="1710">
        <f t="shared" si="10"/>
        <v>68247</v>
      </c>
      <c r="K81" s="1710">
        <f t="shared" si="10"/>
        <v>23515</v>
      </c>
      <c r="L81" s="347"/>
    </row>
    <row r="82" spans="1:12" ht="0.75" customHeight="1" thickTop="1" thickBot="1" x14ac:dyDescent="0.25">
      <c r="A82" s="536" t="s">
        <v>361</v>
      </c>
      <c r="B82" s="537"/>
      <c r="C82" s="538">
        <f>(C81-C79)</f>
        <v>540053</v>
      </c>
      <c r="D82" s="538">
        <f t="shared" ref="D82:K82" si="11">(D81-D79)</f>
        <v>-21122</v>
      </c>
      <c r="E82" s="538">
        <f t="shared" si="11"/>
        <v>603426</v>
      </c>
      <c r="F82" s="538">
        <f t="shared" si="11"/>
        <v>-28642</v>
      </c>
      <c r="G82" s="538">
        <f t="shared" si="11"/>
        <v>4563</v>
      </c>
      <c r="H82" s="538">
        <f t="shared" si="11"/>
        <v>-233337</v>
      </c>
      <c r="I82" s="538">
        <f t="shared" si="11"/>
        <v>38664</v>
      </c>
      <c r="J82" s="538">
        <f t="shared" si="11"/>
        <v>-1526</v>
      </c>
      <c r="K82" s="538">
        <f t="shared" si="11"/>
        <v>0</v>
      </c>
    </row>
    <row r="83" spans="1:12" ht="14.25" hidden="1" thickTop="1" thickBot="1" x14ac:dyDescent="0.25">
      <c r="A83" s="539" t="s">
        <v>362</v>
      </c>
      <c r="B83" s="464"/>
      <c r="C83" s="540">
        <f>C82/C81</f>
        <v>1.2277419721511793</v>
      </c>
      <c r="D83" s="540">
        <f t="shared" ref="D83:K83" si="12">D82/D81</f>
        <v>0.16372501143331086</v>
      </c>
      <c r="E83" s="540">
        <f t="shared" si="12"/>
        <v>0.57651871837595736</v>
      </c>
      <c r="F83" s="540">
        <f t="shared" si="12"/>
        <v>-0.27547801331127614</v>
      </c>
      <c r="G83" s="540">
        <f t="shared" si="12"/>
        <v>7.8295784073165287E-2</v>
      </c>
      <c r="H83" s="540">
        <f t="shared" si="12"/>
        <v>-0.19792118167267347</v>
      </c>
      <c r="I83" s="540">
        <f t="shared" si="12"/>
        <v>4.619603204473359E-2</v>
      </c>
      <c r="J83" s="540">
        <f t="shared" si="12"/>
        <v>-2.2359957214236524E-2</v>
      </c>
      <c r="K83" s="540">
        <f t="shared" si="12"/>
        <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L31" sqref="L31"/>
      <selection pane="bottomLeft" activeCell="L31" sqref="L31"/>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1903</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1613657</v>
      </c>
      <c r="D5" s="481">
        <v>438898</v>
      </c>
      <c r="E5" s="466">
        <v>735253</v>
      </c>
      <c r="F5" s="548">
        <v>175608</v>
      </c>
      <c r="G5" s="466">
        <v>112709</v>
      </c>
      <c r="H5" s="466"/>
      <c r="I5" s="466">
        <v>38513</v>
      </c>
      <c r="J5" s="467">
        <v>112709</v>
      </c>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v>37574</v>
      </c>
      <c r="D7" s="466"/>
      <c r="E7" s="468"/>
      <c r="F7" s="467"/>
      <c r="G7" s="467"/>
      <c r="H7" s="467"/>
      <c r="I7" s="468"/>
      <c r="J7" s="468"/>
      <c r="K7" s="468"/>
    </row>
    <row r="8" spans="1:12" x14ac:dyDescent="0.2">
      <c r="A8" s="463" t="s">
        <v>433</v>
      </c>
      <c r="B8" s="470">
        <v>1150</v>
      </c>
      <c r="C8" s="475"/>
      <c r="D8" s="475"/>
      <c r="E8" s="477"/>
      <c r="F8" s="477"/>
      <c r="G8" s="481">
        <v>75603</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1651231</v>
      </c>
      <c r="D12" s="1729">
        <f t="shared" si="0"/>
        <v>438898</v>
      </c>
      <c r="E12" s="1729">
        <f t="shared" si="0"/>
        <v>735253</v>
      </c>
      <c r="F12" s="1729">
        <f t="shared" si="0"/>
        <v>175608</v>
      </c>
      <c r="G12" s="1729">
        <f t="shared" si="0"/>
        <v>188312</v>
      </c>
      <c r="H12" s="1729">
        <f t="shared" si="0"/>
        <v>0</v>
      </c>
      <c r="I12" s="1729">
        <f t="shared" si="0"/>
        <v>38513</v>
      </c>
      <c r="J12" s="1729">
        <f t="shared" si="0"/>
        <v>112709</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6497</v>
      </c>
      <c r="D14" s="466">
        <v>1727</v>
      </c>
      <c r="E14" s="466">
        <v>2893</v>
      </c>
      <c r="F14" s="466">
        <v>691</v>
      </c>
      <c r="G14" s="466">
        <v>741</v>
      </c>
      <c r="H14" s="466"/>
      <c r="I14" s="466">
        <v>151</v>
      </c>
      <c r="J14" s="467">
        <v>444</v>
      </c>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166866</v>
      </c>
      <c r="D16" s="466"/>
      <c r="E16" s="466"/>
      <c r="F16" s="466"/>
      <c r="G16" s="466">
        <v>9000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173363</v>
      </c>
      <c r="D18" s="1732">
        <f t="shared" ref="D18:K18" si="1">SUM(D14:D17)</f>
        <v>1727</v>
      </c>
      <c r="E18" s="1732">
        <f t="shared" si="1"/>
        <v>2893</v>
      </c>
      <c r="F18" s="1732">
        <f t="shared" si="1"/>
        <v>691</v>
      </c>
      <c r="G18" s="1732">
        <f t="shared" si="1"/>
        <v>9741</v>
      </c>
      <c r="H18" s="1732">
        <f t="shared" si="1"/>
        <v>0</v>
      </c>
      <c r="I18" s="1732">
        <f t="shared" si="1"/>
        <v>151</v>
      </c>
      <c r="J18" s="1732">
        <f t="shared" si="1"/>
        <v>444</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10223</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10223</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158754</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7692</v>
      </c>
      <c r="D73" s="468"/>
      <c r="E73" s="468"/>
      <c r="F73" s="468"/>
      <c r="G73" s="468"/>
      <c r="H73" s="468"/>
      <c r="I73" s="468"/>
      <c r="J73" s="468"/>
      <c r="K73" s="468"/>
    </row>
    <row r="74" spans="1:11" ht="12.75" customHeight="1" x14ac:dyDescent="0.2">
      <c r="A74" s="463" t="s">
        <v>25</v>
      </c>
      <c r="B74" s="470">
        <v>1690</v>
      </c>
      <c r="C74" s="551">
        <v>11150</v>
      </c>
      <c r="D74" s="468"/>
      <c r="E74" s="468"/>
      <c r="F74" s="468"/>
      <c r="G74" s="468"/>
      <c r="H74" s="468"/>
      <c r="I74" s="468"/>
      <c r="J74" s="468"/>
      <c r="K74" s="468"/>
    </row>
    <row r="75" spans="1:11" ht="12.75" customHeight="1" thickBot="1" x14ac:dyDescent="0.25">
      <c r="A75" s="1730" t="s">
        <v>569</v>
      </c>
      <c r="B75" s="1731"/>
      <c r="C75" s="1710">
        <f>SUM(C69:C74)</f>
        <v>177596</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35289</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13526</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48815</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44558</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44558</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45000</v>
      </c>
      <c r="D96" s="551">
        <v>5000</v>
      </c>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12398</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v>653895</v>
      </c>
      <c r="F103" s="468"/>
      <c r="G103" s="468"/>
      <c r="H103" s="489"/>
      <c r="I103" s="468"/>
      <c r="J103" s="510"/>
      <c r="K103" s="510"/>
    </row>
    <row r="104" spans="1:12" ht="12.75" customHeight="1" x14ac:dyDescent="0.2">
      <c r="A104" s="463" t="s">
        <v>885</v>
      </c>
      <c r="B104" s="470">
        <v>1991</v>
      </c>
      <c r="C104" s="489">
        <v>16274</v>
      </c>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8223</v>
      </c>
      <c r="D107" s="466"/>
      <c r="E107" s="466"/>
      <c r="F107" s="466"/>
      <c r="G107" s="466"/>
      <c r="H107" s="466"/>
      <c r="I107" s="466"/>
      <c r="J107" s="467"/>
      <c r="K107" s="466"/>
    </row>
    <row r="108" spans="1:12" ht="12.75" customHeight="1" thickBot="1" x14ac:dyDescent="0.25">
      <c r="A108" s="1730" t="s">
        <v>508</v>
      </c>
      <c r="B108" s="1734"/>
      <c r="C108" s="1729">
        <f>SUM(C95:C107)</f>
        <v>81895</v>
      </c>
      <c r="D108" s="1729">
        <f t="shared" ref="D108:K108" si="3">SUM(D95:D107)</f>
        <v>5000</v>
      </c>
      <c r="E108" s="1729">
        <f t="shared" si="3"/>
        <v>653895</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2187681</v>
      </c>
      <c r="D109" s="1737">
        <f t="shared" si="4"/>
        <v>445625</v>
      </c>
      <c r="E109" s="1737">
        <f t="shared" si="4"/>
        <v>1392041</v>
      </c>
      <c r="F109" s="1737">
        <f t="shared" si="4"/>
        <v>176299</v>
      </c>
      <c r="G109" s="1737">
        <f t="shared" si="4"/>
        <v>198053</v>
      </c>
      <c r="H109" s="1737">
        <f t="shared" si="4"/>
        <v>0</v>
      </c>
      <c r="I109" s="1737">
        <f t="shared" si="4"/>
        <v>38664</v>
      </c>
      <c r="J109" s="1737">
        <f t="shared" si="4"/>
        <v>113153</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3885034</v>
      </c>
      <c r="D117" s="481">
        <v>145000</v>
      </c>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3885034</v>
      </c>
      <c r="D121" s="1729">
        <f t="shared" si="5"/>
        <v>145000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78946</v>
      </c>
      <c r="D124" s="561"/>
      <c r="E124" s="468"/>
      <c r="F124" s="548"/>
      <c r="G124" s="468"/>
      <c r="H124" s="468"/>
      <c r="I124" s="468"/>
      <c r="J124" s="468"/>
      <c r="K124" s="468"/>
    </row>
    <row r="125" spans="1:11" ht="12.75" customHeight="1" x14ac:dyDescent="0.2">
      <c r="A125" s="463" t="s">
        <v>1521</v>
      </c>
      <c r="B125" s="562">
        <v>3105</v>
      </c>
      <c r="C125" s="466">
        <v>62203</v>
      </c>
      <c r="D125" s="561"/>
      <c r="E125" s="468"/>
      <c r="F125" s="466"/>
      <c r="G125" s="468"/>
      <c r="H125" s="468"/>
      <c r="I125" s="468"/>
      <c r="J125" s="468"/>
      <c r="K125" s="468"/>
    </row>
    <row r="126" spans="1:11" ht="12.75" customHeight="1" x14ac:dyDescent="0.2">
      <c r="A126" s="463" t="s">
        <v>922</v>
      </c>
      <c r="B126" s="562">
        <v>3110</v>
      </c>
      <c r="C126" s="551">
        <v>87265</v>
      </c>
      <c r="D126" s="466"/>
      <c r="E126" s="468"/>
      <c r="F126" s="466"/>
      <c r="G126" s="468"/>
      <c r="H126" s="468"/>
      <c r="I126" s="468"/>
      <c r="J126" s="468"/>
      <c r="K126" s="468"/>
    </row>
    <row r="127" spans="1:11" ht="12.75" customHeight="1" x14ac:dyDescent="0.2">
      <c r="A127" s="463" t="s">
        <v>107</v>
      </c>
      <c r="B127" s="562">
        <v>3120</v>
      </c>
      <c r="C127" s="466">
        <v>8203</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4260</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240877</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6637</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6637</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3471</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14484</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291520</v>
      </c>
      <c r="G151" s="467"/>
      <c r="H151" s="468"/>
      <c r="I151" s="468"/>
      <c r="J151" s="468"/>
      <c r="K151" s="468"/>
    </row>
    <row r="152" spans="1:11" ht="12.75" customHeight="1" x14ac:dyDescent="0.2">
      <c r="A152" s="463" t="s">
        <v>1117</v>
      </c>
      <c r="B152" s="562">
        <v>3510</v>
      </c>
      <c r="C152" s="551"/>
      <c r="D152" s="466"/>
      <c r="E152" s="561"/>
      <c r="F152" s="466">
        <v>96973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388493</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v>6000</v>
      </c>
      <c r="D157" s="468"/>
      <c r="E157" s="561"/>
      <c r="F157" s="576"/>
      <c r="G157" s="576"/>
      <c r="H157" s="468"/>
      <c r="I157" s="468"/>
      <c r="J157" s="468"/>
      <c r="K157" s="468"/>
    </row>
    <row r="158" spans="1:11" ht="12.75" customHeight="1" thickTop="1" thickBot="1" x14ac:dyDescent="0.25">
      <c r="A158" s="1522" t="s">
        <v>1111</v>
      </c>
      <c r="B158" s="574">
        <v>3705</v>
      </c>
      <c r="C158" s="576">
        <v>311671</v>
      </c>
      <c r="D158" s="578"/>
      <c r="E158" s="561"/>
      <c r="F158" s="576">
        <v>15000</v>
      </c>
      <c r="G158" s="576">
        <v>13325</v>
      </c>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584640</v>
      </c>
      <c r="D172" s="1744">
        <f t="shared" si="6"/>
        <v>0</v>
      </c>
      <c r="E172" s="1744">
        <f t="shared" si="6"/>
        <v>0</v>
      </c>
      <c r="F172" s="1744">
        <f t="shared" si="6"/>
        <v>403493</v>
      </c>
      <c r="G172" s="1744">
        <f t="shared" si="6"/>
        <v>13325</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4469674</v>
      </c>
      <c r="D173" s="1737">
        <f>SUM(D121,D172)</f>
        <v>145000</v>
      </c>
      <c r="E173" s="1737">
        <f>SUM(E121,E172)</f>
        <v>0</v>
      </c>
      <c r="F173" s="1737">
        <f t="shared" ref="F173:K173" si="7">SUM(F121,F172)</f>
        <v>403493</v>
      </c>
      <c r="G173" s="1737">
        <f t="shared" si="7"/>
        <v>13325</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1904</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214059</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44048</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258107</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382377</v>
      </c>
      <c r="D203" s="466"/>
      <c r="E203" s="468"/>
      <c r="F203" s="466"/>
      <c r="G203" s="466">
        <v>38000</v>
      </c>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382377</v>
      </c>
      <c r="D211" s="1729">
        <f>SUM(D203:D210)</f>
        <v>0</v>
      </c>
      <c r="E211" s="468"/>
      <c r="F211" s="1729">
        <f>SUM(F203:F210)</f>
        <v>0</v>
      </c>
      <c r="G211" s="1729">
        <f>SUM(G203:G210)</f>
        <v>38000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193908</v>
      </c>
      <c r="D220" s="466"/>
      <c r="E220" s="468"/>
      <c r="F220" s="466"/>
      <c r="G220" s="466"/>
      <c r="H220" s="468"/>
      <c r="I220" s="468"/>
      <c r="J220" s="468"/>
      <c r="K220" s="468"/>
    </row>
    <row r="221" spans="1:11" ht="12.75" customHeight="1" x14ac:dyDescent="0.2">
      <c r="A221" s="463" t="s">
        <v>1114</v>
      </c>
      <c r="B221" s="470">
        <v>4625</v>
      </c>
      <c r="C221" s="551">
        <v>3306</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197214</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v>877</v>
      </c>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877</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21315</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12912</v>
      </c>
      <c r="D270" s="576"/>
      <c r="E270" s="468"/>
      <c r="F270" s="576"/>
      <c r="G270" s="576"/>
      <c r="H270" s="468"/>
      <c r="I270" s="468"/>
      <c r="J270" s="468"/>
      <c r="K270" s="468"/>
    </row>
    <row r="271" spans="1:11" ht="12.75" customHeight="1" thickTop="1" thickBot="1" x14ac:dyDescent="0.25">
      <c r="A271" s="463" t="s">
        <v>395</v>
      </c>
      <c r="B271" s="470">
        <v>4992</v>
      </c>
      <c r="C271" s="575">
        <v>815</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873617</v>
      </c>
      <c r="D273" s="1737">
        <f t="shared" si="10"/>
        <v>0</v>
      </c>
      <c r="E273" s="1737">
        <f t="shared" si="10"/>
        <v>0</v>
      </c>
      <c r="F273" s="1737">
        <f t="shared" si="10"/>
        <v>0</v>
      </c>
      <c r="G273" s="1737">
        <f t="shared" si="10"/>
        <v>38000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873617</v>
      </c>
      <c r="D274" s="1737">
        <f>SUM(D178,D184,D273)</f>
        <v>0</v>
      </c>
      <c r="E274" s="1737">
        <f>SUM(E178,E273)</f>
        <v>0</v>
      </c>
      <c r="F274" s="1737">
        <f t="shared" ref="F274:K274" si="11">SUM(F178,F184,F273)</f>
        <v>0</v>
      </c>
      <c r="G274" s="1737">
        <f t="shared" si="11"/>
        <v>38000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7530972</v>
      </c>
      <c r="D275" s="1737">
        <f t="shared" si="12"/>
        <v>590625</v>
      </c>
      <c r="E275" s="1737">
        <f t="shared" si="12"/>
        <v>1392041</v>
      </c>
      <c r="F275" s="1737">
        <f t="shared" si="12"/>
        <v>579792</v>
      </c>
      <c r="G275" s="1737">
        <f t="shared" si="12"/>
        <v>249378</v>
      </c>
      <c r="H275" s="1737">
        <f t="shared" si="12"/>
        <v>0</v>
      </c>
      <c r="I275" s="1737">
        <f t="shared" si="12"/>
        <v>38664</v>
      </c>
      <c r="J275" s="1737">
        <f t="shared" si="12"/>
        <v>113153</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&amp;L&amp;8See notes.
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5" activePane="bottomLeft" state="frozen"/>
      <selection activeCell="L31" sqref="L31"/>
      <selection pane="bottomLeft" activeCell="L31" sqref="L3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2132158</v>
      </c>
      <c r="D5" s="466">
        <v>437157</v>
      </c>
      <c r="E5" s="466">
        <v>99672</v>
      </c>
      <c r="F5" s="466">
        <v>97671</v>
      </c>
      <c r="G5" s="466"/>
      <c r="H5" s="466">
        <v>1733</v>
      </c>
      <c r="I5" s="467">
        <v>3871</v>
      </c>
      <c r="J5" s="467"/>
      <c r="K5" s="1693">
        <f>SUM(C5:J5)</f>
        <v>2772262</v>
      </c>
      <c r="L5" s="466">
        <v>2762498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66631</v>
      </c>
      <c r="D7" s="467">
        <v>12046</v>
      </c>
      <c r="E7" s="467"/>
      <c r="F7" s="467">
        <v>6126</v>
      </c>
      <c r="G7" s="467"/>
      <c r="H7" s="467"/>
      <c r="I7" s="467"/>
      <c r="J7" s="467"/>
      <c r="K7" s="1693">
        <f t="shared" ref="K7:K32" si="0">SUM(C7:J7)</f>
        <v>84803</v>
      </c>
      <c r="L7" s="466">
        <v>81750</v>
      </c>
    </row>
    <row r="8" spans="1:14" x14ac:dyDescent="0.2">
      <c r="A8" s="1526" t="s">
        <v>166</v>
      </c>
      <c r="B8" s="615">
        <v>1200</v>
      </c>
      <c r="C8" s="466">
        <v>775181</v>
      </c>
      <c r="D8" s="466">
        <v>149498</v>
      </c>
      <c r="E8" s="466">
        <v>1629</v>
      </c>
      <c r="F8" s="466">
        <v>6126</v>
      </c>
      <c r="G8" s="466"/>
      <c r="H8" s="466"/>
      <c r="I8" s="467"/>
      <c r="J8" s="467"/>
      <c r="K8" s="1693">
        <f t="shared" si="0"/>
        <v>932434</v>
      </c>
      <c r="L8" s="466">
        <v>929590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234654</v>
      </c>
      <c r="D10" s="466">
        <v>62045</v>
      </c>
      <c r="E10" s="466">
        <v>440</v>
      </c>
      <c r="F10" s="466">
        <v>18559</v>
      </c>
      <c r="G10" s="466"/>
      <c r="H10" s="466"/>
      <c r="I10" s="467"/>
      <c r="J10" s="467"/>
      <c r="K10" s="1693">
        <f t="shared" si="0"/>
        <v>315698</v>
      </c>
      <c r="L10" s="466">
        <v>315704</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202922</v>
      </c>
      <c r="D13" s="466">
        <v>42794</v>
      </c>
      <c r="E13" s="466">
        <v>2300</v>
      </c>
      <c r="F13" s="466">
        <v>4755</v>
      </c>
      <c r="G13" s="466"/>
      <c r="H13" s="466"/>
      <c r="I13" s="467"/>
      <c r="J13" s="467"/>
      <c r="K13" s="1693">
        <f t="shared" si="0"/>
        <v>252771</v>
      </c>
      <c r="L13" s="466">
        <v>251881</v>
      </c>
    </row>
    <row r="14" spans="1:14" x14ac:dyDescent="0.2">
      <c r="A14" s="1526" t="s">
        <v>1020</v>
      </c>
      <c r="B14" s="615">
        <v>1500</v>
      </c>
      <c r="C14" s="466">
        <v>208076</v>
      </c>
      <c r="D14" s="466">
        <v>31528</v>
      </c>
      <c r="E14" s="466">
        <v>51889</v>
      </c>
      <c r="F14" s="466">
        <v>26507</v>
      </c>
      <c r="G14" s="466"/>
      <c r="H14" s="466">
        <v>12750</v>
      </c>
      <c r="I14" s="467"/>
      <c r="J14" s="467"/>
      <c r="K14" s="1693">
        <f t="shared" si="0"/>
        <v>330750</v>
      </c>
      <c r="L14" s="466">
        <v>353126</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41333</v>
      </c>
      <c r="D17" s="467">
        <v>12332</v>
      </c>
      <c r="E17" s="467">
        <v>5258</v>
      </c>
      <c r="F17" s="467">
        <v>1354</v>
      </c>
      <c r="G17" s="467"/>
      <c r="H17" s="467"/>
      <c r="I17" s="467"/>
      <c r="J17" s="467"/>
      <c r="K17" s="1693">
        <f t="shared" si="0"/>
        <v>60277</v>
      </c>
      <c r="L17" s="466">
        <v>63670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v>3488</v>
      </c>
      <c r="D19" s="466">
        <v>401</v>
      </c>
      <c r="E19" s="466">
        <v>184</v>
      </c>
      <c r="F19" s="466"/>
      <c r="G19" s="466"/>
      <c r="H19" s="466"/>
      <c r="I19" s="467"/>
      <c r="J19" s="467"/>
      <c r="K19" s="1693">
        <f t="shared" si="0"/>
        <v>4073</v>
      </c>
      <c r="L19" s="466">
        <v>4185</v>
      </c>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v>10443</v>
      </c>
      <c r="I22" s="617"/>
      <c r="J22" s="477"/>
      <c r="K22" s="1693">
        <f t="shared" si="0"/>
        <v>10443</v>
      </c>
      <c r="L22" s="471">
        <v>10443</v>
      </c>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3664443</v>
      </c>
      <c r="D33" s="1692">
        <f t="shared" ref="D33:L33" si="1">SUM(D5:D32)</f>
        <v>747801</v>
      </c>
      <c r="E33" s="1692">
        <f t="shared" si="1"/>
        <v>161372</v>
      </c>
      <c r="F33" s="1692">
        <f t="shared" si="1"/>
        <v>161098</v>
      </c>
      <c r="G33" s="1692">
        <f t="shared" si="1"/>
        <v>0</v>
      </c>
      <c r="H33" s="1692">
        <f t="shared" si="1"/>
        <v>24926</v>
      </c>
      <c r="I33" s="1692">
        <f t="shared" si="1"/>
        <v>3871</v>
      </c>
      <c r="J33" s="1692">
        <f t="shared" si="1"/>
        <v>0</v>
      </c>
      <c r="K33" s="1692">
        <f t="shared" si="1"/>
        <v>4763511</v>
      </c>
      <c r="L33" s="1692">
        <f t="shared" si="1"/>
        <v>4772847</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467</v>
      </c>
      <c r="D36" s="481">
        <v>46</v>
      </c>
      <c r="E36" s="481">
        <v>11894</v>
      </c>
      <c r="F36" s="481"/>
      <c r="G36" s="481"/>
      <c r="H36" s="481"/>
      <c r="I36" s="467"/>
      <c r="J36" s="467"/>
      <c r="K36" s="1693">
        <f t="shared" ref="K36:K41" si="2">SUM(C36:J36)</f>
        <v>12407</v>
      </c>
      <c r="L36" s="466">
        <v>12413</v>
      </c>
    </row>
    <row r="37" spans="1:14" x14ac:dyDescent="0.2">
      <c r="A37" s="1526" t="s">
        <v>1151</v>
      </c>
      <c r="B37" s="615">
        <v>2120</v>
      </c>
      <c r="C37" s="466">
        <v>78424</v>
      </c>
      <c r="D37" s="466">
        <v>15836</v>
      </c>
      <c r="E37" s="466">
        <v>412</v>
      </c>
      <c r="F37" s="466">
        <v>560</v>
      </c>
      <c r="G37" s="466"/>
      <c r="H37" s="466"/>
      <c r="I37" s="467"/>
      <c r="J37" s="467"/>
      <c r="K37" s="1693">
        <f t="shared" si="2"/>
        <v>95232</v>
      </c>
      <c r="L37" s="466">
        <v>95232</v>
      </c>
    </row>
    <row r="38" spans="1:14" x14ac:dyDescent="0.2">
      <c r="A38" s="1526" t="s">
        <v>207</v>
      </c>
      <c r="B38" s="615">
        <v>2130</v>
      </c>
      <c r="C38" s="466">
        <v>34513</v>
      </c>
      <c r="D38" s="466">
        <v>1</v>
      </c>
      <c r="E38" s="466">
        <v>141</v>
      </c>
      <c r="F38" s="466">
        <v>1385</v>
      </c>
      <c r="G38" s="466"/>
      <c r="H38" s="466"/>
      <c r="I38" s="467"/>
      <c r="J38" s="467"/>
      <c r="K38" s="1693">
        <f t="shared" si="2"/>
        <v>36040</v>
      </c>
      <c r="L38" s="466">
        <v>36041</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113404</v>
      </c>
      <c r="D42" s="1692">
        <f t="shared" ref="D42:L42" si="3">SUM(D36:D41)</f>
        <v>15883</v>
      </c>
      <c r="E42" s="1692">
        <f t="shared" si="3"/>
        <v>12447</v>
      </c>
      <c r="F42" s="1692">
        <f t="shared" si="3"/>
        <v>1945</v>
      </c>
      <c r="G42" s="1692">
        <f t="shared" si="3"/>
        <v>0</v>
      </c>
      <c r="H42" s="1692">
        <f t="shared" si="3"/>
        <v>0</v>
      </c>
      <c r="I42" s="1692">
        <f t="shared" si="3"/>
        <v>0</v>
      </c>
      <c r="J42" s="1692">
        <f t="shared" si="3"/>
        <v>0</v>
      </c>
      <c r="K42" s="1692">
        <f t="shared" si="3"/>
        <v>143679</v>
      </c>
      <c r="L42" s="1692">
        <f t="shared" si="3"/>
        <v>143686</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37218</v>
      </c>
      <c r="D44" s="481">
        <v>10628</v>
      </c>
      <c r="E44" s="481">
        <v>11361</v>
      </c>
      <c r="F44" s="481">
        <v>1491</v>
      </c>
      <c r="G44" s="481"/>
      <c r="H44" s="481"/>
      <c r="I44" s="467"/>
      <c r="J44" s="467"/>
      <c r="K44" s="1694">
        <f>SUM(C44:J44)</f>
        <v>60698</v>
      </c>
      <c r="L44" s="481">
        <v>60318</v>
      </c>
    </row>
    <row r="45" spans="1:14" x14ac:dyDescent="0.2">
      <c r="A45" s="1526" t="s">
        <v>869</v>
      </c>
      <c r="B45" s="615">
        <v>2220</v>
      </c>
      <c r="C45" s="466"/>
      <c r="D45" s="466"/>
      <c r="E45" s="466">
        <v>22</v>
      </c>
      <c r="F45" s="466">
        <v>2423</v>
      </c>
      <c r="G45" s="466"/>
      <c r="H45" s="466"/>
      <c r="I45" s="467"/>
      <c r="J45" s="467"/>
      <c r="K45" s="1694">
        <f>SUM(C45:J45)</f>
        <v>2445</v>
      </c>
      <c r="L45" s="466">
        <v>2445</v>
      </c>
    </row>
    <row r="46" spans="1:14" x14ac:dyDescent="0.2">
      <c r="A46" s="1526" t="s">
        <v>870</v>
      </c>
      <c r="B46" s="615">
        <v>2230</v>
      </c>
      <c r="C46" s="466"/>
      <c r="D46" s="466"/>
      <c r="E46" s="466"/>
      <c r="F46" s="466">
        <v>7220</v>
      </c>
      <c r="G46" s="466"/>
      <c r="H46" s="466"/>
      <c r="I46" s="467"/>
      <c r="J46" s="467"/>
      <c r="K46" s="1694">
        <f>SUM(C46:J46)</f>
        <v>7220</v>
      </c>
      <c r="L46" s="466">
        <v>7300</v>
      </c>
    </row>
    <row r="47" spans="1:14" ht="12.75" customHeight="1" thickBot="1" x14ac:dyDescent="0.25">
      <c r="A47" s="1690" t="s">
        <v>582</v>
      </c>
      <c r="B47" s="1691" t="s">
        <v>32</v>
      </c>
      <c r="C47" s="1692">
        <f>SUM(C44:C46)</f>
        <v>37218</v>
      </c>
      <c r="D47" s="1692">
        <f t="shared" ref="D47:K47" si="4">SUM(D44:D46)</f>
        <v>10628</v>
      </c>
      <c r="E47" s="1692">
        <f t="shared" si="4"/>
        <v>11383</v>
      </c>
      <c r="F47" s="1692">
        <f t="shared" si="4"/>
        <v>11134</v>
      </c>
      <c r="G47" s="1692">
        <f t="shared" si="4"/>
        <v>0</v>
      </c>
      <c r="H47" s="1692">
        <f t="shared" si="4"/>
        <v>0</v>
      </c>
      <c r="I47" s="1692">
        <f t="shared" si="4"/>
        <v>0</v>
      </c>
      <c r="J47" s="1692">
        <f t="shared" si="4"/>
        <v>0</v>
      </c>
      <c r="K47" s="1692">
        <f t="shared" si="4"/>
        <v>70363</v>
      </c>
      <c r="L47" s="1692">
        <f>SUM(L44:L46)</f>
        <v>70063</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4139</v>
      </c>
      <c r="D49" s="481"/>
      <c r="E49" s="481">
        <v>28089</v>
      </c>
      <c r="F49" s="481">
        <v>1495</v>
      </c>
      <c r="G49" s="481"/>
      <c r="H49" s="481">
        <v>2705</v>
      </c>
      <c r="I49" s="467"/>
      <c r="J49" s="467"/>
      <c r="K49" s="1694">
        <f>SUM(C49:J49)</f>
        <v>36428</v>
      </c>
      <c r="L49" s="481">
        <v>32183</v>
      </c>
    </row>
    <row r="50" spans="1:14" x14ac:dyDescent="0.2">
      <c r="A50" s="1526" t="s">
        <v>872</v>
      </c>
      <c r="B50" s="615">
        <v>2320</v>
      </c>
      <c r="C50" s="466">
        <v>142465</v>
      </c>
      <c r="D50" s="466">
        <v>27381</v>
      </c>
      <c r="E50" s="466">
        <v>4119</v>
      </c>
      <c r="F50" s="466">
        <v>1948</v>
      </c>
      <c r="G50" s="466"/>
      <c r="H50" s="466">
        <v>9890</v>
      </c>
      <c r="I50" s="467"/>
      <c r="J50" s="467"/>
      <c r="K50" s="1694">
        <f>SUM(C50:J50)</f>
        <v>185803</v>
      </c>
      <c r="L50" s="466">
        <v>182944</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146604</v>
      </c>
      <c r="D53" s="1692">
        <f t="shared" ref="D53:L53" si="5">SUM(D49:D52)</f>
        <v>27381</v>
      </c>
      <c r="E53" s="1692">
        <f t="shared" si="5"/>
        <v>32208</v>
      </c>
      <c r="F53" s="1692">
        <f t="shared" si="5"/>
        <v>3443</v>
      </c>
      <c r="G53" s="1692">
        <f t="shared" si="5"/>
        <v>0</v>
      </c>
      <c r="H53" s="1692">
        <f t="shared" si="5"/>
        <v>12595</v>
      </c>
      <c r="I53" s="1692">
        <f t="shared" si="5"/>
        <v>0</v>
      </c>
      <c r="J53" s="1692">
        <f t="shared" si="5"/>
        <v>0</v>
      </c>
      <c r="K53" s="1692">
        <f t="shared" si="5"/>
        <v>222231</v>
      </c>
      <c r="L53" s="1692">
        <f t="shared" si="5"/>
        <v>215127</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378684</v>
      </c>
      <c r="D55" s="481">
        <v>107948</v>
      </c>
      <c r="E55" s="481">
        <v>35184</v>
      </c>
      <c r="F55" s="481">
        <v>12475</v>
      </c>
      <c r="G55" s="481"/>
      <c r="H55" s="481">
        <v>2307</v>
      </c>
      <c r="I55" s="467"/>
      <c r="J55" s="467"/>
      <c r="K55" s="1694">
        <f>SUM(C55:J55)</f>
        <v>536598</v>
      </c>
      <c r="L55" s="481">
        <v>561099</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378684</v>
      </c>
      <c r="D57" s="1696">
        <f t="shared" ref="D57:K57" si="6">SUM(D55:D56)</f>
        <v>107948</v>
      </c>
      <c r="E57" s="1696">
        <f t="shared" si="6"/>
        <v>35184</v>
      </c>
      <c r="F57" s="1696">
        <f t="shared" si="6"/>
        <v>12475</v>
      </c>
      <c r="G57" s="1696">
        <f t="shared" si="6"/>
        <v>0</v>
      </c>
      <c r="H57" s="1696">
        <f t="shared" si="6"/>
        <v>2307</v>
      </c>
      <c r="I57" s="1696">
        <f t="shared" si="6"/>
        <v>0</v>
      </c>
      <c r="J57" s="1696">
        <f t="shared" si="6"/>
        <v>0</v>
      </c>
      <c r="K57" s="1696">
        <f t="shared" si="6"/>
        <v>536598</v>
      </c>
      <c r="L57" s="1692">
        <f>SUM(L55:L56)</f>
        <v>561099</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53332</v>
      </c>
      <c r="D60" s="466">
        <v>11221</v>
      </c>
      <c r="E60" s="466">
        <v>22757</v>
      </c>
      <c r="F60" s="466">
        <v>2756</v>
      </c>
      <c r="G60" s="466"/>
      <c r="H60" s="466">
        <v>617</v>
      </c>
      <c r="I60" s="467"/>
      <c r="J60" s="467"/>
      <c r="K60" s="1694">
        <f t="shared" si="7"/>
        <v>90683</v>
      </c>
      <c r="L60" s="466">
        <v>94575</v>
      </c>
      <c r="M60" s="610"/>
      <c r="N60" s="610"/>
    </row>
    <row r="61" spans="1:14" s="343" customFormat="1" x14ac:dyDescent="0.2">
      <c r="A61" s="1526" t="s">
        <v>206</v>
      </c>
      <c r="B61" s="615">
        <v>2540</v>
      </c>
      <c r="C61" s="466"/>
      <c r="D61" s="466"/>
      <c r="E61" s="466"/>
      <c r="F61" s="466">
        <v>4480</v>
      </c>
      <c r="G61" s="466">
        <v>30000</v>
      </c>
      <c r="H61" s="466"/>
      <c r="I61" s="467"/>
      <c r="J61" s="467"/>
      <c r="K61" s="1694">
        <f t="shared" si="7"/>
        <v>34480</v>
      </c>
      <c r="L61" s="466">
        <v>34480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124253</v>
      </c>
      <c r="D63" s="466">
        <v>11474</v>
      </c>
      <c r="E63" s="466">
        <v>858</v>
      </c>
      <c r="F63" s="466">
        <v>221947</v>
      </c>
      <c r="G63" s="466"/>
      <c r="H63" s="466"/>
      <c r="I63" s="467"/>
      <c r="J63" s="467"/>
      <c r="K63" s="1694">
        <f t="shared" si="7"/>
        <v>358532</v>
      </c>
      <c r="L63" s="466">
        <v>358754</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177585</v>
      </c>
      <c r="D65" s="1692">
        <f t="shared" ref="D65:L65" si="8">SUM(D59:D64)</f>
        <v>22695</v>
      </c>
      <c r="E65" s="1692">
        <f t="shared" si="8"/>
        <v>23615</v>
      </c>
      <c r="F65" s="1692">
        <f t="shared" si="8"/>
        <v>229183</v>
      </c>
      <c r="G65" s="1692">
        <f t="shared" si="8"/>
        <v>30000</v>
      </c>
      <c r="H65" s="1692">
        <f t="shared" si="8"/>
        <v>617</v>
      </c>
      <c r="I65" s="1692">
        <f t="shared" si="8"/>
        <v>0</v>
      </c>
      <c r="J65" s="1692">
        <f t="shared" si="8"/>
        <v>0</v>
      </c>
      <c r="K65" s="1692">
        <f t="shared" si="8"/>
        <v>483695</v>
      </c>
      <c r="L65" s="1692">
        <f t="shared" si="8"/>
        <v>487809</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853495</v>
      </c>
      <c r="D74" s="1699">
        <f t="shared" ref="D74:K74" si="10">SUM(D42,D47,D53,D57,D65,D72,D73)</f>
        <v>184535</v>
      </c>
      <c r="E74" s="1699">
        <f t="shared" si="10"/>
        <v>114837</v>
      </c>
      <c r="F74" s="1699">
        <f t="shared" si="10"/>
        <v>258180</v>
      </c>
      <c r="G74" s="1699">
        <f t="shared" si="10"/>
        <v>30000</v>
      </c>
      <c r="H74" s="1699">
        <f t="shared" si="10"/>
        <v>15519</v>
      </c>
      <c r="I74" s="1699">
        <f t="shared" si="10"/>
        <v>0</v>
      </c>
      <c r="J74" s="1699">
        <f t="shared" si="10"/>
        <v>0</v>
      </c>
      <c r="K74" s="1699">
        <f t="shared" si="10"/>
        <v>1456566</v>
      </c>
      <c r="L74" s="1699">
        <f>SUM(L42,L47,L53,L57,L65,L72,L73)</f>
        <v>1477784</v>
      </c>
    </row>
    <row r="75" spans="1:14" s="259" customFormat="1" ht="15.75" customHeight="1" thickTop="1" thickBot="1" x14ac:dyDescent="0.25">
      <c r="A75" s="1632" t="s">
        <v>49</v>
      </c>
      <c r="B75" s="1633" t="s">
        <v>596</v>
      </c>
      <c r="C75" s="573">
        <v>81490</v>
      </c>
      <c r="D75" s="573">
        <v>6421</v>
      </c>
      <c r="E75" s="573">
        <v>5634</v>
      </c>
      <c r="F75" s="573">
        <v>7474</v>
      </c>
      <c r="G75" s="573"/>
      <c r="H75" s="573"/>
      <c r="I75" s="531"/>
      <c r="J75" s="531"/>
      <c r="K75" s="1692">
        <f>SUM(C75:J75)</f>
        <v>101019</v>
      </c>
      <c r="L75" s="576">
        <v>97025</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2904</v>
      </c>
      <c r="F78" s="617"/>
      <c r="G78" s="617"/>
      <c r="H78" s="635"/>
      <c r="I78" s="477"/>
      <c r="J78" s="477"/>
      <c r="K78" s="1693">
        <f t="shared" ref="K78:K83" si="11">SUM(C78:J78)</f>
        <v>2904</v>
      </c>
      <c r="L78" s="481">
        <v>2904</v>
      </c>
    </row>
    <row r="79" spans="1:14" x14ac:dyDescent="0.2">
      <c r="A79" s="1526" t="s">
        <v>322</v>
      </c>
      <c r="B79" s="615">
        <v>4120</v>
      </c>
      <c r="C79" s="617"/>
      <c r="D79" s="617"/>
      <c r="E79" s="466">
        <v>212691</v>
      </c>
      <c r="F79" s="617"/>
      <c r="G79" s="617"/>
      <c r="H79" s="466"/>
      <c r="I79" s="477"/>
      <c r="J79" s="477"/>
      <c r="K79" s="1693">
        <f t="shared" si="11"/>
        <v>212691</v>
      </c>
      <c r="L79" s="466">
        <v>212691</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215595</v>
      </c>
      <c r="F84" s="617"/>
      <c r="G84" s="617"/>
      <c r="H84" s="1692">
        <f>SUM(H78:H83)</f>
        <v>0</v>
      </c>
      <c r="I84" s="477"/>
      <c r="J84" s="477"/>
      <c r="K84" s="1692">
        <f>SUM(K78:K83)</f>
        <v>215595</v>
      </c>
      <c r="L84" s="1692">
        <f>SUM(L78:L83)</f>
        <v>215595</v>
      </c>
    </row>
    <row r="85" spans="1:12" ht="12.75" customHeight="1" thickTop="1" thickBot="1" x14ac:dyDescent="0.25">
      <c r="A85" s="1533" t="s">
        <v>273</v>
      </c>
      <c r="B85" s="636">
        <v>4210</v>
      </c>
      <c r="C85" s="617"/>
      <c r="D85" s="617"/>
      <c r="E85" s="637"/>
      <c r="F85" s="617"/>
      <c r="G85" s="617"/>
      <c r="H85" s="535">
        <v>36310</v>
      </c>
      <c r="I85" s="477"/>
      <c r="J85" s="477"/>
      <c r="K85" s="1699">
        <f>H85</f>
        <v>36310</v>
      </c>
      <c r="L85" s="530">
        <v>36310</v>
      </c>
    </row>
    <row r="86" spans="1:12" ht="12.75" customHeight="1" thickTop="1" thickBot="1" x14ac:dyDescent="0.25">
      <c r="A86" s="1534" t="s">
        <v>723</v>
      </c>
      <c r="B86" s="638">
        <v>4220</v>
      </c>
      <c r="C86" s="617"/>
      <c r="D86" s="617"/>
      <c r="E86" s="639"/>
      <c r="F86" s="617"/>
      <c r="G86" s="617"/>
      <c r="H86" s="467">
        <v>394459</v>
      </c>
      <c r="I86" s="477"/>
      <c r="J86" s="477"/>
      <c r="K86" s="1699">
        <f t="shared" ref="K86:K98" si="12">H86</f>
        <v>394459</v>
      </c>
      <c r="L86" s="530">
        <v>394648</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v>23459</v>
      </c>
      <c r="I88" s="477"/>
      <c r="J88" s="477"/>
      <c r="K88" s="1699">
        <f t="shared" si="12"/>
        <v>23459</v>
      </c>
      <c r="L88" s="530">
        <v>23459</v>
      </c>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454228</v>
      </c>
      <c r="I92" s="477"/>
      <c r="J92" s="477"/>
      <c r="K92" s="1699">
        <f t="shared" si="12"/>
        <v>454228</v>
      </c>
      <c r="L92" s="1692">
        <f>SUM(L85:L91)</f>
        <v>454417</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215595</v>
      </c>
      <c r="F102" s="617"/>
      <c r="G102" s="617"/>
      <c r="H102" s="1699">
        <f>SUM(H84,H92,H100,H101)</f>
        <v>454228</v>
      </c>
      <c r="I102" s="477"/>
      <c r="J102" s="477"/>
      <c r="K102" s="1699">
        <f>SUM(K84,K92,K100,K101)</f>
        <v>669823</v>
      </c>
      <c r="L102" s="1699">
        <f>SUM(L84,L92,L100,L101)</f>
        <v>670012</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4599428</v>
      </c>
      <c r="D114" s="1692">
        <f t="shared" ref="D114:K114" si="13">SUM(D33,D74,D75,D102,D112,D113)</f>
        <v>938757</v>
      </c>
      <c r="E114" s="1692">
        <f t="shared" si="13"/>
        <v>497438</v>
      </c>
      <c r="F114" s="1692">
        <f t="shared" si="13"/>
        <v>426752</v>
      </c>
      <c r="G114" s="1692">
        <f t="shared" si="13"/>
        <v>30000</v>
      </c>
      <c r="H114" s="1692">
        <f>SUM(H33,H74,H75,H102,H112,H113)</f>
        <v>494673</v>
      </c>
      <c r="I114" s="1692">
        <f t="shared" si="13"/>
        <v>3871</v>
      </c>
      <c r="J114" s="1692">
        <f t="shared" si="13"/>
        <v>0</v>
      </c>
      <c r="K114" s="1692">
        <f t="shared" si="13"/>
        <v>6990919</v>
      </c>
      <c r="L114" s="1692">
        <f>SUM(L33,L74,L75,L102,L112,L113)</f>
        <v>7017668</v>
      </c>
    </row>
    <row r="115" spans="1:14" ht="13.5" thickTop="1" x14ac:dyDescent="0.2">
      <c r="A115" s="2198" t="s">
        <v>1053</v>
      </c>
      <c r="B115" s="2199"/>
      <c r="C115" s="619"/>
      <c r="D115" s="619"/>
      <c r="E115" s="619"/>
      <c r="F115" s="619"/>
      <c r="G115" s="619"/>
      <c r="H115" s="619"/>
      <c r="I115" s="619"/>
      <c r="J115" s="619"/>
      <c r="K115" s="1706">
        <f>'Revenues 9-14'!C275-'Expenditures 15-22'!K114</f>
        <v>540053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v>1500</v>
      </c>
      <c r="F123" s="466"/>
      <c r="G123" s="466"/>
      <c r="H123" s="466"/>
      <c r="I123" s="467"/>
      <c r="J123" s="467"/>
      <c r="K123" s="1692">
        <f>SUM(C123:J123)</f>
        <v>1500</v>
      </c>
      <c r="L123" s="466"/>
    </row>
    <row r="124" spans="1:14" ht="14.25" thickTop="1" thickBot="1" x14ac:dyDescent="0.25">
      <c r="A124" s="1526" t="s">
        <v>206</v>
      </c>
      <c r="B124" s="615">
        <v>2540</v>
      </c>
      <c r="C124" s="466">
        <v>197791</v>
      </c>
      <c r="D124" s="466">
        <v>33124</v>
      </c>
      <c r="E124" s="466">
        <v>102668</v>
      </c>
      <c r="F124" s="466">
        <v>271437</v>
      </c>
      <c r="G124" s="466"/>
      <c r="H124" s="466">
        <v>18</v>
      </c>
      <c r="I124" s="467">
        <v>5209</v>
      </c>
      <c r="J124" s="467"/>
      <c r="K124" s="1692">
        <f>SUM(C124:J124)</f>
        <v>610247</v>
      </c>
      <c r="L124" s="466">
        <v>588417</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197791</v>
      </c>
      <c r="D127" s="1692">
        <f t="shared" ref="D127:L127" si="14">SUM(D122:D126)</f>
        <v>33124</v>
      </c>
      <c r="E127" s="1692">
        <f t="shared" si="14"/>
        <v>104168</v>
      </c>
      <c r="F127" s="1692">
        <f t="shared" si="14"/>
        <v>271437</v>
      </c>
      <c r="G127" s="1692">
        <f t="shared" si="14"/>
        <v>0</v>
      </c>
      <c r="H127" s="1692">
        <f t="shared" si="14"/>
        <v>18</v>
      </c>
      <c r="I127" s="1692">
        <f t="shared" si="14"/>
        <v>5209</v>
      </c>
      <c r="J127" s="1692">
        <f t="shared" si="14"/>
        <v>0</v>
      </c>
      <c r="K127" s="1692">
        <f t="shared" si="14"/>
        <v>611747</v>
      </c>
      <c r="L127" s="1692">
        <f t="shared" si="14"/>
        <v>588417</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197791</v>
      </c>
      <c r="D129" s="1699">
        <f t="shared" ref="D129:L129" si="15">SUM(D120,D127,D128)</f>
        <v>33124</v>
      </c>
      <c r="E129" s="1699">
        <f t="shared" si="15"/>
        <v>104168</v>
      </c>
      <c r="F129" s="1699">
        <f t="shared" si="15"/>
        <v>271437</v>
      </c>
      <c r="G129" s="1699">
        <f t="shared" si="15"/>
        <v>0</v>
      </c>
      <c r="H129" s="1699">
        <f t="shared" si="15"/>
        <v>18</v>
      </c>
      <c r="I129" s="1699">
        <f t="shared" si="15"/>
        <v>5209</v>
      </c>
      <c r="J129" s="1699">
        <f t="shared" si="15"/>
        <v>0</v>
      </c>
      <c r="K129" s="1699">
        <f t="shared" si="15"/>
        <v>611747</v>
      </c>
      <c r="L129" s="1699">
        <f t="shared" si="15"/>
        <v>588417</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1954</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8" t="s">
        <v>641</v>
      </c>
      <c r="B151" s="2170"/>
      <c r="C151" s="1692">
        <f>SUM(C129,C130,C139,C149,C150)</f>
        <v>197791</v>
      </c>
      <c r="D151" s="1692">
        <f t="shared" ref="D151:K151" si="16">SUM(D129,D130,D139,D149,D150)</f>
        <v>33124</v>
      </c>
      <c r="E151" s="1692">
        <f t="shared" si="16"/>
        <v>104168</v>
      </c>
      <c r="F151" s="1692">
        <f t="shared" si="16"/>
        <v>271437</v>
      </c>
      <c r="G151" s="1692">
        <f t="shared" si="16"/>
        <v>0</v>
      </c>
      <c r="H151" s="1692">
        <f t="shared" si="16"/>
        <v>18</v>
      </c>
      <c r="I151" s="1692">
        <f t="shared" si="16"/>
        <v>5209</v>
      </c>
      <c r="J151" s="1692">
        <f t="shared" si="16"/>
        <v>0</v>
      </c>
      <c r="K151" s="1692">
        <f t="shared" si="16"/>
        <v>611747</v>
      </c>
      <c r="L151" s="1692">
        <f>SUM(L129,L130,L139,L149,L150)</f>
        <v>588417</v>
      </c>
    </row>
    <row r="152" spans="1:14" ht="12.75" customHeight="1" thickTop="1" x14ac:dyDescent="0.2">
      <c r="A152" s="2191" t="s">
        <v>1240</v>
      </c>
      <c r="B152" s="2192"/>
      <c r="C152" s="619"/>
      <c r="D152" s="619"/>
      <c r="E152" s="619"/>
      <c r="F152" s="619"/>
      <c r="G152" s="619"/>
      <c r="H152" s="619"/>
      <c r="I152" s="619"/>
      <c r="J152" s="617"/>
      <c r="K152" s="1706">
        <f>'Revenues 9-14'!D275-'Expenditures 15-22'!K151</f>
        <v>-21122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1955</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1954</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1956</v>
      </c>
      <c r="C158" s="617"/>
      <c r="D158" s="617"/>
      <c r="E158" s="617"/>
      <c r="F158" s="617"/>
      <c r="G158" s="617"/>
      <c r="H158" s="467"/>
      <c r="I158" s="617"/>
      <c r="J158" s="617"/>
      <c r="K158" s="1693">
        <f>H158</f>
        <v>0</v>
      </c>
      <c r="L158" s="467"/>
      <c r="M158" s="620"/>
      <c r="N158" s="620"/>
    </row>
    <row r="159" spans="1:14" s="621" customFormat="1" ht="12" x14ac:dyDescent="0.2">
      <c r="A159" s="1849" t="s">
        <v>1957</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1958</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338946</v>
      </c>
      <c r="I169" s="617"/>
      <c r="J169" s="617"/>
      <c r="K169" s="1693">
        <f>SUM(C169:H169)</f>
        <v>338946</v>
      </c>
      <c r="L169" s="657">
        <v>338946</v>
      </c>
    </row>
    <row r="170" spans="1:14" ht="33.75" customHeight="1" x14ac:dyDescent="0.2">
      <c r="A170" s="670" t="s">
        <v>1769</v>
      </c>
      <c r="B170" s="672" t="s">
        <v>31</v>
      </c>
      <c r="C170" s="617"/>
      <c r="D170" s="617"/>
      <c r="E170" s="617"/>
      <c r="F170" s="617"/>
      <c r="G170" s="617"/>
      <c r="H170" s="569">
        <v>560000</v>
      </c>
      <c r="I170" s="617"/>
      <c r="J170" s="617"/>
      <c r="K170" s="1693">
        <f>SUM(C170:J170)</f>
        <v>560000</v>
      </c>
      <c r="L170" s="569">
        <v>560000</v>
      </c>
    </row>
    <row r="171" spans="1:14" ht="15.75" customHeight="1" x14ac:dyDescent="0.2">
      <c r="A171" s="622" t="s">
        <v>790</v>
      </c>
      <c r="B171" s="673" t="s">
        <v>86</v>
      </c>
      <c r="C171" s="617"/>
      <c r="D171" s="617"/>
      <c r="E171" s="466"/>
      <c r="F171" s="617"/>
      <c r="G171" s="617"/>
      <c r="H171" s="569">
        <v>1825</v>
      </c>
      <c r="I171" s="477"/>
      <c r="J171" s="617"/>
      <c r="K171" s="1693">
        <f>SUM(C171:J171)</f>
        <v>1825</v>
      </c>
      <c r="L171" s="569">
        <v>1825</v>
      </c>
    </row>
    <row r="172" spans="1:14" ht="12.75" customHeight="1" thickBot="1" x14ac:dyDescent="0.25">
      <c r="A172" s="1690" t="s">
        <v>659</v>
      </c>
      <c r="B172" s="1691" t="s">
        <v>513</v>
      </c>
      <c r="C172" s="617"/>
      <c r="D172" s="617"/>
      <c r="E172" s="1699">
        <f>SUM(E168,E169,E170,E171)</f>
        <v>0</v>
      </c>
      <c r="F172" s="617"/>
      <c r="G172" s="617"/>
      <c r="H172" s="1699">
        <f>SUM(H168,H169,H170,H171)</f>
        <v>900771</v>
      </c>
      <c r="I172" s="639"/>
      <c r="J172" s="617"/>
      <c r="K172" s="1699">
        <f>SUM(K168,K169,K170,K171)</f>
        <v>900771</v>
      </c>
      <c r="L172" s="1699">
        <f>SUM(L168,L169,L170,L171)</f>
        <v>900771</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900771</v>
      </c>
      <c r="I174" s="639"/>
      <c r="J174" s="617"/>
      <c r="K174" s="1699">
        <f>SUM(K160,K172,K173)</f>
        <v>900771</v>
      </c>
      <c r="L174" s="1699">
        <f>SUM(L160,L172,L173)</f>
        <v>900771</v>
      </c>
    </row>
    <row r="175" spans="1:14" ht="13.5" thickTop="1" x14ac:dyDescent="0.2">
      <c r="A175" s="2198" t="s">
        <v>1053</v>
      </c>
      <c r="B175" s="2199"/>
      <c r="C175" s="617"/>
      <c r="D175" s="617"/>
      <c r="E175" s="617"/>
      <c r="F175" s="617"/>
      <c r="G175" s="617"/>
      <c r="H175" s="619"/>
      <c r="I175" s="617"/>
      <c r="J175" s="617"/>
      <c r="K175" s="1706">
        <f>'Revenues 9-14'!E275-'Expenditures 15-22'!K174</f>
        <v>491270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4032</v>
      </c>
      <c r="D182" s="466">
        <v>772</v>
      </c>
      <c r="E182" s="466">
        <v>603630</v>
      </c>
      <c r="F182" s="466"/>
      <c r="G182" s="466"/>
      <c r="H182" s="466"/>
      <c r="I182" s="467"/>
      <c r="J182" s="467"/>
      <c r="K182" s="1693">
        <f>SUM(C182:J182)</f>
        <v>608434</v>
      </c>
      <c r="L182" s="466">
        <v>606308</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4032</v>
      </c>
      <c r="D184" s="1699">
        <f t="shared" ref="D184:J184" si="17">SUM(D180,D182,D183)</f>
        <v>772</v>
      </c>
      <c r="E184" s="1699">
        <f t="shared" si="17"/>
        <v>603630</v>
      </c>
      <c r="F184" s="1699">
        <f t="shared" si="17"/>
        <v>0</v>
      </c>
      <c r="G184" s="1699">
        <f t="shared" si="17"/>
        <v>0</v>
      </c>
      <c r="H184" s="1699">
        <f t="shared" si="17"/>
        <v>0</v>
      </c>
      <c r="I184" s="1699">
        <f t="shared" si="17"/>
        <v>0</v>
      </c>
      <c r="J184" s="1699">
        <f t="shared" si="17"/>
        <v>0</v>
      </c>
      <c r="K184" s="1699">
        <f>SUM(K180,K182,K183)</f>
        <v>608434</v>
      </c>
      <c r="L184" s="1699">
        <f>SUM(L180, L182:L183)</f>
        <v>606308</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4032</v>
      </c>
      <c r="D210" s="1692">
        <f>SUM(D184,D185)</f>
        <v>772</v>
      </c>
      <c r="E210" s="1692">
        <f>SUM(E184,E185,E196)</f>
        <v>603630</v>
      </c>
      <c r="F210" s="1692">
        <f>SUM(F184,F185)</f>
        <v>0</v>
      </c>
      <c r="G210" s="1692">
        <f>SUM(G184,G185)</f>
        <v>0</v>
      </c>
      <c r="H210" s="1692">
        <f>SUM(H184,H185,H196,H208,H209)</f>
        <v>0</v>
      </c>
      <c r="I210" s="1692">
        <f>SUM(I184,I185)</f>
        <v>0</v>
      </c>
      <c r="J210" s="1692">
        <f>SUM(J184,J185)</f>
        <v>0</v>
      </c>
      <c r="K210" s="1693">
        <f>SUM(K184,K185,K196,K208,K209)</f>
        <v>608434</v>
      </c>
      <c r="L210" s="1692">
        <f>SUM(L184,L185,L196,L208,L209)</f>
        <v>606308</v>
      </c>
    </row>
    <row r="211" spans="1:14" ht="13.5" thickTop="1" x14ac:dyDescent="0.2">
      <c r="A211" s="2198" t="s">
        <v>1053</v>
      </c>
      <c r="B211" s="2199"/>
      <c r="C211" s="619"/>
      <c r="D211" s="619"/>
      <c r="E211" s="619"/>
      <c r="F211" s="619"/>
      <c r="G211" s="619"/>
      <c r="H211" s="619"/>
      <c r="I211" s="617"/>
      <c r="J211" s="617"/>
      <c r="K211" s="1706">
        <f>'Revenues 9-14'!F275-'Expenditures 15-22'!K210</f>
        <v>-28642</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36494</v>
      </c>
      <c r="E215" s="617"/>
      <c r="F215" s="617"/>
      <c r="G215" s="617"/>
      <c r="H215" s="617"/>
      <c r="I215" s="617"/>
      <c r="J215" s="617"/>
      <c r="K215" s="1693">
        <f>D215</f>
        <v>36494</v>
      </c>
      <c r="L215" s="466">
        <v>36940</v>
      </c>
    </row>
    <row r="216" spans="1:14" x14ac:dyDescent="0.2">
      <c r="A216" s="1526" t="s">
        <v>165</v>
      </c>
      <c r="B216" s="615" t="s">
        <v>1024</v>
      </c>
      <c r="C216" s="617"/>
      <c r="D216" s="467">
        <v>4648</v>
      </c>
      <c r="E216" s="617"/>
      <c r="F216" s="617"/>
      <c r="G216" s="617"/>
      <c r="H216" s="617"/>
      <c r="I216" s="617"/>
      <c r="J216" s="617"/>
      <c r="K216" s="1693">
        <f t="shared" ref="K216:K228" si="19">D216</f>
        <v>4648</v>
      </c>
      <c r="L216" s="466">
        <v>3989</v>
      </c>
    </row>
    <row r="217" spans="1:14" x14ac:dyDescent="0.2">
      <c r="A217" s="1526" t="s">
        <v>166</v>
      </c>
      <c r="B217" s="615">
        <v>1200</v>
      </c>
      <c r="C217" s="617"/>
      <c r="D217" s="466">
        <v>33212</v>
      </c>
      <c r="E217" s="617"/>
      <c r="F217" s="617"/>
      <c r="G217" s="617"/>
      <c r="H217" s="617"/>
      <c r="I217" s="617"/>
      <c r="J217" s="617"/>
      <c r="K217" s="1693">
        <f t="shared" si="19"/>
        <v>33212</v>
      </c>
      <c r="L217" s="466">
        <v>33205</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38054</v>
      </c>
      <c r="E219" s="617"/>
      <c r="F219" s="617"/>
      <c r="G219" s="617"/>
      <c r="H219" s="617"/>
      <c r="I219" s="617"/>
      <c r="J219" s="617"/>
      <c r="K219" s="1693">
        <f t="shared" si="19"/>
        <v>38054</v>
      </c>
      <c r="L219" s="466">
        <v>38201</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1679</v>
      </c>
      <c r="E222" s="617"/>
      <c r="F222" s="617"/>
      <c r="G222" s="617"/>
      <c r="H222" s="617"/>
      <c r="I222" s="617"/>
      <c r="J222" s="617"/>
      <c r="K222" s="1693">
        <f t="shared" si="19"/>
        <v>1679</v>
      </c>
      <c r="L222" s="466">
        <v>1650</v>
      </c>
    </row>
    <row r="223" spans="1:14" x14ac:dyDescent="0.2">
      <c r="A223" s="1526" t="s">
        <v>1020</v>
      </c>
      <c r="B223" s="615">
        <v>1500</v>
      </c>
      <c r="C223" s="617"/>
      <c r="D223" s="466">
        <v>6641</v>
      </c>
      <c r="E223" s="617"/>
      <c r="F223" s="617"/>
      <c r="G223" s="617"/>
      <c r="H223" s="617"/>
      <c r="I223" s="617"/>
      <c r="J223" s="617"/>
      <c r="K223" s="1693">
        <f t="shared" si="19"/>
        <v>6641</v>
      </c>
      <c r="L223" s="466">
        <v>6615</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564</v>
      </c>
      <c r="E226" s="617"/>
      <c r="F226" s="617"/>
      <c r="G226" s="617"/>
      <c r="H226" s="617"/>
      <c r="I226" s="617"/>
      <c r="J226" s="617"/>
      <c r="K226" s="1693">
        <f t="shared" si="19"/>
        <v>564</v>
      </c>
      <c r="L226" s="466">
        <v>575</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v>51</v>
      </c>
      <c r="E228" s="617"/>
      <c r="F228" s="617"/>
      <c r="G228" s="617"/>
      <c r="H228" s="617"/>
      <c r="I228" s="617"/>
      <c r="J228" s="617"/>
      <c r="K228" s="1693">
        <f t="shared" si="19"/>
        <v>51</v>
      </c>
      <c r="L228" s="466">
        <v>54</v>
      </c>
    </row>
    <row r="229" spans="1:12" ht="12.75" customHeight="1" thickBot="1" x14ac:dyDescent="0.25">
      <c r="A229" s="1690" t="s">
        <v>739</v>
      </c>
      <c r="B229" s="1697" t="s">
        <v>591</v>
      </c>
      <c r="C229" s="617"/>
      <c r="D229" s="1692">
        <f>SUM(D215:D228)</f>
        <v>121343</v>
      </c>
      <c r="E229" s="617"/>
      <c r="F229" s="617"/>
      <c r="G229" s="617"/>
      <c r="H229" s="617"/>
      <c r="I229" s="617"/>
      <c r="J229" s="617"/>
      <c r="K229" s="1692">
        <f>SUM(K215:K228)</f>
        <v>121343</v>
      </c>
      <c r="L229" s="1692">
        <f>SUM(L215:L228)</f>
        <v>121229</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7</v>
      </c>
      <c r="E232" s="617"/>
      <c r="F232" s="617"/>
      <c r="G232" s="617"/>
      <c r="H232" s="617"/>
      <c r="I232" s="617"/>
      <c r="J232" s="617"/>
      <c r="K232" s="1693">
        <f t="shared" ref="K232:K237" si="20">D232</f>
        <v>7</v>
      </c>
      <c r="L232" s="466">
        <v>7</v>
      </c>
    </row>
    <row r="233" spans="1:12" x14ac:dyDescent="0.2">
      <c r="A233" s="1526" t="s">
        <v>1151</v>
      </c>
      <c r="B233" s="615">
        <v>2120</v>
      </c>
      <c r="C233" s="617"/>
      <c r="D233" s="466">
        <v>7489</v>
      </c>
      <c r="E233" s="617"/>
      <c r="F233" s="617"/>
      <c r="G233" s="617"/>
      <c r="H233" s="617"/>
      <c r="I233" s="617"/>
      <c r="J233" s="617"/>
      <c r="K233" s="1693">
        <f t="shared" si="20"/>
        <v>7489</v>
      </c>
      <c r="L233" s="466">
        <v>7500</v>
      </c>
    </row>
    <row r="234" spans="1:12" x14ac:dyDescent="0.2">
      <c r="A234" s="1526" t="s">
        <v>207</v>
      </c>
      <c r="B234" s="615">
        <v>2130</v>
      </c>
      <c r="C234" s="617"/>
      <c r="D234" s="466">
        <v>6864</v>
      </c>
      <c r="E234" s="617"/>
      <c r="F234" s="617"/>
      <c r="G234" s="617"/>
      <c r="H234" s="617"/>
      <c r="I234" s="617"/>
      <c r="J234" s="617"/>
      <c r="K234" s="1693">
        <f t="shared" si="20"/>
        <v>6864</v>
      </c>
      <c r="L234" s="466">
        <v>6820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14360</v>
      </c>
      <c r="E238" s="617"/>
      <c r="F238" s="617"/>
      <c r="G238" s="617"/>
      <c r="H238" s="617"/>
      <c r="I238" s="617"/>
      <c r="J238" s="617"/>
      <c r="K238" s="1692">
        <f>SUM(K232:K237)</f>
        <v>14360</v>
      </c>
      <c r="L238" s="1692">
        <f>SUM(L232:L237)</f>
        <v>14327</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540</v>
      </c>
      <c r="E240" s="617"/>
      <c r="F240" s="617"/>
      <c r="G240" s="617"/>
      <c r="H240" s="617"/>
      <c r="I240" s="617"/>
      <c r="J240" s="617"/>
      <c r="K240" s="1694">
        <f>D240</f>
        <v>540</v>
      </c>
      <c r="L240" s="481">
        <v>547</v>
      </c>
    </row>
    <row r="241" spans="1:12" x14ac:dyDescent="0.2">
      <c r="A241" s="1526" t="s">
        <v>869</v>
      </c>
      <c r="B241" s="615">
        <v>2220</v>
      </c>
      <c r="C241" s="617"/>
      <c r="D241" s="466">
        <v>38</v>
      </c>
      <c r="E241" s="617"/>
      <c r="F241" s="617"/>
      <c r="G241" s="617"/>
      <c r="H241" s="617"/>
      <c r="I241" s="617"/>
      <c r="J241" s="617"/>
      <c r="K241" s="1694">
        <f>D241</f>
        <v>38</v>
      </c>
      <c r="L241" s="466">
        <v>38</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578</v>
      </c>
      <c r="E243" s="617"/>
      <c r="F243" s="617"/>
      <c r="G243" s="617"/>
      <c r="H243" s="617"/>
      <c r="I243" s="617"/>
      <c r="J243" s="617"/>
      <c r="K243" s="1692">
        <f>SUM(K240:K242)</f>
        <v>578</v>
      </c>
      <c r="L243" s="1692">
        <f>SUM(L240:L242)</f>
        <v>585</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642</v>
      </c>
      <c r="E245" s="617"/>
      <c r="F245" s="617"/>
      <c r="G245" s="617"/>
      <c r="H245" s="617"/>
      <c r="I245" s="617"/>
      <c r="J245" s="617"/>
      <c r="K245" s="1694">
        <f>D245</f>
        <v>642</v>
      </c>
      <c r="L245" s="481">
        <v>645</v>
      </c>
    </row>
    <row r="246" spans="1:12" x14ac:dyDescent="0.2">
      <c r="A246" s="1526" t="s">
        <v>872</v>
      </c>
      <c r="B246" s="615">
        <v>2320</v>
      </c>
      <c r="C246" s="617"/>
      <c r="D246" s="466">
        <v>9118</v>
      </c>
      <c r="E246" s="617"/>
      <c r="F246" s="617"/>
      <c r="G246" s="617"/>
      <c r="H246" s="617"/>
      <c r="I246" s="617"/>
      <c r="J246" s="617"/>
      <c r="K246" s="1694">
        <f t="shared" ref="K246:K256" si="21">D246</f>
        <v>9118</v>
      </c>
      <c r="L246" s="466">
        <v>9100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1906</v>
      </c>
      <c r="B249" s="684" t="s">
        <v>300</v>
      </c>
      <c r="C249" s="617"/>
      <c r="D249" s="474"/>
      <c r="E249" s="617"/>
      <c r="F249" s="617"/>
      <c r="G249" s="617"/>
      <c r="H249" s="617"/>
      <c r="I249" s="617"/>
      <c r="J249" s="617"/>
      <c r="K249" s="1694">
        <f t="shared" si="21"/>
        <v>0</v>
      </c>
      <c r="L249" s="466"/>
    </row>
    <row r="250" spans="1:12" x14ac:dyDescent="0.2">
      <c r="A250" s="1527" t="s">
        <v>1907</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9760</v>
      </c>
      <c r="E257" s="617"/>
      <c r="F257" s="617"/>
      <c r="G257" s="617"/>
      <c r="H257" s="617"/>
      <c r="I257" s="617"/>
      <c r="J257" s="617"/>
      <c r="K257" s="1692">
        <f>SUM(K245:K256)</f>
        <v>9760</v>
      </c>
      <c r="L257" s="1692">
        <f>SUM(L245:L256)</f>
        <v>9745</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17852</v>
      </c>
      <c r="E259" s="617"/>
      <c r="F259" s="617"/>
      <c r="G259" s="617"/>
      <c r="H259" s="617"/>
      <c r="I259" s="617"/>
      <c r="J259" s="617"/>
      <c r="K259" s="1694">
        <f>D259</f>
        <v>17852</v>
      </c>
      <c r="L259" s="481">
        <v>17875</v>
      </c>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17852</v>
      </c>
      <c r="E261" s="617"/>
      <c r="F261" s="617"/>
      <c r="G261" s="617"/>
      <c r="H261" s="617"/>
      <c r="I261" s="617"/>
      <c r="J261" s="617"/>
      <c r="K261" s="1692">
        <f>SUM(K259:K260)</f>
        <v>17852</v>
      </c>
      <c r="L261" s="1692">
        <f>SUM(L259:L260)</f>
        <v>17875</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10116</v>
      </c>
      <c r="E264" s="617"/>
      <c r="F264" s="617"/>
      <c r="G264" s="617"/>
      <c r="H264" s="617"/>
      <c r="I264" s="617"/>
      <c r="J264" s="617"/>
      <c r="K264" s="1694">
        <f t="shared" ref="K264:K269" si="22">D264</f>
        <v>10116</v>
      </c>
      <c r="L264" s="466">
        <v>10003</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35368</v>
      </c>
      <c r="E266" s="617"/>
      <c r="F266" s="617"/>
      <c r="G266" s="617"/>
      <c r="H266" s="617"/>
      <c r="I266" s="617"/>
      <c r="J266" s="617"/>
      <c r="K266" s="1694">
        <f t="shared" si="22"/>
        <v>35368</v>
      </c>
      <c r="L266" s="466">
        <v>35250</v>
      </c>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v>20089</v>
      </c>
      <c r="E268" s="617"/>
      <c r="F268" s="617"/>
      <c r="G268" s="617"/>
      <c r="H268" s="617"/>
      <c r="I268" s="617"/>
      <c r="J268" s="617"/>
      <c r="K268" s="1694">
        <f t="shared" si="22"/>
        <v>20089</v>
      </c>
      <c r="L268" s="466">
        <v>19960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65573</v>
      </c>
      <c r="E270" s="617"/>
      <c r="F270" s="617"/>
      <c r="G270" s="617"/>
      <c r="H270" s="617"/>
      <c r="I270" s="617"/>
      <c r="J270" s="617"/>
      <c r="K270" s="1692">
        <f>SUM(K263:K269)</f>
        <v>65573</v>
      </c>
      <c r="L270" s="1692">
        <f>SUM(L263:L269)</f>
        <v>65213</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108123</v>
      </c>
      <c r="E279" s="617"/>
      <c r="F279" s="617"/>
      <c r="G279" s="617"/>
      <c r="H279" s="617"/>
      <c r="I279" s="617"/>
      <c r="J279" s="617"/>
      <c r="K279" s="1699">
        <f>SUM(K238,K243,K257,K261,K270,K277,K278)</f>
        <v>108123</v>
      </c>
      <c r="L279" s="1699">
        <f>SUM(L238,L243,L257,L261,L270,L277,L278)</f>
        <v>107745</v>
      </c>
    </row>
    <row r="280" spans="1:12" ht="15.75" customHeight="1" thickTop="1" thickBot="1" x14ac:dyDescent="0.25">
      <c r="A280" s="1646" t="s">
        <v>930</v>
      </c>
      <c r="B280" s="1635">
        <v>3000</v>
      </c>
      <c r="C280" s="617"/>
      <c r="D280" s="576">
        <v>15349</v>
      </c>
      <c r="E280" s="617"/>
      <c r="F280" s="617"/>
      <c r="G280" s="617"/>
      <c r="H280" s="617"/>
      <c r="I280" s="617"/>
      <c r="J280" s="617"/>
      <c r="K280" s="1701">
        <f>D280</f>
        <v>15349</v>
      </c>
      <c r="L280" s="576">
        <v>15145</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1954</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9" t="s">
        <v>526</v>
      </c>
      <c r="B295" s="2190"/>
      <c r="C295" s="617"/>
      <c r="D295" s="1692">
        <f>SUM(D229,D279,D280,D285)</f>
        <v>244815</v>
      </c>
      <c r="E295" s="617"/>
      <c r="F295" s="617"/>
      <c r="G295" s="617"/>
      <c r="H295" s="1692">
        <f>H293</f>
        <v>0</v>
      </c>
      <c r="I295" s="617"/>
      <c r="J295" s="617"/>
      <c r="K295" s="1692">
        <f>SUM(K229,K279,K280,K285,K293,K294)</f>
        <v>244815</v>
      </c>
      <c r="L295" s="1692">
        <f>SUM(L229,L279,L280,L285,L293,L294)</f>
        <v>244119</v>
      </c>
    </row>
    <row r="296" spans="1:14" ht="13.5" thickTop="1" x14ac:dyDescent="0.2">
      <c r="A296" s="2198" t="s">
        <v>1053</v>
      </c>
      <c r="B296" s="2199"/>
      <c r="C296" s="617"/>
      <c r="D296" s="619"/>
      <c r="E296" s="617"/>
      <c r="F296" s="617"/>
      <c r="G296" s="617"/>
      <c r="H296" s="688"/>
      <c r="I296" s="617"/>
      <c r="J296" s="617"/>
      <c r="K296" s="1706">
        <f>'Revenues 9-14'!G275-'Expenditures 15-22'!K295</f>
        <v>4563</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83892</v>
      </c>
      <c r="F301" s="466"/>
      <c r="G301" s="466">
        <v>37289</v>
      </c>
      <c r="H301" s="466"/>
      <c r="I301" s="467"/>
      <c r="J301" s="467"/>
      <c r="K301" s="1693">
        <f>SUM(C301:J301)</f>
        <v>121181</v>
      </c>
      <c r="L301" s="467">
        <v>119834</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83892</v>
      </c>
      <c r="F303" s="1699">
        <f t="shared" si="23"/>
        <v>0</v>
      </c>
      <c r="G303" s="1699">
        <f t="shared" si="23"/>
        <v>37289</v>
      </c>
      <c r="H303" s="1699">
        <f t="shared" si="23"/>
        <v>0</v>
      </c>
      <c r="I303" s="1699">
        <f t="shared" si="23"/>
        <v>0</v>
      </c>
      <c r="J303" s="1699">
        <f t="shared" si="23"/>
        <v>0</v>
      </c>
      <c r="K303" s="1699">
        <f t="shared" si="23"/>
        <v>121181</v>
      </c>
      <c r="L303" s="1699">
        <f t="shared" si="23"/>
        <v>119834</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1959</v>
      </c>
      <c r="B306" s="691" t="s">
        <v>1954</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6" t="s">
        <v>295</v>
      </c>
      <c r="B312" s="2187"/>
      <c r="C312" s="1692">
        <f>SUM(C303)</f>
        <v>0</v>
      </c>
      <c r="D312" s="1692">
        <f>SUM(D303)</f>
        <v>0</v>
      </c>
      <c r="E312" s="1692">
        <f>SUM(E303,E310)</f>
        <v>83892</v>
      </c>
      <c r="F312" s="1692">
        <f>SUM(F303)</f>
        <v>0</v>
      </c>
      <c r="G312" s="1692">
        <f>SUM(G303)</f>
        <v>37289</v>
      </c>
      <c r="H312" s="1692">
        <f>SUM(H303,H310)</f>
        <v>0</v>
      </c>
      <c r="I312" s="1692">
        <f>SUM(I303)</f>
        <v>0</v>
      </c>
      <c r="J312" s="1692">
        <f>SUM(J303)</f>
        <v>0</v>
      </c>
      <c r="K312" s="1692">
        <f>SUM(K303,K310,K311)</f>
        <v>121181</v>
      </c>
      <c r="L312" s="1692">
        <f>SUM(L303,L310,L311)</f>
        <v>119834</v>
      </c>
      <c r="M312" s="666"/>
      <c r="N312" s="666"/>
    </row>
    <row r="313" spans="1:14" ht="13.5" thickTop="1" x14ac:dyDescent="0.2">
      <c r="A313" s="2182" t="s">
        <v>1053</v>
      </c>
      <c r="B313" s="2183"/>
      <c r="C313" s="627"/>
      <c r="D313" s="627"/>
      <c r="E313" s="627"/>
      <c r="F313" s="627"/>
      <c r="G313" s="627"/>
      <c r="H313" s="627"/>
      <c r="I313" s="627"/>
      <c r="J313" s="627"/>
      <c r="K313" s="1707">
        <f>'Revenues 9-14'!H275-'Expenditures 15-22'!K312</f>
        <v>-121181</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300</v>
      </c>
      <c r="C320" s="467"/>
      <c r="D320" s="467"/>
      <c r="E320" s="467">
        <v>48732</v>
      </c>
      <c r="F320" s="467"/>
      <c r="G320" s="467"/>
      <c r="H320" s="467"/>
      <c r="I320" s="467"/>
      <c r="J320" s="467"/>
      <c r="K320" s="1693">
        <f t="shared" ref="K320:K327" si="24">SUM(C320:J320)</f>
        <v>48732</v>
      </c>
      <c r="L320" s="467">
        <v>48732</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39907</v>
      </c>
      <c r="F322" s="467"/>
      <c r="G322" s="467"/>
      <c r="H322" s="467"/>
      <c r="I322" s="467"/>
      <c r="J322" s="467"/>
      <c r="K322" s="1693">
        <f t="shared" si="24"/>
        <v>39907</v>
      </c>
      <c r="L322" s="467">
        <v>39907</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26040</v>
      </c>
      <c r="F327" s="467"/>
      <c r="G327" s="467"/>
      <c r="H327" s="467"/>
      <c r="I327" s="467"/>
      <c r="J327" s="467"/>
      <c r="K327" s="1693">
        <f t="shared" si="24"/>
        <v>26040</v>
      </c>
      <c r="L327" s="467">
        <v>22766</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114679</v>
      </c>
      <c r="F330" s="1692">
        <f t="shared" si="25"/>
        <v>0</v>
      </c>
      <c r="G330" s="1692">
        <f t="shared" si="25"/>
        <v>0</v>
      </c>
      <c r="H330" s="1692">
        <f t="shared" si="25"/>
        <v>0</v>
      </c>
      <c r="I330" s="1692">
        <f t="shared" si="25"/>
        <v>0</v>
      </c>
      <c r="J330" s="1692">
        <f t="shared" si="25"/>
        <v>0</v>
      </c>
      <c r="K330" s="1692">
        <f>SUM(K319:K329)</f>
        <v>114679</v>
      </c>
      <c r="L330" s="1692">
        <f>SUM(L319:L329)</f>
        <v>111405</v>
      </c>
      <c r="M330" s="666"/>
      <c r="N330" s="666"/>
    </row>
    <row r="331" spans="1:14" s="675" customFormat="1" ht="12.75" customHeight="1" thickTop="1" x14ac:dyDescent="0.2">
      <c r="A331" s="1854" t="s">
        <v>1960</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1954</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1956</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1961</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114679</v>
      </c>
      <c r="F342" s="1692">
        <f>SUM(F330)</f>
        <v>0</v>
      </c>
      <c r="G342" s="1692">
        <f>SUM(G330)</f>
        <v>0</v>
      </c>
      <c r="H342" s="1692">
        <f>SUM(H330,H334,H340)</f>
        <v>0</v>
      </c>
      <c r="I342" s="1692">
        <f>SUM(I330)</f>
        <v>0</v>
      </c>
      <c r="J342" s="1692">
        <f>SUM(J330)</f>
        <v>0</v>
      </c>
      <c r="K342" s="1692">
        <f>SUM(K330,K334,K340)</f>
        <v>114679</v>
      </c>
      <c r="L342" s="1699">
        <f>SUM(L330,L340,L341)</f>
        <v>111405</v>
      </c>
    </row>
    <row r="343" spans="1:14" ht="12.75" customHeight="1" thickTop="1" x14ac:dyDescent="0.2">
      <c r="A343" s="2184" t="s">
        <v>1053</v>
      </c>
      <c r="B343" s="2185"/>
      <c r="C343" s="617"/>
      <c r="D343" s="617"/>
      <c r="E343" s="617"/>
      <c r="F343" s="617"/>
      <c r="G343" s="617"/>
      <c r="H343" s="617"/>
      <c r="I343" s="617"/>
      <c r="J343" s="617"/>
      <c r="K343" s="1706">
        <f>'Revenues 9-14'!J275-'Expenditures 15-22'!K342</f>
        <v>-1526</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1962</v>
      </c>
      <c r="B354" s="684" t="s">
        <v>1954</v>
      </c>
      <c r="C354" s="617"/>
      <c r="D354" s="617"/>
      <c r="E354" s="617"/>
      <c r="F354" s="617"/>
      <c r="G354" s="617"/>
      <c r="H354" s="474"/>
      <c r="I354" s="702"/>
      <c r="J354" s="617"/>
      <c r="K354" s="1721">
        <f>H354</f>
        <v>0</v>
      </c>
      <c r="L354" s="471"/>
    </row>
    <row r="355" spans="1:14" ht="12.75" customHeight="1" x14ac:dyDescent="0.2">
      <c r="A355" s="1535" t="s">
        <v>1963</v>
      </c>
      <c r="B355" s="691" t="s">
        <v>1956</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98" t="s">
        <v>1053</v>
      </c>
      <c r="B368" s="2199"/>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
See notes.
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sharepoint/v3"/>
    <ds:schemaRef ds:uri="http://www.w3.org/XML/1998/namespace"/>
    <ds:schemaRef ds:uri="http://purl.org/dc/dcmitype/"/>
    <ds:schemaRef ds:uri="http://purl.org/dc/terms/"/>
    <ds:schemaRef ds:uri="http://purl.org/dc/elements/1.1/"/>
    <ds:schemaRef ds:uri="6ce3111e-7420-4802-b50a-75d4e9a0b980"/>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4d435f69-8686-490b-bd6d-b153bf22ab50"/>
    <ds:schemaRef ds:uri="d21dc803-237d-4c68-8692-8d731fd291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2018-10-22T21:20:30Z</cp:lastPrinted>
  <dcterms:created xsi:type="dcterms:W3CDTF">2003-10-29T19:06:34Z</dcterms:created>
  <dcterms:modified xsi:type="dcterms:W3CDTF">2018-11-13T20:34:45Z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