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K22" i="127" l="1"/>
  <c r="K13" i="127"/>
  <c r="K39" i="3" l="1"/>
  <c r="C39" i="3"/>
  <c r="D39"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78" i="106" s="1"/>
  <c r="B7795" i="106"/>
  <c r="K133" i="29"/>
  <c r="B7776" i="106" s="1"/>
  <c r="B7793" i="106"/>
  <c r="B7791" i="106"/>
  <c r="B7787" i="106"/>
  <c r="B7786"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J12" i="12"/>
  <c r="B7718" i="106" s="1"/>
  <c r="D7718" i="106" s="1"/>
  <c r="J21" i="12"/>
  <c r="J23" i="12" s="1"/>
  <c r="B7729" i="106"/>
  <c r="D7729" i="106" s="1"/>
  <c r="B7734" i="106"/>
  <c r="D7734" i="106" s="1"/>
  <c r="B7726" i="106"/>
  <c r="D76" i="36"/>
  <c r="F162" i="34"/>
  <c r="B30" i="36"/>
  <c r="B33" i="36" s="1"/>
  <c r="B43" i="36" s="1"/>
  <c r="B56" i="36" s="1"/>
  <c r="B66" i="36" s="1"/>
  <c r="B70" i="36" s="1"/>
  <c r="B74" i="36" s="1"/>
  <c r="D73" i="36"/>
  <c r="C191" i="5"/>
  <c r="C201" i="5"/>
  <c r="B5246" i="106" s="1"/>
  <c r="D5246" i="106" s="1"/>
  <c r="C211" i="5"/>
  <c r="C216" i="5"/>
  <c r="C224" i="5"/>
  <c r="C228" i="5"/>
  <c r="C259" i="5"/>
  <c r="B7761" i="106"/>
  <c r="D7761" i="106" s="1"/>
  <c r="L127" i="29"/>
  <c r="L129" i="29" s="1"/>
  <c r="L139" i="29"/>
  <c r="L149" i="29"/>
  <c r="I7" i="145"/>
  <c r="I6" i="145"/>
  <c r="D78" i="36"/>
  <c r="K75" i="29"/>
  <c r="K130" i="29"/>
  <c r="K185" i="29"/>
  <c r="F14" i="4" s="1"/>
  <c r="B2597" i="106" s="1"/>
  <c r="D2597" i="106" s="1"/>
  <c r="K122" i="29"/>
  <c r="F15" i="145" s="1"/>
  <c r="F19" i="145" s="1"/>
  <c r="K67" i="29"/>
  <c r="G33" i="108" s="1"/>
  <c r="K64" i="29"/>
  <c r="K59" i="29"/>
  <c r="E15" i="145" s="1"/>
  <c r="G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K78" i="29"/>
  <c r="K79" i="29"/>
  <c r="B2974" i="106" s="1"/>
  <c r="D2974" i="106" s="1"/>
  <c r="K80" i="29"/>
  <c r="B2975" i="106" s="1"/>
  <c r="D2975" i="106" s="1"/>
  <c r="K81" i="29"/>
  <c r="K82" i="29"/>
  <c r="K83" i="29"/>
  <c r="B2978" i="106" s="1"/>
  <c r="D2978" i="106" s="1"/>
  <c r="K93" i="29"/>
  <c r="K94" i="29"/>
  <c r="B6999" i="106" s="1"/>
  <c r="D6999" i="106" s="1"/>
  <c r="K95" i="29"/>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B7088" i="106" s="1"/>
  <c r="D7088" i="106" s="1"/>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s="1"/>
  <c r="B6300" i="106"/>
  <c r="D6300" i="106" s="1"/>
  <c r="B6302" i="106"/>
  <c r="D6302" i="106"/>
  <c r="B6303" i="106"/>
  <c r="D6303" i="106"/>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c r="B6328" i="106"/>
  <c r="D6328" i="106"/>
  <c r="B6329" i="106"/>
  <c r="D6329" i="106"/>
  <c r="B6330" i="106"/>
  <c r="D6330" i="106" s="1"/>
  <c r="B6331" i="106"/>
  <c r="D6331" i="106" s="1"/>
  <c r="B6332" i="106"/>
  <c r="D6332" i="106"/>
  <c r="B6333" i="106"/>
  <c r="D6333" i="106"/>
  <c r="B6334" i="106"/>
  <c r="D6334" i="106" s="1"/>
  <c r="B6335" i="106"/>
  <c r="D6335" i="106" s="1"/>
  <c r="B6336" i="106"/>
  <c r="D6336" i="106"/>
  <c r="B6337" i="106"/>
  <c r="D6337" i="106"/>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c r="B6379" i="106"/>
  <c r="D6379" i="106"/>
  <c r="B6380" i="106"/>
  <c r="D6380" i="106"/>
  <c r="B6381" i="106"/>
  <c r="D6381" i="106" s="1"/>
  <c r="B6382" i="106"/>
  <c r="D6382" i="106" s="1"/>
  <c r="B6383" i="106"/>
  <c r="D6383" i="106"/>
  <c r="B6384" i="106"/>
  <c r="D6384" i="106"/>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c r="B6411" i="106"/>
  <c r="D6411" i="106"/>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c r="B6622" i="106"/>
  <c r="D6622" i="106"/>
  <c r="B6623" i="106"/>
  <c r="D6623" i="106"/>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c r="B6646" i="106"/>
  <c r="D6646" i="106"/>
  <c r="B6647" i="106"/>
  <c r="D6647" i="106"/>
  <c r="B6648" i="106"/>
  <c r="D6648" i="106" s="1"/>
  <c r="B6649" i="106"/>
  <c r="D6649" i="106" s="1"/>
  <c r="B6650" i="106"/>
  <c r="D6650" i="106"/>
  <c r="B6651" i="106"/>
  <c r="D6651" i="106"/>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c r="B6674" i="106"/>
  <c r="D6674" i="106"/>
  <c r="B6675" i="106"/>
  <c r="D6675" i="106"/>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c r="B6694" i="106"/>
  <c r="D6694" i="106"/>
  <c r="B6695" i="106"/>
  <c r="D6695" i="106"/>
  <c r="B6696" i="106"/>
  <c r="D6696" i="106" s="1"/>
  <c r="B6697" i="106"/>
  <c r="D6697" i="106" s="1"/>
  <c r="B6698" i="106"/>
  <c r="D6698" i="106"/>
  <c r="B6699" i="106"/>
  <c r="D6699" i="106"/>
  <c r="B6700" i="106"/>
  <c r="D6700" i="106" s="1"/>
  <c r="B6701" i="106"/>
  <c r="D6701" i="106" s="1"/>
  <c r="B6702" i="106"/>
  <c r="D6702" i="106"/>
  <c r="B6703" i="106"/>
  <c r="D6703" i="106"/>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c r="B6722" i="106"/>
  <c r="D6722" i="106"/>
  <c r="B6723" i="106"/>
  <c r="D6723" i="106"/>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5" i="127"/>
  <c r="B66" i="127"/>
  <c r="D26" i="108"/>
  <c r="E26" i="108"/>
  <c r="F26" i="108"/>
  <c r="G26" i="108"/>
  <c r="D27" i="108"/>
  <c r="E27" i="108"/>
  <c r="G27" i="108"/>
  <c r="F31" i="108"/>
  <c r="F36" i="108"/>
  <c r="F37" i="108"/>
  <c r="G28" i="108"/>
  <c r="G30" i="108"/>
  <c r="D31" i="108"/>
  <c r="D36" i="108"/>
  <c r="D37" i="108"/>
  <c r="E31" i="108"/>
  <c r="G31" i="108"/>
  <c r="E33" i="108"/>
  <c r="E34" i="108"/>
  <c r="G34" i="108"/>
  <c r="E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C53" i="34"/>
  <c r="D53" i="34"/>
  <c r="C56" i="34"/>
  <c r="F56" i="34"/>
  <c r="C57" i="34"/>
  <c r="D57" i="34"/>
  <c r="C61" i="34"/>
  <c r="C62" i="34"/>
  <c r="C63" i="34"/>
  <c r="D63" i="34"/>
  <c r="C64" i="34"/>
  <c r="F64" i="34"/>
  <c r="F66"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8" i="7"/>
  <c r="B1748" i="106" s="1"/>
  <c r="D1748" i="106" s="1"/>
  <c r="B9" i="7"/>
  <c r="B1751" i="106" s="1"/>
  <c r="D1751" i="106" s="1"/>
  <c r="B10" i="7"/>
  <c r="B1749" i="106" s="1"/>
  <c r="D1749" i="106" s="1"/>
  <c r="B11" i="7"/>
  <c r="B1752" i="106" s="1"/>
  <c r="D1752" i="106" s="1"/>
  <c r="B12" i="7"/>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D5" i="4"/>
  <c r="B3406" i="106" s="1"/>
  <c r="D3406" i="106" s="1"/>
  <c r="G14" i="4"/>
  <c r="B2609" i="106" s="1"/>
  <c r="D2609" i="106" s="1"/>
  <c r="C14" i="4"/>
  <c r="B2558" i="106" s="1"/>
  <c r="D2558" i="106" s="1"/>
  <c r="D14" i="4"/>
  <c r="B2570" i="106" s="1"/>
  <c r="D2570" i="106" s="1"/>
  <c r="B2633" i="106"/>
  <c r="D2633" i="106" s="1"/>
  <c r="D7" i="118"/>
  <c r="D8" i="118"/>
  <c r="D9" i="118"/>
  <c r="H14" i="118"/>
  <c r="H19" i="118"/>
  <c r="H24" i="118"/>
  <c r="H28" i="118"/>
  <c r="H29" i="118"/>
  <c r="H33" i="118"/>
  <c r="D11" i="37"/>
  <c r="D22" i="37"/>
  <c r="J22" i="37"/>
  <c r="D24" i="37"/>
  <c r="B4270" i="106" s="1"/>
  <c r="D4270" i="106" s="1"/>
  <c r="L5" i="11"/>
  <c r="B2056" i="106" s="1"/>
  <c r="D2056" i="106" s="1"/>
  <c r="D5" i="7"/>
  <c r="B1761" i="106" s="1"/>
  <c r="D1761" i="106" s="1"/>
  <c r="F111" i="34"/>
  <c r="B5847" i="106"/>
  <c r="D5847" i="106" s="1"/>
  <c r="H173" i="5"/>
  <c r="B5906" i="106" s="1"/>
  <c r="D5906" i="106" s="1"/>
  <c r="D17" i="7"/>
  <c r="B4104" i="106" s="1"/>
  <c r="D4104" i="106" s="1"/>
  <c r="H6" i="4" l="1"/>
  <c r="B2656" i="106" s="1"/>
  <c r="D2656" i="106" s="1"/>
  <c r="J352" i="29"/>
  <c r="J210" i="29"/>
  <c r="B7072" i="106" s="1"/>
  <c r="D7072" i="106" s="1"/>
  <c r="G39" i="108"/>
  <c r="K24" i="12"/>
  <c r="B7733" i="106" s="1"/>
  <c r="D7733" i="106" s="1"/>
  <c r="F130" i="34"/>
  <c r="D109" i="5"/>
  <c r="B5356" i="106" s="1"/>
  <c r="D5356" i="106" s="1"/>
  <c r="F131" i="34"/>
  <c r="K28" i="118"/>
  <c r="O27" i="118" s="1"/>
  <c r="O29" i="118" s="1"/>
  <c r="G5" i="4"/>
  <c r="B3409" i="106" s="1"/>
  <c r="D3409" i="106" s="1"/>
  <c r="I173" i="5"/>
  <c r="B4216" i="106" s="1"/>
  <c r="D4216" i="106" s="1"/>
  <c r="F72" i="34"/>
  <c r="F70" i="34"/>
  <c r="F45" i="34"/>
  <c r="F36" i="34"/>
  <c r="G35" i="108"/>
  <c r="J41" i="3"/>
  <c r="B6216" i="106" s="1"/>
  <c r="D6216" i="106" s="1"/>
  <c r="G352" i="29"/>
  <c r="K285" i="29"/>
  <c r="G15" i="4" s="1"/>
  <c r="B6032" i="106" s="1"/>
  <c r="D6032" i="106" s="1"/>
  <c r="E174" i="29"/>
  <c r="B1309" i="106" s="1"/>
  <c r="D1309" i="106" s="1"/>
  <c r="C129" i="29"/>
  <c r="B1225" i="106" s="1"/>
  <c r="D1225" i="106" s="1"/>
  <c r="G172" i="5"/>
  <c r="G173" i="5" s="1"/>
  <c r="B5778" i="106" s="1"/>
  <c r="D5778" i="106" s="1"/>
  <c r="C172" i="5"/>
  <c r="C173" i="5" s="1"/>
  <c r="B5223" i="106" s="1"/>
  <c r="D5223" i="106" s="1"/>
  <c r="F34" i="34"/>
  <c r="C342" i="29"/>
  <c r="B7216" i="106" s="1"/>
  <c r="D7216" i="106" s="1"/>
  <c r="B3619" i="106"/>
  <c r="D3619" i="106" s="1"/>
  <c r="L342" i="29"/>
  <c r="K26" i="12"/>
  <c r="B7743" i="106" s="1"/>
  <c r="D7743" i="106" s="1"/>
  <c r="D54" i="36"/>
  <c r="F35" i="34"/>
  <c r="N22" i="3"/>
  <c r="B283" i="106" s="1"/>
  <c r="D283" i="106" s="1"/>
  <c r="F68" i="34"/>
  <c r="G29" i="108"/>
  <c r="E29" i="108"/>
  <c r="K184" i="29"/>
  <c r="F13" i="4" s="1"/>
  <c r="B2596" i="106" s="1"/>
  <c r="D2596" i="106" s="1"/>
  <c r="F52" i="34"/>
  <c r="F28" i="108"/>
  <c r="F41" i="108" s="1"/>
  <c r="G43" i="108" s="1"/>
  <c r="E28" i="108"/>
  <c r="B5260" i="106"/>
  <c r="D5260" i="106" s="1"/>
  <c r="D11" i="7"/>
  <c r="B1768" i="106" s="1"/>
  <c r="D1768" i="106" s="1"/>
  <c r="C109" i="5"/>
  <c r="B5121" i="106" s="1"/>
  <c r="D5121" i="106" s="1"/>
  <c r="D4" i="7"/>
  <c r="B1760" i="106" s="1"/>
  <c r="D1760" i="106" s="1"/>
  <c r="B5214" i="106"/>
  <c r="D5214" i="106" s="1"/>
  <c r="B5096" i="106"/>
  <c r="D5096" i="106" s="1"/>
  <c r="F106" i="34"/>
  <c r="D13" i="7"/>
  <c r="B3726" i="106" s="1"/>
  <c r="D3726" i="106" s="1"/>
  <c r="E109" i="5"/>
  <c r="E4" i="4" s="1"/>
  <c r="B2630" i="106" s="1"/>
  <c r="D2630" i="106" s="1"/>
  <c r="B1747" i="106"/>
  <c r="D1747" i="106" s="1"/>
  <c r="D7" i="7"/>
  <c r="B1763" i="106" s="1"/>
  <c r="D1763" i="106" s="1"/>
  <c r="H44" i="4"/>
  <c r="B6289" i="106"/>
  <c r="D6289" i="106" s="1"/>
  <c r="L22" i="37"/>
  <c r="B2734" i="106"/>
  <c r="D2734" i="106" s="1"/>
  <c r="B1746" i="106"/>
  <c r="D1746" i="106" s="1"/>
  <c r="H109" i="5"/>
  <c r="F127" i="34"/>
  <c r="J367" i="29"/>
  <c r="B7245" i="106" s="1"/>
  <c r="D7245" i="106" s="1"/>
  <c r="B7235" i="106"/>
  <c r="D7235" i="106" s="1"/>
  <c r="B3649" i="106"/>
  <c r="D3649" i="106" s="1"/>
  <c r="G367" i="29"/>
  <c r="B3650" i="106" s="1"/>
  <c r="D3650" i="106" s="1"/>
  <c r="F128" i="34"/>
  <c r="K173" i="5"/>
  <c r="K6" i="4" s="1"/>
  <c r="B3570" i="106" s="1"/>
  <c r="D3570" i="106" s="1"/>
  <c r="B1753" i="106"/>
  <c r="D1753" i="106" s="1"/>
  <c r="D12" i="7"/>
  <c r="B1769" i="106" s="1"/>
  <c r="D1769" i="106" s="1"/>
  <c r="E30" i="108"/>
  <c r="B4173" i="106"/>
  <c r="D4173" i="106" s="1"/>
  <c r="D69" i="36"/>
  <c r="B2836" i="106"/>
  <c r="D2836" i="106" s="1"/>
  <c r="K92" i="29"/>
  <c r="B2089" i="106" s="1"/>
  <c r="D2089" i="106" s="1"/>
  <c r="B6995" i="106"/>
  <c r="D6995" i="106" s="1"/>
  <c r="E14" i="145"/>
  <c r="G14" i="145" s="1"/>
  <c r="B1124" i="106"/>
  <c r="D1124" i="106" s="1"/>
  <c r="B1142" i="106"/>
  <c r="D1142" i="106" s="1"/>
  <c r="G38" i="108"/>
  <c r="B3170" i="106"/>
  <c r="D3170" i="106" s="1"/>
  <c r="H76" i="4"/>
  <c r="B3298" i="106" s="1"/>
  <c r="D3298" i="106" s="1"/>
  <c r="I24" i="12"/>
  <c r="F73" i="34"/>
  <c r="B1473" i="106"/>
  <c r="D1473" i="106" s="1"/>
  <c r="F71" i="34"/>
  <c r="J77" i="4"/>
  <c r="B6262" i="106" s="1"/>
  <c r="D6262" i="106" s="1"/>
  <c r="B2054" i="106"/>
  <c r="D2054" i="106" s="1"/>
  <c r="L13" i="11"/>
  <c r="B2060" i="106" s="1"/>
  <c r="D2060" i="106" s="1"/>
  <c r="B3621" i="106"/>
  <c r="D3621" i="106" s="1"/>
  <c r="C367" i="29"/>
  <c r="F21" i="8"/>
  <c r="B3689" i="106"/>
  <c r="D3689" i="106" s="1"/>
  <c r="B3565" i="106"/>
  <c r="D3565" i="106" s="1"/>
  <c r="K41" i="3"/>
  <c r="K274" i="5"/>
  <c r="B6022" i="106" s="1"/>
  <c r="D6022" i="106" s="1"/>
  <c r="D4" i="4"/>
  <c r="B2564" i="106" s="1"/>
  <c r="D2564" i="106" s="1"/>
  <c r="B5770" i="106"/>
  <c r="D5770" i="106" s="1"/>
  <c r="D15" i="7"/>
  <c r="B1772" i="106" s="1"/>
  <c r="D1772" i="106" s="1"/>
  <c r="B5752" i="106"/>
  <c r="D5752" i="106" s="1"/>
  <c r="D9" i="7"/>
  <c r="B1767" i="106" s="1"/>
  <c r="D1767" i="106" s="1"/>
  <c r="G109" i="5"/>
  <c r="F62" i="34"/>
  <c r="K350" i="29"/>
  <c r="K76" i="4"/>
  <c r="B3586" i="106" s="1"/>
  <c r="D3586" i="106" s="1"/>
  <c r="F77" i="4"/>
  <c r="B3255" i="106" s="1"/>
  <c r="D3255" i="106" s="1"/>
  <c r="B1792" i="106"/>
  <c r="D1792" i="106" s="1"/>
  <c r="F19" i="7"/>
  <c r="B1807" i="106" s="1"/>
  <c r="D1807" i="106" s="1"/>
  <c r="B1329" i="106"/>
  <c r="D1329" i="106" s="1"/>
  <c r="F61" i="34"/>
  <c r="L15" i="11"/>
  <c r="B3459" i="106" s="1"/>
  <c r="D3459" i="106" s="1"/>
  <c r="J274" i="5"/>
  <c r="B7054" i="106" s="1"/>
  <c r="D7054" i="106" s="1"/>
  <c r="L367" i="29"/>
  <c r="I342" i="29"/>
  <c r="B7222" i="106" s="1"/>
  <c r="D7222" i="106" s="1"/>
  <c r="G210" i="29"/>
  <c r="H342" i="29"/>
  <c r="B7221" i="106" s="1"/>
  <c r="D7221" i="106" s="1"/>
  <c r="F136" i="34"/>
  <c r="F172" i="5"/>
  <c r="B5644" i="106" s="1"/>
  <c r="D5644" i="106" s="1"/>
  <c r="L312"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E273" i="5"/>
  <c r="B6835" i="106"/>
  <c r="D6835" i="106" s="1"/>
  <c r="G273" i="5"/>
  <c r="B4398" i="106"/>
  <c r="D4398" i="106" s="1"/>
  <c r="B5537" i="106"/>
  <c r="D5537" i="106" s="1"/>
  <c r="E173" i="5"/>
  <c r="I109" i="5"/>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B2657" i="106"/>
  <c r="D2657" i="106" s="1"/>
  <c r="D274" i="5"/>
  <c r="B7270" i="106"/>
  <c r="B5653" i="106" l="1"/>
  <c r="D5653" i="106" s="1"/>
  <c r="C151" i="29"/>
  <c r="B1226" i="106" s="1"/>
  <c r="D1226" i="106" s="1"/>
  <c r="K7" i="4"/>
  <c r="B3718" i="106" s="1"/>
  <c r="D3718" i="106" s="1"/>
  <c r="C114" i="29"/>
  <c r="B757" i="106" s="1"/>
  <c r="D757" i="106" s="1"/>
  <c r="J7" i="4"/>
  <c r="B6222" i="106" s="1"/>
  <c r="D6222" i="106" s="1"/>
  <c r="H77" i="4"/>
  <c r="B3299" i="106" s="1"/>
  <c r="D3299" i="106" s="1"/>
  <c r="H367" i="29"/>
  <c r="B3660" i="106" s="1"/>
  <c r="D3660" i="106" s="1"/>
  <c r="N23" i="3"/>
  <c r="B284" i="106" s="1"/>
  <c r="D284" i="106" s="1"/>
  <c r="D44" i="36"/>
  <c r="B1381" i="106"/>
  <c r="D1381" i="106" s="1"/>
  <c r="C6" i="4"/>
  <c r="B2553" i="106" s="1"/>
  <c r="D2553" i="106" s="1"/>
  <c r="C4" i="4"/>
  <c r="B2551" i="106" s="1"/>
  <c r="D2551" i="106" s="1"/>
  <c r="B5527" i="106"/>
  <c r="D5527" i="106" s="1"/>
  <c r="B1317" i="106"/>
  <c r="D1317" i="106" s="1"/>
  <c r="F274" i="5"/>
  <c r="F275" i="5" s="1"/>
  <c r="B5720" i="106" s="1"/>
  <c r="D5720" i="106" s="1"/>
  <c r="B1365" i="106"/>
  <c r="D1365" i="106" s="1"/>
  <c r="F65" i="34"/>
  <c r="B6025" i="106"/>
  <c r="D6025" i="106" s="1"/>
  <c r="H4" i="4"/>
  <c r="D19" i="7"/>
  <c r="B1775" i="106" s="1"/>
  <c r="D1775" i="106" s="1"/>
  <c r="H275" i="5"/>
  <c r="B5915" i="106" s="1"/>
  <c r="D5915" i="106" s="1"/>
  <c r="L16" i="11"/>
  <c r="B2061" i="106" s="1"/>
  <c r="D2061" i="106" s="1"/>
  <c r="B3628" i="106"/>
  <c r="D3628" i="106" s="1"/>
  <c r="B3670" i="106"/>
  <c r="D3670" i="106" s="1"/>
  <c r="K352" i="29"/>
  <c r="B1996" i="106"/>
  <c r="D1996" i="106" s="1"/>
  <c r="I26" i="12"/>
  <c r="B7741" i="106" s="1"/>
  <c r="D7741" i="106" s="1"/>
  <c r="B3568" i="106"/>
  <c r="D3568" i="106" s="1"/>
  <c r="D52" i="36"/>
  <c r="B1879" i="106"/>
  <c r="D1879" i="106" s="1"/>
  <c r="H22" i="37"/>
  <c r="K342" i="29"/>
  <c r="F13" i="34" s="1"/>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B7224" i="106" l="1"/>
  <c r="D7224" i="106" s="1"/>
  <c r="B1145" i="106"/>
  <c r="D1145" i="106" s="1"/>
  <c r="G41" i="108"/>
  <c r="G44" i="108" s="1"/>
  <c r="G45" i="108" s="1"/>
  <c r="F8" i="4"/>
  <c r="D8" i="146" s="1"/>
  <c r="B2655" i="106"/>
  <c r="D2655" i="106" s="1"/>
  <c r="H8" i="4"/>
  <c r="K13" i="4"/>
  <c r="B3572" i="106" s="1"/>
  <c r="D3572" i="106" s="1"/>
  <c r="B3672" i="106"/>
  <c r="D3672" i="106" s="1"/>
  <c r="J8" i="4"/>
  <c r="J20" i="4" s="1"/>
  <c r="K367" i="29"/>
  <c r="B3678" i="106" s="1"/>
  <c r="D3678"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K368" i="29" l="1"/>
  <c r="B3681" i="106" s="1"/>
  <c r="D3681" i="106" s="1"/>
  <c r="K17" i="4"/>
  <c r="B3575" i="106" s="1"/>
  <c r="D3575" i="106" s="1"/>
  <c r="B2595" i="106"/>
  <c r="D2595" i="106" s="1"/>
  <c r="F10" i="4"/>
  <c r="B4125" i="106" s="1"/>
  <c r="D4125" i="106" s="1"/>
  <c r="J10" i="4"/>
  <c r="B6225" i="106" s="1"/>
  <c r="D6225" i="10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K20" i="4" l="1"/>
  <c r="K78" i="4" s="1"/>
  <c r="K19" i="4"/>
  <c r="B4144" i="106" s="1"/>
  <c r="D414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c r="D2663" i="106" s="1"/>
  <c r="H81" i="4"/>
  <c r="B1700" i="106" s="1"/>
  <c r="D1700" i="106" s="1"/>
  <c r="H82" i="4"/>
  <c r="B6272" i="106" s="1"/>
  <c r="D6272" i="106" s="1"/>
  <c r="H83" i="4" l="1"/>
  <c r="B6281" i="106" s="1"/>
  <c r="D6281" i="106" s="1"/>
  <c r="D62"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<sst xmlns="http://schemas.openxmlformats.org/spreadsheetml/2006/main" count="5098" uniqueCount="2148">
  <si>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</si>
  <si>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</si>
  <si>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</si>
  <si>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</si>
  <si>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</si>
  <si>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</si>
  <si>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</si>
  <si>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</si>
  <si>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</si>
  <si>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</si>
  <si>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</si>
  <si>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</si>
  <si>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</si>
  <si>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</si>
  <si>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</si>
  <si>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</si>
  <si>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</si>
  <si>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</si>
  <si>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</si>
  <si>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</si>
  <si>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</si>
  <si>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</si>
  <si>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</si>
  <si>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</si>
  <si>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</si>
  <si>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</si>
  <si>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</si>
  <si>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</si>
  <si>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</si>
  <si>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</si>
  <si>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</si>
  <si>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</si>
  <si>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</si>
  <si>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</si>
  <si>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</si>
  <si>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</si>
  <si>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</si>
  <si>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</si>
  <si>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</si>
  <si>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</si>
  <si>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</si>
  <si>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</si>
  <si>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</si>
  <si>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</si>
  <si>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</si>
  <si>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</si>
  <si>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</si>
  <si>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</si>
  <si>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</si>
  <si>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</si>
  <si>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</si>
  <si>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</si>
  <si>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</si>
  <si>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</si>
  <si>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</si>
  <si>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</si>
  <si>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</si>
  <si>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</si>
  <si>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</si>
  <si>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</si>
  <si>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</si>
  <si>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</si>
  <si>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</si>
  <si>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</si>
  <si>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</si>
  <si>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</si>
  <si>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</si>
  <si>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</si>
  <si>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</si>
  <si>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</si>
  <si>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</si>
  <si>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</si>
  <si>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</si>
  <si>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</si>
  <si>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</si>
  <si>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</si>
  <si>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</si>
  <si>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</si>
  <si>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</si>
  <si>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</si>
  <si>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</si>
  <si>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</si>
  <si>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</si>
  <si>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</si>
  <si>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</si>
  <si>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</si>
  <si>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</si>
  <si>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</si>
  <si>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</si>
  <si>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</si>
  <si>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</si>
  <si>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</si>
  <si>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</si>
  <si>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</si>
  <si>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</si>
  <si>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</si>
  <si>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</si>
  <si>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</si>
  <si>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</si>
  <si>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</si>
  <si>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</si>
  <si>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</si>
  <si>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</si>
  <si>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</si>
  <si>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</si>
  <si>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</si>
  <si>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</si>
  <si>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</si>
  <si>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</si>
  <si>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</si>
  <si>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</si>
  <si>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</si>
  <si>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</si>
  <si>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</si>
  <si>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</si>
  <si>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</si>
  <si>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</si>
  <si>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</si>
  <si>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</si>
  <si>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</si>
  <si>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</si>
  <si>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</si>
  <si>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</si>
  <si>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</si>
  <si>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</si>
  <si>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</si>
  <si>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</si>
  <si>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</si>
  <si>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</si>
  <si>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</si>
  <si>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</si>
  <si>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</si>
  <si>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</si>
  <si>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</si>
  <si>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</si>
  <si>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</si>
  <si>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</si>
  <si>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</si>
  <si>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</si>
  <si>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</si>
  <si>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</si>
  <si>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</si>
  <si>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</si>
  <si>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</si>
  <si>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</si>
  <si>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</si>
  <si>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</si>
  <si>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</si>
  <si>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</si>
  <si>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</si>
  <si>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</si>
  <si>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</si>
  <si>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</si>
  <si>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</si>
  <si>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</si>
  <si>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</si>
  <si>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</si>
  <si>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</si>
  <si>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</si>
  <si>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</si>
  <si>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</si>
  <si>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</si>
  <si>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</si>
  <si>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</si>
  <si>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</si>
  <si>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</si>
  <si>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</si>
  <si>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</si>
  <si>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</si>
  <si>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</si>
  <si>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</si>
  <si>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</si>
  <si>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</si>
  <si>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</si>
  <si>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</si>
  <si>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</si>
  <si>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</si>
  <si>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</si>
  <si>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</si>
  <si>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</si>
  <si>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</si>
  <si>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</si>
  <si>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</si>
  <si>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</si>
  <si>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</si>
  <si>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</si>
  <si>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</si>
  <si>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</si>
  <si>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</si>
  <si>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</si>
  <si>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</si>
  <si>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</si>
  <si>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</si>
  <si>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</si>
  <si>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</si>
  <si>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</si>
  <si>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</si>
  <si>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</si>
  <si>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</si>
  <si>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</si>
  <si>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</si>
  <si>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</si>
  <si>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</si>
  <si>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</si>
  <si>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</si>
  <si>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</si>
  <si>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</si>
  <si>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</si>
  <si>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</si>
  <si>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</si>
  <si>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</si>
  <si>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</si>
  <si>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</si>
  <si>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</si>
  <si>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</si>
  <si>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</si>
  <si>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</si>
  <si>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</si>
  <si>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</si>
  <si>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</si>
  <si>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</si>
  <si>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</si>
  <si>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</si>
  <si>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</si>
  <si>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</si>
  <si>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</si>
  <si>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</si>
  <si>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</si>
  <si>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</si>
  <si>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</si>
  <si>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</si>
  <si>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</si>
  <si>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</si>
  <si>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</si>
  <si>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</si>
  <si>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</si>
  <si>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</si>
  <si>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</si>
  <si>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</si>
  <si>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</si>
  <si>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</si>
  <si>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</si>
  <si>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</si>
  <si>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</si>
  <si>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</si>
  <si>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</si>
  <si>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</si>
  <si>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</si>
  <si>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</si>
  <si>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</si>
  <si>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</si>
  <si>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</si>
  <si>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</si>
  <si>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</si>
  <si>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</si>
  <si>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</si>
  <si>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</si>
  <si>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</si>
  <si>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</si>
  <si>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</si>
  <si>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</si>
  <si>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</si>
  <si>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</si>
  <si>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</si>
  <si>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</si>
  <si>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</si>
  <si>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</si>
  <si>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</si>
  <si>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</si>
  <si>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</si>
  <si>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</si>
  <si>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</si>
  <si>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</si>
  <si>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</si>
  <si>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</si>
  <si>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</si>
  <si>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</si>
  <si>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</si>
  <si>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</si>
  <si>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</si>
  <si>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</si>
  <si>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</si>
  <si>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</si>
  <si>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</si>
  <si>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</si>
  <si>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</si>
  <si>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</si>
  <si>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</si>
  <si>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</si>
  <si>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</si>
  <si>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</si>
  <si>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</si>
  <si>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</si>
  <si>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</si>
  <si>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</si>
  <si>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</si>
  <si>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</si>
  <si>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</si>
  <si>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</si>
  <si>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</si>
  <si>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</si>
  <si>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</si>
  <si>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</si>
  <si>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</si>
  <si>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</si>
  <si>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</si>
  <si>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</si>
  <si>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</si>
  <si>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</si>
  <si>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</si>
  <si>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</si>
  <si>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</si>
  <si>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</si>
  <si>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</si>
  <si>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</si>
  <si>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</si>
  <si>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</si>
  <si>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</si>
  <si>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</si>
  <si>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</si>
  <si>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</si>
  <si>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</si>
  <si>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</si>
  <si>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</si>
  <si>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</si>
  <si>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</si>
  <si>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</si>
  <si>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</si>
  <si>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</si>
  <si>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</si>
  <si>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</si>
  <si>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</si>
  <si>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</si>
  <si>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</si>
  <si>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</si>
  <si>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</si>
  <si>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</si>
  <si>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</si>
  <si>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</si>
  <si>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</si>
  <si>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</si>
  <si>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</si>
  <si>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</si>
  <si>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</si>
  <si>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</si>
  <si>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</si>
  <si>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</si>
  <si>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</si>
  <si>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</si>
  <si>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</si>
  <si>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</si>
  <si>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</si>
  <si>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</si>
  <si>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</si>
  <si>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</si>
  <si>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</si>
  <si>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</si>
  <si>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</si>
  <si>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</si>
  <si>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</si>
  <si>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</si>
  <si>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</si>
  <si>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</si>
  <si>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</si>
  <si>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</si>
  <si>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</si>
  <si>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</si>
  <si>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</si>
  <si>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</si>
  <si>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</si>
  <si>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</si>
  <si>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</si>
  <si>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</si>
  <si>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</si>
  <si>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</si>
  <si>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</si>
  <si>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</si>
  <si>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</si>
  <si>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</si>
  <si>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</si>
  <si>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</si>
  <si>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</si>
  <si>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</si>
  <si>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</si>
  <si>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</si>
  <si>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</si>
  <si>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</si>
  <si>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</si>
  <si>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</si>
  <si>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</si>
  <si>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</si>
  <si>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</si>
  <si>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</si>
  <si>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</si>
  <si>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</si>
  <si>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</si>
  <si>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</si>
  <si>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</si>
  <si>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</si>
  <si>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</si>
  <si>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</si>
  <si>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</si>
  <si>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</si>
  <si>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</si>
  <si>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</si>
  <si>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</si>
  <si>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</si>
  <si>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</si>
  <si>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</si>
  <si>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</si>
  <si>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</si>
  <si>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</si>
  <si>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</si>
  <si>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</si>
  <si>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</si>
  <si>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</si>
  <si>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</si>
  <si>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</si>
  <si>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</si>
  <si>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</si>
  <si>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</si>
  <si>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</si>
  <si>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</si>
  <si>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</si>
  <si>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</si>
  <si>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</si>
  <si>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</si>
  <si>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</si>
  <si>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</si>
  <si>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</si>
  <si>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</si>
  <si>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</si>
  <si>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</si>
  <si>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</si>
  <si>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</si>
  <si>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</si>
  <si>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</si>
  <si>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</si>
  <si>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</si>
  <si>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</si>
  <si>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</si>
  <si>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</si>
  <si>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</si>
  <si>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</si>
  <si>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</si>
  <si>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</si>
  <si>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</si>
  <si>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</si>
  <si>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</si>
  <si>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</si>
  <si>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</si>
  <si>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</si>
  <si>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</si>
  <si>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</si>
  <si>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</si>
  <si>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</si>
  <si>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</si>
  <si>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</si>
  <si>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</si>
  <si>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</si>
  <si>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</si>
  <si>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</si>
  <si>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</si>
  <si>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</si>
  <si>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</si>
  <si>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</si>
  <si>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</si>
  <si>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</si>
  <si>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</si>
  <si>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</si>
  <si>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</si>
  <si>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</si>
  <si>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</si>
  <si>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</si>
  <si>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</si>
  <si>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</si>
  <si>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</si>
  <si>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</si>
  <si>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</si>
  <si>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</si>
  <si>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</si>
  <si>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</si>
  <si>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</si>
  <si>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</si>
  <si>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</si>
  <si>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</si>
  <si>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</si>
  <si>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</si>
  <si>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</si>
  <si>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</si>
  <si>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</si>
  <si>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</si>
  <si>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</si>
  <si>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</si>
  <si>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</si>
  <si>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</si>
  <si>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</si>
  <si>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</si>
  <si>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</si>
  <si>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</si>
  <si>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</si>
  <si>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</si>
  <si>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</si>
  <si>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</si>
  <si>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</si>
  <si>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</si>
  <si>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</si>
  <si>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</si>
  <si>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</si>
  <si>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</si>
  <si>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</si>
  <si>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</si>
  <si>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</si>
  <si>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</si>
  <si>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</si>
  <si>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</si>
  <si>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</si>
  <si>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</si>
  <si>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</si>
  <si>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</si>
  <si>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</si>
  <si>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</si>
  <si>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</si>
  <si>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</si>
  <si>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</si>
  <si>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</si>
  <si>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</si>
  <si>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</si>
  <si>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</si>
  <si>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</si>
  <si>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</si>
  <si>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</si>
  <si>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</si>
  <si>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</si>
  <si>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</si>
  <si>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</si>
  <si>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</si>
  <si>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</si>
  <si>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</si>
  <si>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</si>
  <si>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</si>
  <si>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</si>
  <si>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</si>
  <si>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</si>
  <si>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</si>
  <si>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</si>
  <si>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</si>
  <si>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</si>
  <si>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</si>
  <si>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</si>
  <si>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</si>
  <si>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</si>
  <si>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</si>
  <si>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</si>
  <si>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</si>
  <si>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</si>
  <si>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</si>
  <si>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</si>
  <si>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</si>
  <si>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</si>
  <si>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</si>
  <si>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</si>
  <si>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</si>
  <si>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</si>
  <si>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</si>
  <si>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</si>
  <si>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</si>
  <si>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</si>
  <si>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</si>
  <si>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</si>
  <si>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</si>
  <si>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</si>
  <si>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</si>
  <si>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</si>
  <si>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</si>
  <si>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</si>
  <si>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</si>
  <si>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</si>
  <si>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</si>
  <si>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</si>
  <si>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</si>
  <si>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</si>
  <si>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</si>
  <si>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</si>
  <si>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</si>
  <si>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</si>
  <si>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</si>
  <si>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</si>
  <si>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</si>
  <si>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</si>
  <si>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</si>
  <si>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</si>
  <si>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</si>
  <si>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</si>
  <si>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</si>
  <si>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</si>
  <si>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</si>
  <si>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</si>
  <si>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</si>
  <si>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</si>
  <si>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</si>
  <si>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</si>
  <si>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</si>
  <si>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</si>
  <si>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</si>
  <si>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</si>
  <si>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</si>
  <si>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</si>
  <si>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</si>
  <si>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</si>
  <si>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</si>
  <si>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</si>
  <si>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</si>
  <si>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</si>
  <si>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</si>
  <si>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</si>
  <si>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</si>
  <si>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</si>
  <si>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</si>
  <si>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</si>
  <si>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</si>
  <si>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</si>
  <si>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</si>
  <si>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</si>
  <si>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</si>
  <si>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</si>
  <si>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</si>
  <si>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</si>
  <si>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</si>
  <si>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</si>
  <si>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</si>
  <si>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</si>
  <si>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</si>
  <si>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</si>
  <si>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</si>
  <si>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</si>
  <si>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</si>
  <si>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</si>
  <si>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</si>
  <si>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</si>
  <si>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</si>
  <si>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</si>
  <si>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</si>
  <si>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</si>
  <si>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</si>
  <si>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</si>
  <si>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</si>
  <si>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</si>
  <si>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</si>
  <si>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</si>
  <si>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</si>
  <si>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</si>
  <si>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</si>
  <si>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</si>
  <si>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</si>
  <si>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</si>
  <si>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</si>
  <si>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</si>
  <si>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</si>
  <si>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</si>
  <si>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</si>
  <si>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</si>
  <si>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</si>
  <si>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</si>
  <si>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</si>
  <si>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</si>
  <si>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</si>
  <si>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</si>
  <si>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</si>
  <si>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</si>
  <si>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</si>
  <si>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</si>
  <si>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</si>
  <si>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</si>
  <si>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</si>
  <si>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</si>
  <si>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</si>
  <si>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</si>
  <si>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</si>
  <si>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</si>
  <si>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</si>
  <si>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</si>
  <si>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</si>
  <si>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</si>
  <si>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</si>
  <si>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</si>
  <si>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</si>
  <si>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</si>
  <si>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</si>
  <si>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</si>
  <si>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</si>
  <si>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</si>
  <si>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</si>
  <si>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</si>
  <si>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</si>
  <si>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</si>
  <si>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</si>
  <si>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</si>
  <si>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</si>
  <si>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</si>
  <si>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</si>
  <si>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</si>
  <si>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</si>
  <si>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</si>
  <si>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</si>
  <si>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</si>
  <si>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</si>
  <si>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</si>
  <si>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</si>
  <si>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</si>
  <si>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</si>
  <si>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</si>
  <si>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</si>
  <si>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</si>
  <si>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</si>
  <si>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</si>
  <si>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</si>
  <si>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</si>
  <si>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</si>
  <si>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</si>
  <si>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</si>
  <si>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</si>
  <si>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</si>
  <si>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</si>
  <si>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</si>
  <si>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</si>
  <si>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</si>
  <si>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</si>
  <si>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</si>
  <si>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</si>
  <si>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</si>
  <si>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</si>
  <si>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</si>
  <si>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</si>
  <si>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</si>
  <si>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</si>
  <si>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</si>
  <si>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</si>
  <si>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</si>
  <si>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</si>
  <si>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</si>
  <si>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</si>
  <si>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</si>
  <si>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</si>
  <si>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</si>
  <si>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</si>
  <si>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</si>
  <si>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</si>
  <si>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</si>
  <si>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</si>
  <si>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</si>
  <si>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</si>
  <si>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</si>
  <si>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</si>
  <si>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</si>
  <si>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</si>
  <si>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</si>
  <si>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</si>
  <si>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</si>
  <si>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</si>
  <si>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</si>
  <si>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</si>
  <si>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</si>
  <si>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</si>
  <si>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</si>
  <si>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</si>
  <si>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</si>
  <si>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</si>
  <si>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</si>
  <si>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</si>
  <si>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</si>
  <si>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</si>
  <si>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</si>
  <si>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</si>
  <si>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</si>
  <si>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</si>
  <si>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</si>
  <si>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</si>
  <si>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</si>
  <si>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</si>
  <si>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</si>
  <si>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</si>
  <si>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</si>
  <si>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</si>
  <si>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</si>
  <si>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</si>
  <si>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</si>
  <si>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</si>
  <si>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</si>
  <si>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</si>
  <si>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</si>
  <si>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</si>
  <si>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</si>
  <si>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</si>
  <si>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</si>
  <si>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</si>
  <si>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</si>
  <si>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</si>
  <si>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</si>
  <si>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</si>
  <si>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</si>
  <si>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</si>
  <si>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</si>
  <si>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</si>
  <si>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</si>
  <si>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</si>
  <si>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</si>
  <si>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</si>
  <si>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</si>
  <si>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</si>
  <si>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</si>
  <si>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</si>
  <si>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</si>
  <si>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</si>
  <si>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</si>
  <si>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</si>
  <si>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</si>
  <si>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</si>
  <si>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</si>
  <si>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</si>
  <si>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</si>
  <si>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</si>
  <si>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</si>
  <si>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</si>
  <si>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</si>
  <si>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</si>
  <si>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</si>
  <si>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</si>
  <si>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</si>
  <si>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</si>
  <si>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</si>
  <si>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</si>
  <si>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</si>
  <si>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</si>
  <si>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</si>
  <si>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</si>
  <si>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</si>
  <si>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</si>
  <si>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</si>
  <si>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</si>
  <si>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</si>
  <si>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</si>
  <si>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</si>
  <si>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</si>
  <si>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</si>
  <si>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</si>
  <si>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</si>
  <si>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</si>
  <si>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</si>
  <si>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</si>
  <si>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</si>
  <si>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</si>
  <si>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</si>
  <si>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</si>
  <si>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</si>
  <si>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</si>
  <si>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</si>
  <si>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</si>
  <si>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</si>
  <si>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</si>
  <si>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</si>
  <si>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</si>
  <si>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</si>
  <si>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</si>
  <si>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</si>
  <si>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</si>
  <si>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</si>
  <si>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</si>
  <si>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</si>
  <si>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</si>
  <si>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</si>
  <si>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</si>
  <si>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</si>
  <si>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</si>
  <si>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</si>
  <si>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</si>
  <si>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</si>
  <si>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</si>
  <si>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</si>
  <si>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</si>
  <si>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</si>
  <si>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</si>
  <si>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</si>
  <si>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</si>
  <si>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</si>
  <si>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</si>
  <si>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</si>
  <si>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</si>
  <si>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</si>
  <si>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</si>
  <si>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</si>
  <si>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</si>
  <si>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</si>
  <si>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</si>
  <si>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</si>
  <si>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</si>
  <si>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</si>
  <si>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</si>
  <si>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</si>
  <si>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</si>
  <si>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</si>
  <si>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</si>
  <si>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</si>
  <si>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</si>
  <si>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</si>
  <si>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</si>
  <si>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</si>
  <si>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</si>
  <si>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</si>
  <si>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</si>
  <si>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</si>
  <si>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</si>
  <si>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</si>
  <si>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</si>
  <si>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</si>
  <si>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</si>
  <si>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</si>
  <si>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</si>
  <si>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</si>
  <si>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</si>
  <si>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</si>
  <si>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</si>
  <si>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</si>
  <si>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</si>
  <si>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</si>
  <si>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</si>
  <si>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</si>
  <si>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</si>
  <si>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</si>
  <si>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</si>
  <si>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</si>
  <si>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</si>
  <si>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</si>
  <si>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</si>
  <si>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</si>
  <si>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</si>
  <si>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</si>
  <si>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</si>
  <si>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</si>
  <si>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</si>
  <si>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</si>
  <si>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</si>
  <si>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</si>
  <si>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</si>
  <si>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</si>
  <si>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</si>
  <si>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</si>
  <si>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</si>
  <si>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</si>
  <si>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</si>
  <si>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</si>
  <si>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</si>
  <si>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</si>
  <si>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</si>
  <si>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</si>
  <si>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</si>
  <si>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</si>
  <si>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</si>
  <si>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</si>
  <si>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</si>
  <si>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</si>
  <si>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</si>
  <si>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</si>
  <si>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</si>
  <si>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</si>
  <si>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</si>
  <si>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</si>
  <si>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</si>
  <si>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</si>
  <si>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</si>
  <si>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</si>
  <si>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</si>
  <si>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</si>
  <si>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</si>
  <si>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</si>
  <si>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</si>
  <si>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</si>
  <si>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</si>
  <si>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</si>
  <si>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</si>
  <si>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</si>
  <si>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</si>
  <si>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</si>
  <si>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</si>
  <si>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</si>
  <si>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</si>
  <si>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</si>
  <si>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</si>
  <si>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</si>
  <si>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</si>
  <si>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</si>
  <si>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</si>
  <si>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</si>
  <si>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</si>
  <si>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</si>
  <si>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</si>
  <si>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</si>
  <si>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</si>
  <si>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</si>
  <si>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</si>
  <si>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</si>
  <si>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</si>
  <si>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</si>
  <si>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</si>
  <si>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</si>
  <si>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</si>
  <si>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</si>
  <si>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</si>
  <si>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</si>
  <si>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</si>
  <si>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</si>
  <si>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</si>
  <si>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</si>
  <si>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</si>
  <si>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</si>
  <si>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</si>
  <si>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</si>
  <si>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</si>
  <si>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</si>
  <si>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</si>
  <si>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</si>
  <si>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</si>
  <si>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</si>
  <si>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</si>
  <si>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</si>
  <si>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</si>
  <si>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</si>
  <si>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</si>
  <si>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</si>
  <si>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</si>
  <si>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</si>
  <si>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</si>
  <si>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</si>
  <si>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</si>
  <si>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</si>
  <si>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</si>
  <si>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</si>
  <si>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</si>
  <si>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</si>
  <si>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</si>
  <si>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</si>
  <si>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</si>
  <si>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</si>
  <si>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</si>
  <si>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</si>
  <si>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</si>
  <si>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</si>
  <si>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</si>
  <si>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</si>
  <si>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</si>
  <si>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</si>
  <si>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</si>
  <si>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</si>
  <si>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</si>
  <si>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</si>
  <si>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</si>
  <si>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</si>
  <si>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</si>
  <si>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</si>
  <si>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</si>
  <si>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</si>
  <si>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</si>
  <si>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</si>
  <si>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</si>
  <si>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</si>
  <si>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</si>
  <si>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</si>
  <si>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</si>
  <si>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</si>
  <si>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</si>
  <si>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</si>
  <si>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</si>
  <si>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</si>
  <si>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</si>
  <si>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</si>
  <si>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</si>
  <si>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</si>
  <si>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</si>
  <si>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</si>
  <si>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</si>
  <si>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</si>
  <si>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</si>
  <si>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</si>
  <si>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</si>
  <si>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</si>
  <si>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</si>
  <si>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</si>
  <si>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</si>
  <si>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</si>
  <si>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</si>
  <si>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</si>
  <si>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</si>
  <si>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</si>
  <si>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</si>
  <si>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</si>
  <si>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</si>
  <si>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</si>
  <si>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</si>
  <si>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</si>
  <si>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</si>
  <si>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</si>
  <si>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</si>
  <si>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</si>
  <si>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</si>
  <si>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</si>
  <si>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</si>
  <si>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</si>
  <si>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</si>
  <si>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</si>
  <si>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</si>
  <si>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</si>
  <si>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</si>
  <si>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</si>
  <si>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</si>
  <si>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</si>
  <si>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</si>
  <si>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</si>
  <si>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</si>
  <si>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</si>
  <si>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</si>
  <si>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</si>
  <si>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</si>
  <si>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</si>
  <si>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</si>
  <si>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</si>
  <si>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</si>
  <si>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</si>
  <si>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</si>
  <si>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</si>
  <si>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</si>
  <si>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</si>
  <si>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</si>
  <si>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</si>
  <si>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</si>
  <si>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</si>
  <si>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</si>
  <si>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</si>
  <si>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</si>
  <si>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</si>
  <si>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</si>
  <si>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</si>
  <si>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</si>
  <si>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</si>
  <si>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</si>
  <si>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</si>
  <si>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</si>
  <si>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</si>
  <si>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</si>
  <si>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</si>
  <si>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</si>
  <si>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</si>
  <si>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</si>
  <si>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</si>
  <si>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</si>
  <si>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</si>
  <si>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</si>
  <si>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</si>
  <si>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</si>
  <si>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</si>
  <si>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</si>
  <si>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</si>
  <si>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</si>
  <si>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</si>
  <si>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</si>
  <si>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</si>
  <si>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</si>
  <si>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</si>
  <si>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</si>
  <si>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</si>
  <si>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</si>
  <si>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</si>
  <si>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</si>
  <si>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</si>
  <si>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</si>
  <si>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</si>
  <si>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</si>
  <si>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</si>
  <si>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</si>
  <si>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</si>
  <si>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</si>
  <si>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</si>
  <si>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</si>
  <si>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</si>
  <si>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</si>
  <si>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</si>
  <si>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</si>
  <si>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</si>
  <si>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</si>
  <si>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</si>
  <si>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</si>
  <si>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</si>
  <si>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</si>
  <si>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</si>
  <si>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</si>
  <si>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</si>
  <si>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</si>
  <si>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</si>
  <si>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</si>
  <si>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</si>
  <si>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</si>
  <si>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</si>
  <si>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</si>
  <si>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</si>
  <si>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</si>
  <si>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</si>
  <si>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</si>
  <si>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</si>
  <si>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</si>
  <si>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</si>
  <si>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</si>
  <si>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</si>
  <si>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</si>
  <si>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</si>
  <si>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</si>
  <si>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</si>
  <si>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</si>
  <si>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</si>
  <si>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</si>
  <si>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</si>
  <si>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</si>
  <si>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</si>
  <si>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</si>
  <si>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</si>
  <si>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</si>
  <si>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</si>
  <si>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</si>
  <si>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</si>
  <si>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</si>
  <si>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</si>
  <si>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</si>
  <si>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</si>
  <si>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</si>
  <si>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</si>
  <si>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</si>
  <si>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</si>
  <si>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</si>
  <si>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</si>
  <si>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</si>
  <si>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</si>
  <si>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</si>
  <si>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</si>
  <si>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</si>
  <si>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</si>
  <si>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</si>
  <si>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</si>
  <si>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</si>
  <si>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</si>
  <si>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</si>
  <si>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</si>
  <si>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</si>
  <si>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</si>
  <si>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</si>
  <si>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</si>
  <si>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</si>
  <si>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</si>
  <si>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</si>
  <si>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</si>
  <si>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</si>
  <si>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</si>
  <si>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</si>
  <si>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</si>
  <si>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</si>
  <si>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</si>
  <si>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</si>
  <si>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</si>
  <si>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</si>
  <si>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</si>
  <si>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</si>
  <si>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</si>
  <si>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</si>
  <si>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</si>
  <si>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</si>
  <si>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</si>
  <si>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</si>
  <si>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</si>
  <si>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</si>
  <si>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</si>
  <si>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</si>
  <si>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</si>
  <si>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</si>
  <si>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</si>
  <si>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</si>
  <si>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</si>
  <si>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</si>
  <si>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</si>
  <si>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</si>
  <si>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</si>
  <si>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</si>
  <si>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</si>
  <si>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</si>
  <si>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</si>
  <si>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</si>
  <si>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</si>
  <si>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</si>
  <si>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</si>
  <si>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</si>
  <si>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</si>
  <si>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</si>
  <si>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</si>
  <si>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</si>
  <si>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</si>
  <si>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</si>
  <si>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</si>
  <si>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</si>
  <si>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</si>
  <si>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</si>
  <si>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</si>
  <si>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</si>
  <si>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</si>
  <si>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</si>
  <si>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</si>
  <si>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</si>
  <si>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</si>
  <si>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</si>
  <si>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</si>
  <si>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</si>
  <si>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</si>
  <si>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</si>
  <si>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</si>
  <si>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</si>
  <si>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</si>
  <si>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</si>
  <si>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</si>
  <si>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</si>
  <si>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</si>
  <si>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</si>
  <si>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</si>
  <si>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</si>
  <si>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</si>
  <si>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</si>
  <si>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</si>
  <si>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</si>
  <si>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</si>
  <si>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</si>
  <si>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</si>
  <si>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</si>
  <si>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</si>
  <si>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</si>
  <si>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</si>
  <si>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</si>
  <si>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</si>
  <si>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</si>
  <si>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</si>
  <si>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</si>
  <si>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</si>
  <si>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</si>
  <si>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</si>
  <si>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</si>
  <si>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</si>
  <si>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</si>
  <si>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</si>
  <si>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</si>
  <si>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</si>
  <si>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</si>
  <si>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</si>
  <si>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</si>
  <si>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</si>
  <si>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</si>
  <si>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</si>
  <si>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</si>
  <si>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</si>
  <si>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</si>
  <si>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</si>
  <si>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</si>
  <si>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</si>
  <si>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</si>
  <si>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</si>
  <si>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</si>
  <si>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</si>
  <si>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</si>
  <si>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</si>
  <si>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</si>
  <si>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</si>
  <si>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</si>
  <si>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</si>
  <si>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</si>
  <si>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</si>
  <si>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</si>
  <si>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</si>
  <si>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</si>
  <si>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</si>
  <si>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</si>
  <si>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</si>
  <si>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</si>
  <si>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</si>
  <si>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</si>
  <si>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</si>
  <si>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</si>
  <si>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</si>
  <si>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</si>
  <si>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</si>
  <si>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</si>
  <si>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</si>
  <si>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</si>
  <si>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</si>
  <si>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</si>
  <si>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</si>
  <si>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</si>
  <si>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</si>
  <si>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</si>
  <si>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</si>
  <si>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</si>
  <si>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</si>
  <si>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</si>
  <si>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</si>
  <si>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</si>
  <si>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</si>
  <si>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</si>
  <si>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</si>
  <si>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</si>
  <si>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</si>
  <si>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</si>
  <si>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</si>
  <si>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</si>
  <si>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</si>
  <si>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</si>
  <si>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</si>
  <si>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</si>
  <si>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</si>
  <si>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</si>
  <si>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</si>
  <si>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</si>
  <si>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</si>
  <si>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</si>
  <si>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</si>
  <si>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</si>
  <si>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</si>
  <si>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</si>
  <si>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</si>
  <si>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</si>
  <si>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</si>
  <si>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</si>
  <si>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</si>
  <si>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</si>
  <si>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</si>
  <si>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</si>
  <si>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</si>
  <si>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</si>
  <si>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</si>
  <si>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</si>
  <si>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</si>
  <si>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</si>
  <si>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</si>
  <si>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</si>
  <si>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</si>
  <si>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</si>
  <si>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</si>
  <si>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</si>
  <si>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</si>
  <si>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</si>
  <si>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</si>
  <si>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</si>
  <si>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</si>
  <si>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</si>
  <si>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</si>
  <si>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</si>
  <si>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</si>
  <si>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</si>
  <si>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</si>
  <si>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</si>
  <si>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</si>
  <si>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</si>
  <si>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</si>
  <si>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</si>
  <si>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</si>
  <si>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</si>
  <si>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</si>
  <si>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</si>
  <si>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</si>
  <si>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</si>
  <si>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</si>
  <si>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</si>
  <si>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</si>
  <si>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</si>
  <si>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</si>
  <si>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</si>
  <si>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</si>
  <si>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</si>
  <si>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</si>
  <si>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</si>
  <si>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</si>
  <si>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</si>
  <si>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</si>
  <si>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</si>
  <si>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</si>
  <si>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</si>
  <si>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</si>
  <si>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</si>
  <si>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</si>
  <si>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</si>
  <si>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</si>
  <si>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</si>
  <si>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</si>
  <si>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</si>
  <si>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</si>
  <si>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</si>
  <si>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</si>
  <si>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</si>
  <si>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</si>
  <si>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</si>
  <si>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</si>
  <si>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</si>
  <si>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</si>
  <si>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</si>
  <si>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</si>
  <si>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</si>
  <si>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</si>
  <si>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</si>
  <si>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</si>
  <si>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</si>
  <si>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</si>
  <si>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</si>
  <si>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</si>
  <si>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</si>
  <si>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</si>
  <si>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</si>
  <si>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</si>
  <si>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</si>
  <si>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</si>
  <si>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</si>
  <si>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</si>
  <si>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</si>
  <si>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</si>
  <si>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</si>
  <si>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</si>
  <si>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</si>
  <si>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</si>
  <si>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</si>
  <si>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</si>
  <si>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</si>
  <si>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</si>
  <si>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</si>
  <si>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</si>
  <si>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</si>
  <si>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</si>
  <si>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</si>
  <si>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</si>
  <si>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</si>
  <si>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</si>
  <si>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</si>
  <si>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</si>
  <si>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</si>
  <si>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</si>
  <si>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</si>
  <si>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</si>
  <si>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</si>
  <si>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</si>
  <si>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</si>
  <si>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</si>
  <si>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</si>
  <si>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</si>
  <si>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</si>
  <si>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</si>
  <si>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</si>
  <si>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</si>
  <si>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</si>
  <si>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</si>
  <si>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</si>
  <si>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</si>
  <si>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</si>
  <si>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</si>
  <si>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</si>
  <si>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</si>
  <si>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</si>
  <si>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</si>
  <si>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</si>
  <si>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</si>
  <si>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</si>
  <si>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</si>
  <si>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</si>
  <si>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</si>
  <si>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</si>
  <si>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</si>
  <si>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</si>
  <si>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</si>
  <si>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</si>
  <si>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</si>
  <si>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</si>
  <si>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</si>
  <si>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</si>
  <si>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</si>
  <si>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</si>
  <si>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</si>
  <si>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</si>
  <si>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</si>
  <si>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</si>
  <si>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</si>
  <si>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</si>
  <si>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</si>
  <si>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</si>
  <si>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</si>
  <si>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</si>
  <si>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</si>
  <si>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</si>
  <si>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</si>
  <si>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</si>
  <si>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</si>
  <si>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</si>
  <si>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</si>
  <si>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</si>
  <si>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</si>
  <si>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</si>
  <si>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</si>
  <si>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</si>
  <si>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</si>
  <si>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</si>
  <si>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</si>
  <si>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</si>
  <si>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</si>
  <si>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</si>
  <si>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</si>
  <si>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</si>
  <si>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</si>
  <si>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</si>
  <si>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</si>
  <si>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</si>
  <si>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</si>
  <si>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</si>
  <si>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</si>
  <si>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</si>
  <si>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</si>
  <si>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</si>
  <si>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</si>
  <si>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</si>
  <si>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</si>
  <si>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</si>
  <si>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</si>
  <si>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</si>
  <si>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</si>
  <si>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</si>
  <si>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</si>
  <si>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</si>
  <si>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</si>
  <si>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</si>
  <si>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</si>
  <si>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</si>
  <si>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</si>
  <si>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</si>
  <si>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</si>
  <si>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</si>
  <si>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</si>
  <si>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</si>
  <si>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</si>
  <si>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</si>
  <si>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</si>
  <si>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</si>
  <si>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</si>
  <si>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</si>
  <si>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</si>
  <si>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</si>
  <si>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</si>
  <si>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</si>
  <si>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</si>
  <si>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</si>
  <si>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</si>
  <si>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</si>
  <si>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</si>
  <si>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</si>
  <si>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</si>
  <si>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</si>
  <si>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</si>
  <si>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</si>
  <si>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</si>
  <si>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</si>
  <si>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</si>
  <si>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</si>
  <si>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</si>
  <si>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</si>
  <si>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</si>
  <si>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</si>
  <si>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</si>
  <si>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</si>
  <si>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</si>
  <si>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</si>
  <si>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</si>
  <si>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</si>
  <si>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</si>
  <si>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</si>
  <si>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</si>
  <si>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</si>
  <si>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</si>
  <si>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</si>
  <si>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</si>
  <si>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</si>
  <si>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</si>
  <si>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</si>
  <si>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</si>
  <si>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</si>
  <si>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</si>
  <si>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</si>
  <si>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</si>
  <si>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</si>
  <si>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</si>
  <si>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</si>
  <si>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</si>
  <si>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</si>
  <si>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</si>
  <si>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</si>
  <si>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</si>
  <si>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</si>
  <si>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</si>
  <si>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</si>
  <si>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</si>
  <si>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</si>
  <si>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</si>
  <si>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</si>
  <si>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</si>
  <si>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</si>
  <si>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</si>
  <si>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</si>
  <si>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</si>
  <si>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</si>
  <si>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</si>
  <si>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</si>
  <si>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</si>
  <si>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</si>
  <si>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</si>
  <si>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</si>
  <si>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</si>
  <si>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</si>
  <si>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</si>
  <si>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</si>
  <si>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</si>
  <si>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</si>
  <si>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</si>
  <si>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</si>
  <si>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</si>
  <si>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</si>
  <si>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</si>
  <si>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</si>
  <si>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</si>
  <si>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</si>
  <si>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</si>
  <si>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</si>
  <si>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</si>
  <si>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</si>
  <si>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</si>
  <si>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</si>
  <si>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</si>
  <si>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</si>
  <si>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</si>
  <si>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</si>
  <si>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</si>
  <si>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</si>
  <si>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</si>
  <si>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</si>
  <si>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</si>
  <si>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</si>
  <si>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</si>
  <si>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</si>
  <si>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</si>
  <si>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</si>
  <si>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</si>
  <si>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</si>
  <si>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</si>
  <si>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</si>
  <si>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</si>
  <si>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</si>
  <si>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</si>
  <si>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</si>
  <si>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</si>
  <si>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</si>
  <si>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</si>
  <si>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</si>
  <si>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</si>
  <si>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</si>
  <si>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</si>
  <si>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</si>
  <si>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</si>
  <si>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</si>
  <si>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</si>
  <si>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</si>
  <si>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</si>
  <si>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</si>
  <si>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</si>
  <si>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</si>
  <si>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</si>
  <si>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</si>
  <si>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</si>
  <si>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</si>
  <si>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</si>
  <si>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</si>
  <si>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</si>
  <si>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</si>
  <si>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</si>
  <si>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</si>
  <si>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</si>
  <si>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</si>
  <si>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</si>
  <si>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</si>
  <si>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</si>
  <si>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</si>
  <si>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</si>
  <si>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</si>
  <si>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</si>
  <si>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</si>
  <si>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</si>
  <si>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</si>
  <si>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</si>
  <si>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</si>
  <si>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</si>
  <si>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</si>
  <si>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</si>
  <si>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</si>
  <si>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</si>
  <si>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</si>
  <si>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</si>
  <si>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</si>
  <si>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</si>
  <si>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</si>
  <si>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</si>
  <si>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</si>
  <si>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</si>
  <si>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</si>
  <si>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</si>
  <si>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</si>
  <si>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</si>
  <si>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</si>
  <si>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</si>
  <si>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</si>
  <si>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</si>
  <si>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</si>
  <si>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</si>
  <si>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</si>
  <si>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</si>
  <si>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</si>
  <si>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</si>
  <si>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</si>
  <si>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</si>
  <si>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</si>
  <si>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</si>
  <si>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</si>
  <si>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</si>
  <si>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</si>
  <si>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</si>
  <si>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</si>
  <si>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</si>
  <si>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</si>
  <si>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</si>
  <si>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</si>
  <si>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</si>
  <si>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</si>
  <si>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</si>
  <si>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</si>
  <si>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</si>
  <si>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</si>
  <si>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</si>
  <si>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</si>
  <si>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</si>
  <si>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</si>
  <si>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</si>
  <si>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</si>
  <si>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</si>
  <si>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</si>
  <si>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</si>
  <si>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</si>
  <si>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</si>
  <si>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</si>
  <si>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</si>
  <si>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</si>
  <si>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</si>
  <si>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</si>
  <si>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</si>
  <si>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</si>
  <si>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</si>
  <si>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</si>
  <si>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</si>
  <si>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</si>
  <si>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</si>
  <si>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</si>
  <si>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</si>
  <si>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</si>
  <si>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</si>
  <si>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</si>
  <si>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</si>
  <si>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</si>
  <si>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</si>
  <si>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</si>
  <si>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</si>
  <si>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</si>
  <si>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</si>
  <si>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</si>
  <si>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</si>
  <si>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</si>
  <si>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</si>
  <si>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</si>
  <si>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</si>
  <si>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</si>
  <si>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</si>
  <si>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</si>
  <si>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</si>
  <si>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</si>
  <si>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</si>
  <si>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</si>
  <si>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</si>
  <si>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</si>
  <si>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</si>
  <si>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</si>
  <si>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</si>
  <si>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</si>
  <si>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</si>
  <si>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</si>
  <si>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</si>
  <si>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</si>
  <si>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</si>
  <si>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</si>
  <si>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</si>
  <si>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</si>
  <si>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</si>
  <si>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</si>
  <si>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</si>
  <si>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</si>
  <si>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</si>
  <si>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</si>
  <si>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</si>
  <si>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</si>
  <si>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</si>
  <si>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</si>
  <si>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</si>
  <si>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</si>
  <si>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</si>
  <si>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</si>
  <si>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</si>
  <si>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</si>
  <si>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</si>
  <si>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</si>
  <si>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</si>
  <si>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</si>
  <si>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</si>
  <si>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</si>
  <si>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</si>
  <si>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</si>
  <si>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</si>
  <si>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</si>
  <si>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</si>
  <si>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</si>
  <si>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</si>
  <si>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</si>
  <si>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</si>
  <si>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</si>
  <si>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</si>
  <si>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</si>
  <si>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</si>
  <si>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</si>
  <si>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</si>
  <si>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</si>
  <si>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</si>
  <si>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</si>
  <si>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</si>
  <si>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</si>
  <si>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</si>
  <si>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</si>
  <si>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</si>
  <si>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</si>
  <si>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</si>
  <si>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</si>
  <si>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</si>
  <si>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</si>
  <si>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</si>
  <si>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</si>
  <si>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</si>
  <si>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</si>
  <si>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</si>
  <si>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</si>
  <si>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</si>
  <si>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</si>
  <si>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</si>
  <si>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</si>
  <si>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</si>
  <si>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</si>
  <si>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</si>
  <si>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</si>
  <si>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</si>
  <si>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</si>
  <si>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</si>
  <si>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</si>
  <si>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</si>
  <si>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</si>
  <si>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</si>
  <si>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</si>
  <si>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</si>
  <si>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</si>
  <si>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</si>
  <si>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</si>
  <si>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</si>
  <si>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</si>
  <si>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</si>
  <si>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</si>
  <si>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</si>
  <si>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</si>
  <si>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</si>
  <si>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</si>
  <si>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</si>
  <si>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</si>
  <si>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</si>
  <si>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</si>
  <si>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</si>
  <si>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</si>
  <si>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</si>
  <si>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</si>
  <si>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</si>
  <si>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</si>
  <si>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</si>
  <si>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</si>
  <si>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</si>
  <si>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</si>
  <si>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</si>
  <si>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</si>
  <si>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</si>
  <si>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</si>
  <si>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</si>
  <si>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</si>
  <si>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</si>
  <si>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</si>
  <si>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</si>
  <si>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</si>
  <si>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</si>
  <si>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</si>
  <si>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</si>
  <si>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</si>
  <si>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</si>
  <si>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</si>
  <si>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</si>
  <si>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</si>
  <si>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</si>
  <si>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</si>
  <si>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</si>
  <si>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</si>
  <si>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</si>
  <si>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</si>
  <si>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</si>
  <si>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</si>
  <si>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</si>
  <si>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</si>
  <si>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</si>
  <si>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</si>
  <si>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</si>
  <si>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</si>
  <si>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</si>
  <si>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</si>
  <si>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</si>
  <si>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</si>
  <si>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</si>
  <si>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</si>
  <si>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</si>
  <si>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</si>
  <si>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</si>
  <si>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</si>
  <si>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</si>
  <si>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</si>
  <si>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</si>
  <si>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</si>
  <si>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</si>
  <si>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</si>
  <si>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</si>
  <si>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</si>
  <si>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</si>
  <si>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</si>
  <si>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</si>
  <si>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</si>
  <si>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</si>
  <si>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</si>
  <si>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</si>
  <si>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</si>
  <si>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</si>
  <si>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</si>
  <si>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</si>
  <si>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</si>
  <si>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</si>
  <si>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</si>
  <si>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</si>
  <si>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</si>
  <si>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</si>
  <si>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</si>
  <si>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</si>
  <si>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</si>
  <si>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</si>
  <si>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</si>
  <si>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RANDOLPH</t>
  </si>
  <si>
    <t>701 SOUTH SPARTA STREET</t>
  </si>
  <si>
    <t>STEELEVILLE</t>
  </si>
  <si>
    <t>DR. STEPHANIE L. MULHOLLAND</t>
  </si>
  <si>
    <t>618-965-3432</t>
  </si>
  <si>
    <t>618-965-3433</t>
  </si>
  <si>
    <t>SCHEFFEL BOYLE</t>
  </si>
  <si>
    <t>KELTON DAIVS</t>
  </si>
  <si>
    <t>keltondavis@roe45.org</t>
  </si>
  <si>
    <t>618-939-5650</t>
  </si>
  <si>
    <t>618-939-5332</t>
  </si>
  <si>
    <t>Alternate Revenue Bonds</t>
  </si>
  <si>
    <t>smulholl@steeleville138.org</t>
  </si>
  <si>
    <t>KEITH G. BRINKMANN, CPA</t>
  </si>
  <si>
    <t>7 HILL CASTLE LANE</t>
  </si>
  <si>
    <t>COLUMBIA</t>
  </si>
  <si>
    <t>IL</t>
  </si>
  <si>
    <t>618-281-7605</t>
  </si>
  <si>
    <t>618-281-6630</t>
  </si>
  <si>
    <t>065-014460</t>
  </si>
  <si>
    <t>Perandoe Spec. Education District</t>
  </si>
  <si>
    <t>Page #</t>
  </si>
  <si>
    <t>Athletic events receipts</t>
  </si>
  <si>
    <t>Art fees</t>
  </si>
  <si>
    <t>Other high school education fees</t>
  </si>
  <si>
    <t>School plus program</t>
  </si>
  <si>
    <t>Grade school physical education fees</t>
  </si>
  <si>
    <t xml:space="preserve">Educational </t>
  </si>
  <si>
    <t>Miscellaneous reimbursements &amp; receipts</t>
  </si>
  <si>
    <t>Rural Education Achievement Program Grant</t>
  </si>
  <si>
    <t>Technology consultant and repairs</t>
  </si>
  <si>
    <t>Technology supplies</t>
  </si>
  <si>
    <t>Bond agent fees</t>
  </si>
  <si>
    <t>Mobile Home Privelege Tax</t>
  </si>
  <si>
    <t>------</t>
  </si>
  <si>
    <t>10-2300-300</t>
  </si>
  <si>
    <t>AJD Consulting Service</t>
  </si>
  <si>
    <t>10-1000-300</t>
  </si>
  <si>
    <t>Da-Com Corporation</t>
  </si>
  <si>
    <t>10-2400-300</t>
  </si>
  <si>
    <t>10-2400-400</t>
  </si>
  <si>
    <t>10-2520-300</t>
  </si>
  <si>
    <t>10-2560-400</t>
  </si>
  <si>
    <t>PowerSchool Group LLC</t>
  </si>
  <si>
    <t>10-2100-300</t>
  </si>
  <si>
    <t>10-2540-300</t>
  </si>
  <si>
    <t>Quality Network Solutions</t>
  </si>
  <si>
    <t>Simplex Grinnell LP</t>
  </si>
  <si>
    <t>10-2550-300</t>
  </si>
  <si>
    <t>Southwestern Illinois Bus Co.</t>
  </si>
  <si>
    <t>20-2540-300</t>
  </si>
  <si>
    <t>Tech Electronics</t>
  </si>
  <si>
    <t>Terminix International</t>
  </si>
  <si>
    <t>Ytime Now LLC</t>
  </si>
  <si>
    <t>ED-Instruction-Purchased Svcs</t>
  </si>
  <si>
    <t>ED-Support Svcs - General Admin.-Purchased Svcs</t>
  </si>
  <si>
    <t>ED-Support Svcs School Admin.-Purchased Svcs</t>
  </si>
  <si>
    <t>ED-Support Svcs School Admin.-Supplies &amp; Materials</t>
  </si>
  <si>
    <t>ED-Fiscal Services-Purchased Svcs-Purchased Svcs</t>
  </si>
  <si>
    <t>ED-Food Svcs-Supplies &amp; Materials</t>
  </si>
  <si>
    <t>ED-Support Svcs Pupil - Purchased Svcs</t>
  </si>
  <si>
    <t>ED-O&amp;M of Plant Svcs-Purchased Svcs</t>
  </si>
  <si>
    <t>ED-Pupil Transportation Svcs-Purchased Svcs</t>
  </si>
  <si>
    <t>O&amp;M-O&amp;M of Plant Svcs-Purchased Svcs</t>
  </si>
  <si>
    <t>SIU-Carbondale</t>
  </si>
  <si>
    <t>General Obligation Limited School Bonds. Series 2011</t>
  </si>
  <si>
    <t>General Obligation School Bonds, Series 2015</t>
  </si>
  <si>
    <t>Technology equipment</t>
  </si>
  <si>
    <t>Scheffel Boyle</t>
  </si>
  <si>
    <t>Steeleville CUSD 138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</si>
</sst>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xf numFmtId="0" fontId="3" fillId="0" borderId="0"/>
    <xf numFmtId="0" fontId="3" fillId="0" borderId="0"/>
    <xf numFmtId="0" fontId="3" fillId="0" borderId="0"/>
    <xf numFmtId="44" fontId="10" fillId="0" borderId="0" applyFont="0" applyFill="0" applyBorder="0" applyAlignment="0" applyProtection="0"/>
  </cellStyleXfs>
  <cellXfs count="25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181" fontId="57" fillId="0" borderId="0" xfId="19" applyNumberFormat="1" applyFont="1"/>
    <xf numFmtId="181" fontId="57" fillId="0" borderId="0" xfId="19" applyNumberFormat="1" applyFont="1" applyBorder="1"/>
    <xf numFmtId="181" fontId="57" fillId="0" borderId="166" xfId="19" applyNumberFormat="1" applyFont="1" applyBorder="1"/>
    <xf numFmtId="182" fontId="57" fillId="0" borderId="0" xfId="1" applyNumberFormat="1" applyFont="1"/>
    <xf numFmtId="0" fontId="57" fillId="0" borderId="0" xfId="0" applyFont="1" applyAlignment="1">
      <alignment horizontal="center"/>
    </xf>
    <xf numFmtId="0" fontId="139" fillId="0" borderId="105" xfId="21" applyFont="1" applyBorder="1" applyProtection="1">
      <protection locked="0"/>
    </xf>
    <xf numFmtId="0" fontId="139" fillId="0" borderId="105" xfId="21" applyFont="1" applyBorder="1" applyProtection="1">
      <protection locked="0"/>
    </xf>
    <xf numFmtId="0" fontId="0" fillId="0" borderId="0" xfId="0"/>
    <xf numFmtId="0" fontId="10" fillId="0" borderId="0" xfId="0" applyFont="1" applyBorder="1"/>
    <xf numFmtId="0" fontId="10" fillId="0" borderId="78" xfId="0" applyFont="1" applyBorder="1"/>
    <xf numFmtId="0" fontId="10" fillId="0" borderId="78" xfId="0" applyFont="1" applyBorder="1" applyAlignment="1">
      <alignment horizontal="center"/>
    </xf>
    <xf numFmtId="0" fontId="10" fillId="0" borderId="0" xfId="0" applyFont="1" applyBorder="1" applyAlignment="1">
      <alignment horizontal="center"/>
    </xf>
    <xf numFmtId="0" fontId="10" fillId="0" borderId="0" xfId="3" quotePrefix="1" applyFont="1" applyAlignment="1">
      <alignment horizontal="center"/>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2"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4">
    <cellStyle name="Comma" xfId="1" builtinId="3"/>
    <cellStyle name="Currency" xfId="19" builtinId="4"/>
    <cellStyle name="Currency 2" xfId="23"/>
    <cellStyle name="Hyperlink" xfId="2" builtinId="8"/>
    <cellStyle name="Hyperlink 2" xfId="15"/>
    <cellStyle name="Normal" xfId="0" builtinId="0"/>
    <cellStyle name="Normal 2" xfId="3"/>
    <cellStyle name="Normal 3" xfId="4"/>
    <cellStyle name="Normal 3 2" xfId="14"/>
    <cellStyle name="Normal 3 2 2" xfId="18"/>
    <cellStyle name="Normal 3 2 3" xfId="21"/>
    <cellStyle name="Normal 3 3" xfId="20"/>
    <cellStyle name="Normal 4" xfId="16"/>
    <cellStyle name="Normal 4 2" xfId="22"/>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8" t="s">
        <v>425</v>
      </c>
      <c r="J1" s="2049"/>
      <c r="K1" s="2049"/>
      <c r="L1" s="2049"/>
      <c r="M1" s="2049"/>
      <c r="N1" s="2049"/>
      <c r="O1" s="2049"/>
      <c r="P1" s="2049"/>
      <c r="Q1" s="2049"/>
      <c r="R1" s="2049"/>
      <c r="S1" s="2049"/>
    </row>
    <row r="2" spans="1:28" ht="12" customHeight="1" x14ac:dyDescent="0.2">
      <c r="A2" s="47" t="s">
        <v>1684</v>
      </c>
      <c r="D2" s="48"/>
      <c r="I2" s="2050" t="s">
        <v>1036</v>
      </c>
      <c r="J2" s="2049"/>
      <c r="K2" s="2049"/>
      <c r="L2" s="2049"/>
      <c r="M2" s="2049"/>
      <c r="N2" s="2049"/>
      <c r="O2" s="2049"/>
      <c r="P2" s="2049"/>
      <c r="Q2" s="2049"/>
      <c r="R2" s="2049"/>
      <c r="S2" s="2049"/>
    </row>
    <row r="3" spans="1:28" ht="12" customHeight="1" x14ac:dyDescent="0.2">
      <c r="A3" s="155" t="s">
        <v>1685</v>
      </c>
      <c r="B3" s="156"/>
      <c r="C3" s="156"/>
      <c r="D3" s="157"/>
      <c r="I3" s="2050" t="s">
        <v>54</v>
      </c>
      <c r="J3" s="2049"/>
      <c r="K3" s="2049"/>
      <c r="L3" s="2049"/>
      <c r="M3" s="2049"/>
      <c r="N3" s="2049"/>
      <c r="O3" s="2049"/>
      <c r="P3" s="2049"/>
      <c r="Q3" s="2049"/>
      <c r="R3" s="2049"/>
      <c r="S3" s="2049"/>
    </row>
    <row r="4" spans="1:28" ht="12" customHeight="1" x14ac:dyDescent="0.2">
      <c r="A4" s="37"/>
      <c r="I4" s="2050" t="s">
        <v>545</v>
      </c>
      <c r="J4" s="2049"/>
      <c r="K4" s="2049"/>
      <c r="L4" s="2049"/>
      <c r="M4" s="2049"/>
      <c r="N4" s="2049"/>
      <c r="O4" s="2049"/>
      <c r="P4" s="2049"/>
      <c r="Q4" s="2049"/>
      <c r="R4" s="2049"/>
      <c r="S4" s="2049"/>
    </row>
    <row r="5" spans="1:28" ht="14.1" customHeight="1" x14ac:dyDescent="0.2">
      <c r="B5" s="104" t="s">
        <v>2077</v>
      </c>
      <c r="C5" s="26" t="s">
        <v>966</v>
      </c>
      <c r="D5" s="84"/>
      <c r="E5" s="84"/>
      <c r="H5" s="38"/>
      <c r="I5" s="2057" t="s">
        <v>701</v>
      </c>
      <c r="J5" s="2002"/>
      <c r="K5" s="2002"/>
      <c r="L5" s="2002"/>
      <c r="M5" s="2002"/>
      <c r="N5" s="2002"/>
      <c r="O5" s="2002"/>
      <c r="P5" s="2002"/>
      <c r="Q5" s="2002"/>
      <c r="R5" s="2002"/>
      <c r="S5" s="2002"/>
    </row>
    <row r="6" spans="1:28" ht="14.1" customHeight="1" x14ac:dyDescent="0.2">
      <c r="B6" s="104"/>
      <c r="C6" s="26" t="s">
        <v>967</v>
      </c>
      <c r="D6" s="84"/>
      <c r="E6" s="84"/>
      <c r="I6" s="2056" t="s">
        <v>938</v>
      </c>
      <c r="J6" s="2002"/>
      <c r="K6" s="2002"/>
      <c r="L6" s="2002"/>
      <c r="M6" s="2002"/>
      <c r="N6" s="2002"/>
      <c r="O6" s="2002"/>
      <c r="P6" s="2002"/>
      <c r="Q6" s="2002"/>
      <c r="R6" s="2002"/>
      <c r="S6" s="2002"/>
    </row>
    <row r="7" spans="1:28" ht="12.2" customHeight="1" x14ac:dyDescent="0.2">
      <c r="I7" s="2051">
        <v>43281</v>
      </c>
      <c r="J7" s="2052"/>
      <c r="K7" s="2052"/>
      <c r="L7" s="2052"/>
      <c r="M7" s="2052"/>
      <c r="N7" s="2052"/>
      <c r="O7" s="2052"/>
      <c r="P7" s="2052"/>
      <c r="Q7" s="2052"/>
      <c r="R7" s="2052"/>
      <c r="S7" s="205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3" t="s">
        <v>695</v>
      </c>
      <c r="J9" s="2054"/>
      <c r="K9" s="2054"/>
      <c r="L9" s="2054"/>
      <c r="M9" s="2054"/>
      <c r="N9" s="2054"/>
      <c r="O9" s="2054"/>
      <c r="P9" s="2054"/>
      <c r="Q9" s="2054"/>
      <c r="R9" s="2054"/>
      <c r="S9" s="2055"/>
      <c r="T9" s="1998" t="s">
        <v>554</v>
      </c>
      <c r="U9" s="1999"/>
      <c r="V9" s="1999"/>
      <c r="W9" s="1999"/>
      <c r="X9" s="1999"/>
      <c r="Y9" s="1999"/>
      <c r="Z9" s="1999"/>
      <c r="AA9" s="2000"/>
    </row>
    <row r="10" spans="1:28" ht="13.5" customHeight="1" x14ac:dyDescent="0.2">
      <c r="A10" s="2007" t="s">
        <v>696</v>
      </c>
      <c r="B10" s="2008"/>
      <c r="C10" s="2008"/>
      <c r="D10" s="2008"/>
      <c r="E10" s="2008"/>
      <c r="F10" s="2008"/>
      <c r="G10" s="2008"/>
      <c r="H10" s="2009"/>
      <c r="I10" s="29"/>
      <c r="J10" s="30"/>
      <c r="K10" s="28"/>
      <c r="R10" s="30"/>
      <c r="S10" s="30"/>
      <c r="T10" s="2001"/>
      <c r="U10" s="2002"/>
      <c r="V10" s="2002"/>
      <c r="W10" s="2002"/>
      <c r="X10" s="2002"/>
      <c r="Y10" s="2002"/>
      <c r="Z10" s="2002"/>
      <c r="AA10" s="2003"/>
    </row>
    <row r="11" spans="1:28" ht="14.25" customHeight="1" x14ac:dyDescent="0.2">
      <c r="A11" s="2010" t="s">
        <v>1012</v>
      </c>
      <c r="B11" s="2011"/>
      <c r="C11" s="2011"/>
      <c r="D11" s="2011"/>
      <c r="E11" s="2011"/>
      <c r="F11" s="2011"/>
      <c r="G11" s="2011"/>
      <c r="H11" s="2012"/>
      <c r="I11" s="27"/>
      <c r="J11" s="74"/>
      <c r="K11" s="27"/>
      <c r="O11" s="148" t="s">
        <v>2077</v>
      </c>
      <c r="P11" s="100" t="s">
        <v>210</v>
      </c>
      <c r="Q11" s="30"/>
      <c r="R11" s="28"/>
      <c r="S11" s="27"/>
      <c r="T11" s="2004"/>
      <c r="U11" s="2005"/>
      <c r="V11" s="2005"/>
      <c r="W11" s="2005"/>
      <c r="X11" s="2005"/>
      <c r="Y11" s="2005"/>
      <c r="Z11" s="2005"/>
      <c r="AA11" s="200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8">
        <v>45079138026</v>
      </c>
      <c r="B13" s="2019"/>
      <c r="C13" s="2019"/>
      <c r="D13" s="2019"/>
      <c r="E13" s="2019"/>
      <c r="F13" s="2019"/>
      <c r="G13" s="2019"/>
      <c r="H13" s="2020"/>
      <c r="I13" s="31"/>
      <c r="J13" s="30"/>
      <c r="K13" s="28"/>
      <c r="L13" s="30"/>
      <c r="M13" s="30"/>
      <c r="N13" s="30"/>
      <c r="O13" s="30"/>
      <c r="P13" s="30"/>
      <c r="Q13" s="30"/>
      <c r="R13" s="30"/>
      <c r="S13" s="30"/>
      <c r="T13" s="2023" t="s">
        <v>2084</v>
      </c>
      <c r="U13" s="2024"/>
      <c r="V13" s="2024"/>
      <c r="W13" s="2024"/>
      <c r="X13" s="2024"/>
      <c r="Y13" s="2025"/>
      <c r="Z13" s="2025"/>
      <c r="AA13" s="202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6" t="s">
        <v>2078</v>
      </c>
      <c r="B15" s="2021"/>
      <c r="C15" s="2021"/>
      <c r="D15" s="2021"/>
      <c r="E15" s="2021"/>
      <c r="F15" s="2021"/>
      <c r="G15" s="2021"/>
      <c r="H15" s="2022"/>
      <c r="T15" s="1984" t="s">
        <v>2091</v>
      </c>
      <c r="U15" s="1985"/>
      <c r="V15" s="1985"/>
      <c r="W15" s="1985"/>
      <c r="X15" s="1985"/>
      <c r="Y15" s="2027"/>
      <c r="Z15" s="2027"/>
      <c r="AA15" s="202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6" t="s">
        <v>2147</v>
      </c>
      <c r="B17" s="2046"/>
      <c r="C17" s="2046"/>
      <c r="D17" s="2046"/>
      <c r="E17" s="2046"/>
      <c r="F17" s="2046"/>
      <c r="G17" s="2046"/>
      <c r="H17" s="2047"/>
      <c r="T17" s="2033" t="s">
        <v>2092</v>
      </c>
      <c r="U17" s="2034"/>
      <c r="V17" s="2034"/>
      <c r="W17" s="2034"/>
      <c r="X17" s="2034"/>
      <c r="Y17" s="2034"/>
      <c r="Z17" s="2034"/>
      <c r="AA17" s="2035"/>
    </row>
    <row r="18" spans="1:27" ht="13.5" customHeight="1" x14ac:dyDescent="0.2">
      <c r="A18" s="85" t="s">
        <v>551</v>
      </c>
      <c r="B18" s="76"/>
      <c r="C18" s="72"/>
      <c r="D18" s="76"/>
      <c r="E18" s="76"/>
      <c r="F18" s="76"/>
      <c r="G18" s="76"/>
      <c r="H18" s="56"/>
      <c r="I18" s="2043" t="s">
        <v>697</v>
      </c>
      <c r="J18" s="2044"/>
      <c r="K18" s="2044"/>
      <c r="L18" s="2044"/>
      <c r="M18" s="2044"/>
      <c r="N18" s="2044"/>
      <c r="O18" s="2044"/>
      <c r="P18" s="2044"/>
      <c r="Q18" s="2044"/>
      <c r="R18" s="2044"/>
      <c r="S18" s="2045"/>
      <c r="T18" s="85" t="s">
        <v>735</v>
      </c>
      <c r="U18" s="51"/>
      <c r="V18" s="72"/>
      <c r="W18" s="50"/>
      <c r="X18" s="85" t="s">
        <v>284</v>
      </c>
      <c r="Y18" s="81"/>
      <c r="Z18" s="159" t="s">
        <v>698</v>
      </c>
      <c r="AA18" s="46"/>
    </row>
    <row r="19" spans="1:27" ht="13.5" customHeight="1" x14ac:dyDescent="0.2">
      <c r="A19" s="2016" t="s">
        <v>2079</v>
      </c>
      <c r="B19" s="2017"/>
      <c r="C19" s="2017"/>
      <c r="D19" s="2017"/>
      <c r="E19" s="2017"/>
      <c r="F19" s="2017"/>
      <c r="G19" s="2017"/>
      <c r="H19" s="2015"/>
      <c r="I19" s="30"/>
      <c r="J19" s="99"/>
      <c r="K19" s="40"/>
      <c r="L19" s="38"/>
      <c r="M19" s="112" t="s">
        <v>333</v>
      </c>
      <c r="P19" s="27"/>
      <c r="Q19" s="27"/>
      <c r="R19" s="27"/>
      <c r="S19" s="31"/>
      <c r="T19" s="2016" t="s">
        <v>2093</v>
      </c>
      <c r="U19" s="2014"/>
      <c r="V19" s="2014"/>
      <c r="W19" s="2015"/>
      <c r="X19" s="2031" t="s">
        <v>2094</v>
      </c>
      <c r="Y19" s="2032"/>
      <c r="Z19" s="2029">
        <v>62236</v>
      </c>
      <c r="AA19" s="203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3" t="s">
        <v>2080</v>
      </c>
      <c r="B21" s="2014"/>
      <c r="C21" s="2014"/>
      <c r="D21" s="2014"/>
      <c r="E21" s="2014"/>
      <c r="F21" s="2014"/>
      <c r="G21" s="2014"/>
      <c r="H21" s="2015"/>
      <c r="I21" s="2039" t="s">
        <v>699</v>
      </c>
      <c r="J21" s="2002"/>
      <c r="K21" s="2002"/>
      <c r="L21" s="2002"/>
      <c r="M21" s="2002"/>
      <c r="N21" s="2002"/>
      <c r="O21" s="2002"/>
      <c r="P21" s="2002"/>
      <c r="Q21" s="2002"/>
      <c r="R21" s="2002"/>
      <c r="S21" s="2003"/>
      <c r="T21" s="1981" t="s">
        <v>2095</v>
      </c>
      <c r="U21" s="1982"/>
      <c r="V21" s="1982"/>
      <c r="W21" s="1982"/>
      <c r="X21" s="1995" t="s">
        <v>2096</v>
      </c>
      <c r="Y21" s="1996"/>
      <c r="Z21" s="1996"/>
      <c r="AA21" s="1997"/>
    </row>
    <row r="22" spans="1:27" ht="13.5" customHeight="1" x14ac:dyDescent="0.2">
      <c r="A22" s="87" t="s">
        <v>552</v>
      </c>
      <c r="B22" s="59"/>
      <c r="C22" s="59"/>
      <c r="D22" s="59"/>
      <c r="E22" s="59"/>
      <c r="F22" s="59"/>
      <c r="G22" s="59"/>
      <c r="H22" s="60"/>
      <c r="I22" s="2040" t="s">
        <v>1504</v>
      </c>
      <c r="J22" s="2041"/>
      <c r="K22" s="2041"/>
      <c r="L22" s="2041"/>
      <c r="M22" s="2041"/>
      <c r="N22" s="2041"/>
      <c r="O22" s="2041"/>
      <c r="P22" s="2041"/>
      <c r="Q22" s="2041"/>
      <c r="R22" s="2041"/>
      <c r="S22" s="2042"/>
      <c r="T22" s="85" t="s">
        <v>1596</v>
      </c>
      <c r="U22" s="51"/>
      <c r="V22" s="72"/>
      <c r="W22" s="51"/>
      <c r="X22" s="160" t="s">
        <v>1385</v>
      </c>
      <c r="Z22" s="45"/>
      <c r="AA22" s="46"/>
    </row>
    <row r="23" spans="1:27" ht="13.5" customHeight="1" x14ac:dyDescent="0.2">
      <c r="A23" s="2036" t="s">
        <v>2090</v>
      </c>
      <c r="B23" s="2037"/>
      <c r="C23" s="2037"/>
      <c r="D23" s="2037"/>
      <c r="E23" s="2037"/>
      <c r="F23" s="2037"/>
      <c r="G23" s="2037"/>
      <c r="H23" s="2038"/>
      <c r="T23" s="1976" t="s">
        <v>2097</v>
      </c>
      <c r="U23" s="1977"/>
      <c r="V23" s="1977"/>
      <c r="W23" s="1977"/>
      <c r="X23" s="1992">
        <v>44469</v>
      </c>
      <c r="Y23" s="1993"/>
      <c r="Z23" s="1993"/>
      <c r="AA23" s="1994"/>
    </row>
    <row r="24" spans="1:27" ht="14.1" customHeight="1" x14ac:dyDescent="0.2">
      <c r="A24" s="88" t="s">
        <v>698</v>
      </c>
      <c r="B24" s="49"/>
      <c r="C24" s="49"/>
      <c r="D24" s="49"/>
      <c r="E24" s="49"/>
      <c r="F24" s="49"/>
      <c r="G24" s="49"/>
      <c r="H24" s="61"/>
      <c r="J24" s="2078">
        <f>IF(B5="x",IF(AUDITCHECK!D29="AFR form Incomplete.","",IF(AUDITCHECK!D29="Deficit reduction plan is required.","School District must complete a deficit reduction plan in the 2018-2019 Budget",)),"")</f>
        <v>0</v>
      </c>
      <c r="K24" s="2078"/>
      <c r="L24" s="2078"/>
      <c r="M24" s="2078"/>
      <c r="N24" s="2078"/>
      <c r="O24" s="2078"/>
      <c r="P24" s="2078"/>
      <c r="Q24" s="2078"/>
      <c r="R24" s="2078"/>
      <c r="S24" s="2079"/>
      <c r="T24" s="105" t="s">
        <v>552</v>
      </c>
      <c r="U24" s="106"/>
      <c r="V24" s="106"/>
      <c r="W24" s="106"/>
      <c r="X24" s="107"/>
      <c r="Y24" s="107"/>
      <c r="Z24" s="107"/>
      <c r="AA24" s="108"/>
    </row>
    <row r="25" spans="1:27" ht="14.1" customHeight="1" x14ac:dyDescent="0.2">
      <c r="A25" s="2013">
        <v>62288</v>
      </c>
      <c r="B25" s="2014"/>
      <c r="C25" s="2014"/>
      <c r="D25" s="2014"/>
      <c r="E25" s="2014"/>
      <c r="F25" s="2014"/>
      <c r="G25" s="2014"/>
      <c r="H25" s="2015"/>
      <c r="I25" s="113"/>
      <c r="J25" s="2080"/>
      <c r="K25" s="2080"/>
      <c r="L25" s="2080"/>
      <c r="M25" s="2080"/>
      <c r="N25" s="2080"/>
      <c r="O25" s="2080"/>
      <c r="P25" s="2080"/>
      <c r="Q25" s="2080"/>
      <c r="R25" s="2080"/>
      <c r="S25" s="2081"/>
      <c r="T25" s="1973"/>
      <c r="U25" s="1974"/>
      <c r="V25" s="1974"/>
      <c r="W25" s="1974"/>
      <c r="X25" s="1974"/>
      <c r="Y25" s="1974"/>
      <c r="Z25" s="1974"/>
      <c r="AA25" s="197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1" t="s">
        <v>1591</v>
      </c>
      <c r="J27" s="2044"/>
      <c r="K27" s="2044"/>
      <c r="L27" s="2044"/>
      <c r="M27" s="2044"/>
      <c r="N27" s="2044"/>
      <c r="O27" s="2044"/>
      <c r="P27" s="2044"/>
      <c r="Q27" s="2044"/>
      <c r="R27" s="2044"/>
      <c r="S27" s="204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7"/>
      <c r="Q35" s="2014"/>
      <c r="R35" s="201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6" t="s">
        <v>2081</v>
      </c>
      <c r="B38" s="2046"/>
      <c r="C38" s="2046"/>
      <c r="D38" s="2046"/>
      <c r="E38" s="2046"/>
      <c r="F38" s="2014"/>
      <c r="G38" s="2014"/>
      <c r="H38" s="2015"/>
      <c r="I38" s="2065"/>
      <c r="J38" s="1985"/>
      <c r="K38" s="1985"/>
      <c r="L38" s="1985"/>
      <c r="M38" s="1985"/>
      <c r="N38" s="1985"/>
      <c r="O38" s="1985"/>
      <c r="P38" s="1986"/>
      <c r="Q38" s="1986"/>
      <c r="R38" s="1986"/>
      <c r="S38" s="1987"/>
      <c r="T38" s="1984" t="s">
        <v>2085</v>
      </c>
      <c r="U38" s="1985"/>
      <c r="V38" s="1985"/>
      <c r="W38" s="1985"/>
      <c r="X38" s="1986"/>
      <c r="Y38" s="1986"/>
      <c r="Z38" s="1986"/>
      <c r="AA38" s="1987"/>
    </row>
    <row r="39" spans="1:27" ht="12" customHeight="1" x14ac:dyDescent="0.2">
      <c r="A39" s="2069" t="s">
        <v>552</v>
      </c>
      <c r="B39" s="2070"/>
      <c r="C39" s="72"/>
      <c r="D39" s="69"/>
      <c r="E39" s="69"/>
      <c r="F39" s="79"/>
      <c r="G39" s="69"/>
      <c r="H39" s="56"/>
      <c r="I39" s="2069" t="s">
        <v>552</v>
      </c>
      <c r="J39" s="2070"/>
      <c r="K39" s="2070"/>
      <c r="L39" s="2070"/>
      <c r="M39" s="2070"/>
      <c r="N39" s="67"/>
      <c r="O39" s="72"/>
      <c r="P39" s="72"/>
      <c r="Q39" s="78"/>
      <c r="R39" s="72"/>
      <c r="S39" s="56"/>
      <c r="T39" s="72" t="s">
        <v>552</v>
      </c>
      <c r="U39" s="51"/>
      <c r="V39" s="72"/>
      <c r="W39" s="50"/>
      <c r="X39" s="78"/>
      <c r="Y39" s="45"/>
      <c r="Z39" s="45"/>
      <c r="AA39" s="46"/>
    </row>
    <row r="40" spans="1:27" ht="13.5" customHeight="1" x14ac:dyDescent="0.2">
      <c r="A40" s="2072" t="s">
        <v>2090</v>
      </c>
      <c r="B40" s="2073"/>
      <c r="C40" s="2074"/>
      <c r="D40" s="2074"/>
      <c r="E40" s="2074"/>
      <c r="F40" s="2075"/>
      <c r="G40" s="2075"/>
      <c r="H40" s="2076"/>
      <c r="I40" s="1988"/>
      <c r="J40" s="1990"/>
      <c r="K40" s="1990"/>
      <c r="L40" s="1990"/>
      <c r="M40" s="1990"/>
      <c r="N40" s="1990"/>
      <c r="O40" s="1990"/>
      <c r="P40" s="1990"/>
      <c r="Q40" s="1990"/>
      <c r="R40" s="1990"/>
      <c r="S40" s="1991"/>
      <c r="T40" s="1988" t="s">
        <v>2086</v>
      </c>
      <c r="U40" s="1989"/>
      <c r="V40" s="1990"/>
      <c r="W40" s="1990"/>
      <c r="X40" s="1990"/>
      <c r="Y40" s="1990"/>
      <c r="Z40" s="1990"/>
      <c r="AA40" s="199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2" t="s">
        <v>2082</v>
      </c>
      <c r="B42" s="2063"/>
      <c r="C42" s="2064"/>
      <c r="D42" s="2077" t="s">
        <v>2083</v>
      </c>
      <c r="E42" s="2063"/>
      <c r="F42" s="2063"/>
      <c r="G42" s="2063"/>
      <c r="H42" s="2064"/>
      <c r="I42" s="1983"/>
      <c r="J42" s="1979"/>
      <c r="K42" s="1979"/>
      <c r="L42" s="1979"/>
      <c r="M42" s="1979"/>
      <c r="N42" s="1979"/>
      <c r="O42" s="1980"/>
      <c r="P42" s="1978"/>
      <c r="Q42" s="1979"/>
      <c r="R42" s="1979"/>
      <c r="S42" s="1980"/>
      <c r="T42" s="1983" t="s">
        <v>2087</v>
      </c>
      <c r="U42" s="1979"/>
      <c r="V42" s="1979"/>
      <c r="W42" s="1980"/>
      <c r="X42" s="1978" t="s">
        <v>2088</v>
      </c>
      <c r="Y42" s="1979"/>
      <c r="Z42" s="1979"/>
      <c r="AA42" s="198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6"/>
      <c r="B44" s="2067"/>
      <c r="C44" s="2067"/>
      <c r="D44" s="2067"/>
      <c r="E44" s="2067"/>
      <c r="F44" s="2067"/>
      <c r="G44" s="2067"/>
      <c r="H44" s="2068"/>
      <c r="I44" s="2058"/>
      <c r="J44" s="2060"/>
      <c r="K44" s="2060"/>
      <c r="L44" s="2060"/>
      <c r="M44" s="2060"/>
      <c r="N44" s="2060"/>
      <c r="O44" s="2060"/>
      <c r="P44" s="2060"/>
      <c r="Q44" s="2060"/>
      <c r="R44" s="2060"/>
      <c r="S44" s="2061"/>
      <c r="T44" s="2058"/>
      <c r="U44" s="2059"/>
      <c r="V44" s="2059"/>
      <c r="W44" s="2059"/>
      <c r="X44" s="2059"/>
      <c r="Y44" s="2059"/>
      <c r="Z44" s="2060"/>
      <c r="AA44" s="206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rintOptions horizontalCentered="1"/>
  <pageMargins left="0.32" right="0.02" top="0.6" bottom="0.52" header="0.19" footer="0.5"/>
  <pageSetup scale="75" firstPageNumber="4" orientation="landscape" useFirstPageNumber="1" r:id="rId3"/>
  <headerFooter scaleWithDoc="0">
    <oddFooter>&amp;LSee notes to financial statements.&amp;C&amp;P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7" sqref="A7:D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15" t="s">
        <v>1905</v>
      </c>
      <c r="B2" s="1549" t="s">
        <v>2037</v>
      </c>
      <c r="C2" s="715" t="s">
        <v>1910</v>
      </c>
      <c r="D2" s="715" t="s">
        <v>1911</v>
      </c>
      <c r="E2" s="715" t="s">
        <v>1912</v>
      </c>
      <c r="F2" s="715" t="s">
        <v>1913</v>
      </c>
    </row>
    <row r="3" spans="1:6" ht="12" customHeight="1" x14ac:dyDescent="0.2">
      <c r="A3" s="2216"/>
      <c r="B3" s="1546"/>
      <c r="C3" s="1547"/>
      <c r="D3" s="1548" t="s">
        <v>274</v>
      </c>
      <c r="E3" s="1547"/>
      <c r="F3" s="1548" t="s">
        <v>275</v>
      </c>
    </row>
    <row r="4" spans="1:6" ht="13.7" customHeight="1" x14ac:dyDescent="0.2">
      <c r="A4" s="716" t="s">
        <v>1217</v>
      </c>
      <c r="B4" s="1770">
        <f>'Revenues 9-14'!C5</f>
        <v>980214</v>
      </c>
      <c r="C4" s="1545"/>
      <c r="D4" s="1773">
        <f>B4-C4</f>
        <v>980214</v>
      </c>
      <c r="E4" s="1545">
        <v>1005056</v>
      </c>
      <c r="F4" s="1773">
        <f>E4-C4</f>
        <v>1005056</v>
      </c>
    </row>
    <row r="5" spans="1:6" ht="13.7" customHeight="1" x14ac:dyDescent="0.2">
      <c r="A5" s="716" t="s">
        <v>925</v>
      </c>
      <c r="B5" s="1771">
        <f>'Revenues 9-14'!D5</f>
        <v>183824</v>
      </c>
      <c r="C5" s="585"/>
      <c r="D5" s="1774">
        <f t="shared" ref="D5:D18" si="0">B5-C5</f>
        <v>183824</v>
      </c>
      <c r="E5" s="585">
        <v>188487</v>
      </c>
      <c r="F5" s="1774">
        <f>E5-C5</f>
        <v>188487</v>
      </c>
    </row>
    <row r="6" spans="1:6" ht="13.7" customHeight="1" x14ac:dyDescent="0.2">
      <c r="A6" s="716" t="s">
        <v>431</v>
      </c>
      <c r="B6" s="1771">
        <f>'Revenues 9-14'!E5</f>
        <v>97778</v>
      </c>
      <c r="C6" s="585"/>
      <c r="D6" s="1774">
        <f t="shared" si="0"/>
        <v>97778</v>
      </c>
      <c r="E6" s="585">
        <v>99687</v>
      </c>
      <c r="F6" s="1774">
        <f t="shared" ref="F6:F18" si="1">E6-C6</f>
        <v>99687</v>
      </c>
    </row>
    <row r="7" spans="1:6" ht="13.7" customHeight="1" x14ac:dyDescent="0.2">
      <c r="A7" s="716" t="s">
        <v>157</v>
      </c>
      <c r="B7" s="1771">
        <f>'Revenues 9-14'!F5</f>
        <v>116692</v>
      </c>
      <c r="C7" s="585"/>
      <c r="D7" s="1774">
        <f t="shared" si="0"/>
        <v>116692</v>
      </c>
      <c r="E7" s="585">
        <v>119657</v>
      </c>
      <c r="F7" s="1774">
        <f t="shared" si="1"/>
        <v>119657</v>
      </c>
    </row>
    <row r="8" spans="1:6" ht="13.7" customHeight="1" x14ac:dyDescent="0.2">
      <c r="A8" s="716" t="s">
        <v>1241</v>
      </c>
      <c r="B8" s="1771">
        <f>'Revenues 9-14'!G5</f>
        <v>62040</v>
      </c>
      <c r="C8" s="585"/>
      <c r="D8" s="1774">
        <f t="shared" si="0"/>
        <v>62040</v>
      </c>
      <c r="E8" s="585">
        <v>63617</v>
      </c>
      <c r="F8" s="1774">
        <f t="shared" si="1"/>
        <v>63617</v>
      </c>
    </row>
    <row r="9" spans="1:6" ht="13.7" customHeight="1" x14ac:dyDescent="0.2">
      <c r="A9" s="716" t="s">
        <v>428</v>
      </c>
      <c r="B9" s="1771">
        <f>'Revenues 9-14'!H5</f>
        <v>0</v>
      </c>
      <c r="C9" s="585"/>
      <c r="D9" s="1774">
        <f t="shared" si="0"/>
        <v>0</v>
      </c>
      <c r="E9" s="585">
        <v>0</v>
      </c>
      <c r="F9" s="1774">
        <f t="shared" si="1"/>
        <v>0</v>
      </c>
    </row>
    <row r="10" spans="1:6" ht="13.7" customHeight="1" x14ac:dyDescent="0.2">
      <c r="A10" s="716" t="s">
        <v>427</v>
      </c>
      <c r="B10" s="1771">
        <f>'Revenues 9-14'!I5</f>
        <v>12637</v>
      </c>
      <c r="C10" s="585"/>
      <c r="D10" s="1774">
        <f t="shared" si="0"/>
        <v>12637</v>
      </c>
      <c r="E10" s="585">
        <v>12959</v>
      </c>
      <c r="F10" s="1774">
        <f t="shared" si="1"/>
        <v>12959</v>
      </c>
    </row>
    <row r="11" spans="1:6" x14ac:dyDescent="0.2">
      <c r="A11" s="716" t="s">
        <v>429</v>
      </c>
      <c r="B11" s="1771">
        <f>'Revenues 9-14'!J5</f>
        <v>23309</v>
      </c>
      <c r="C11" s="585"/>
      <c r="D11" s="1774">
        <f t="shared" si="0"/>
        <v>23309</v>
      </c>
      <c r="E11" s="585">
        <v>23899</v>
      </c>
      <c r="F11" s="1774">
        <f t="shared" si="1"/>
        <v>23899</v>
      </c>
    </row>
    <row r="12" spans="1:6" ht="13.7" customHeight="1" x14ac:dyDescent="0.2">
      <c r="A12" s="716" t="s">
        <v>159</v>
      </c>
      <c r="B12" s="1771">
        <f>'Revenues 9-14'!K5</f>
        <v>10097</v>
      </c>
      <c r="C12" s="585"/>
      <c r="D12" s="1774">
        <f t="shared" si="0"/>
        <v>10097</v>
      </c>
      <c r="E12" s="585">
        <v>10354</v>
      </c>
      <c r="F12" s="1774">
        <f t="shared" si="1"/>
        <v>10354</v>
      </c>
    </row>
    <row r="13" spans="1:6" ht="13.7" customHeight="1" x14ac:dyDescent="0.2">
      <c r="A13" s="716" t="s">
        <v>993</v>
      </c>
      <c r="B13" s="1771">
        <f>SUM('Revenues 9-14'!C6:D6)</f>
        <v>0</v>
      </c>
      <c r="C13" s="585"/>
      <c r="D13" s="1774">
        <f t="shared" si="0"/>
        <v>0</v>
      </c>
      <c r="E13" s="585">
        <v>0</v>
      </c>
      <c r="F13" s="1774">
        <f t="shared" si="1"/>
        <v>0</v>
      </c>
    </row>
    <row r="14" spans="1:6" ht="13.7" customHeight="1" x14ac:dyDescent="0.2">
      <c r="A14" s="716" t="s">
        <v>430</v>
      </c>
      <c r="B14" s="1771">
        <f>SUM('Revenues 9-14'!C7:D7,'Revenues 9-14'!F7:H7)</f>
        <v>23249</v>
      </c>
      <c r="C14" s="585"/>
      <c r="D14" s="1774">
        <f t="shared" si="0"/>
        <v>23249</v>
      </c>
      <c r="E14" s="585">
        <v>23842</v>
      </c>
      <c r="F14" s="1774">
        <f t="shared" si="1"/>
        <v>23842</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47385</v>
      </c>
      <c r="C16" s="585"/>
      <c r="D16" s="1774">
        <f t="shared" si="0"/>
        <v>47385</v>
      </c>
      <c r="E16" s="585">
        <v>48586</v>
      </c>
      <c r="F16" s="1774">
        <f t="shared" si="1"/>
        <v>48586</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1557225</v>
      </c>
      <c r="C19" s="1772">
        <f>SUM(C4:C18)</f>
        <v>0</v>
      </c>
      <c r="D19" s="1772">
        <f>SUM(D4:D18)</f>
        <v>1557225</v>
      </c>
      <c r="E19" s="1772">
        <f>SUM(E4:E18)</f>
        <v>1596144</v>
      </c>
      <c r="F19" s="1772">
        <f>SUM(F4:F18)</f>
        <v>1596144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1" right="0.25" top="1" bottom="1" header="0.75" footer="0.5"/>
  <pageSetup scale="90" firstPageNumber="28" orientation="landscape" useFirstPageNumber="1" r:id="rId1"/>
  <headerFooter scaleWithDoc="0">
    <oddFooter>&amp;LSee notes to financial statements.&amp;C&amp;P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6" colorId="8" zoomScale="110" zoomScaleNormal="110" workbookViewId="0">
      <selection activeCell="A7" sqref="A7:D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22"/>
      <c r="C1" s="722"/>
    </row>
    <row r="2" spans="1:7" ht="33.75" x14ac:dyDescent="0.2">
      <c r="A2" s="2230" t="s">
        <v>1905</v>
      </c>
      <c r="B2" s="2231"/>
      <c r="C2" s="1907" t="s">
        <v>2038</v>
      </c>
      <c r="D2" s="724" t="s">
        <v>2045</v>
      </c>
      <c r="E2" s="724" t="s">
        <v>2046</v>
      </c>
      <c r="F2" s="1907" t="s">
        <v>2039</v>
      </c>
    </row>
    <row r="3" spans="1:7" ht="15.75" customHeight="1" x14ac:dyDescent="0.2">
      <c r="A3" s="2234" t="s">
        <v>1176</v>
      </c>
      <c r="B3" s="2235"/>
      <c r="C3" s="2223"/>
      <c r="D3" s="2224"/>
      <c r="E3" s="2224"/>
      <c r="F3" s="2225"/>
    </row>
    <row r="4" spans="1:7" ht="12.75" customHeight="1" thickBot="1" x14ac:dyDescent="0.25">
      <c r="A4" s="2232" t="s">
        <v>651</v>
      </c>
      <c r="B4" s="2233"/>
      <c r="C4" s="581"/>
      <c r="D4" s="581"/>
      <c r="E4" s="581"/>
      <c r="F4" s="1776">
        <f>SUM(C4+D4)-E4</f>
        <v>0</v>
      </c>
    </row>
    <row r="5" spans="1:7" ht="15.75" customHeight="1" thickTop="1" x14ac:dyDescent="0.2">
      <c r="A5" s="2217" t="s">
        <v>1172</v>
      </c>
      <c r="B5" s="2218"/>
      <c r="C5" s="2226"/>
      <c r="D5" s="2227"/>
      <c r="E5" s="2227"/>
      <c r="F5" s="2228"/>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9" t="s">
        <v>652</v>
      </c>
      <c r="B15" s="2220"/>
      <c r="C15" s="1776">
        <f>SUM(C6:C14)</f>
        <v>0</v>
      </c>
      <c r="D15" s="1776">
        <f>SUM(D6:D14)</f>
        <v>0</v>
      </c>
      <c r="E15" s="1776">
        <f>SUM(E6:E14)</f>
        <v>0</v>
      </c>
      <c r="F15" s="1776">
        <f>SUM(F6:F14)</f>
        <v>0</v>
      </c>
      <c r="G15" s="552"/>
    </row>
    <row r="16" spans="1:7" s="202" customFormat="1" ht="15.75" customHeight="1" thickTop="1" x14ac:dyDescent="0.2">
      <c r="A16" s="2229" t="s">
        <v>1173</v>
      </c>
      <c r="B16" s="2218"/>
      <c r="C16" s="2226"/>
      <c r="D16" s="2227"/>
      <c r="E16" s="2227"/>
      <c r="F16" s="2228"/>
    </row>
    <row r="17" spans="1:11" ht="12.75" customHeight="1" thickBot="1" x14ac:dyDescent="0.25">
      <c r="A17" s="2242" t="s">
        <v>66</v>
      </c>
      <c r="B17" s="2243"/>
      <c r="C17" s="727"/>
      <c r="D17" s="585"/>
      <c r="E17" s="727"/>
      <c r="F17" s="1776">
        <f>SUM(C17+D17)-E17</f>
        <v>0</v>
      </c>
    </row>
    <row r="18" spans="1:11" ht="12.75" customHeight="1" thickTop="1" thickBot="1" x14ac:dyDescent="0.25">
      <c r="A18" s="2242" t="s">
        <v>6</v>
      </c>
      <c r="B18" s="2243"/>
      <c r="C18" s="727"/>
      <c r="D18" s="585"/>
      <c r="E18" s="727"/>
      <c r="F18" s="1776">
        <f>SUM(C18+D18)-E18</f>
        <v>0</v>
      </c>
    </row>
    <row r="19" spans="1:11" ht="12.75" customHeight="1" thickTop="1" thickBot="1" x14ac:dyDescent="0.25">
      <c r="A19" s="2242" t="s">
        <v>406</v>
      </c>
      <c r="B19" s="2243"/>
      <c r="C19" s="727"/>
      <c r="D19" s="585"/>
      <c r="E19" s="727"/>
      <c r="F19" s="1776">
        <f>SUM(C19+D19)-E19</f>
        <v>0</v>
      </c>
    </row>
    <row r="20" spans="1:11" ht="12.75" customHeight="1" thickTop="1" thickBot="1" x14ac:dyDescent="0.25">
      <c r="A20" s="2242" t="s">
        <v>468</v>
      </c>
      <c r="B20" s="2243"/>
      <c r="C20" s="727"/>
      <c r="D20" s="585"/>
      <c r="E20" s="727"/>
      <c r="F20" s="1776">
        <f>SUM(C20+D20)-E20</f>
        <v>0</v>
      </c>
    </row>
    <row r="21" spans="1:11" ht="14.25" thickTop="1" thickBot="1" x14ac:dyDescent="0.25">
      <c r="A21" s="2219" t="s">
        <v>653</v>
      </c>
      <c r="B21" s="2220"/>
      <c r="C21" s="1776">
        <f>SUM(C17:C20)</f>
        <v>0</v>
      </c>
      <c r="D21" s="1776">
        <f>SUM(D17:D20)</f>
        <v>0</v>
      </c>
      <c r="E21" s="1776">
        <f>SUM(E17:E20)</f>
        <v>0</v>
      </c>
      <c r="F21" s="1776">
        <f>SUM(F17:F20)</f>
        <v>0</v>
      </c>
      <c r="G21" s="552"/>
    </row>
    <row r="22" spans="1:11" ht="15.75" customHeight="1" thickTop="1" x14ac:dyDescent="0.2">
      <c r="A22" s="2244" t="s">
        <v>1174</v>
      </c>
      <c r="B22" s="2218"/>
      <c r="C22" s="2226"/>
      <c r="D22" s="2227"/>
      <c r="E22" s="2227"/>
      <c r="F22" s="2228"/>
    </row>
    <row r="23" spans="1:11" ht="13.5" thickBot="1" x14ac:dyDescent="0.25">
      <c r="A23" s="2232" t="s">
        <v>654</v>
      </c>
      <c r="B23" s="2233"/>
      <c r="C23" s="581"/>
      <c r="D23" s="581"/>
      <c r="E23" s="581"/>
      <c r="F23" s="1776">
        <f>SUM(C23+D23)-E23</f>
        <v>0</v>
      </c>
      <c r="G23" s="552"/>
    </row>
    <row r="24" spans="1:11" ht="15.75" customHeight="1" thickTop="1" x14ac:dyDescent="0.2">
      <c r="A24" s="2244" t="s">
        <v>1175</v>
      </c>
      <c r="B24" s="2218"/>
      <c r="C24" s="2226"/>
      <c r="D24" s="2227"/>
      <c r="E24" s="2227"/>
      <c r="F24" s="2228"/>
    </row>
    <row r="25" spans="1:11" ht="13.5" thickBot="1" x14ac:dyDescent="0.25">
      <c r="A25" s="2232" t="s">
        <v>655</v>
      </c>
      <c r="B25" s="2233"/>
      <c r="C25" s="581"/>
      <c r="D25" s="581"/>
      <c r="E25" s="581"/>
      <c r="F25" s="1776">
        <f>SUM(C25+D25)-E25</f>
        <v>0</v>
      </c>
      <c r="G25" s="552"/>
    </row>
    <row r="26" spans="1:11" ht="15.75" customHeight="1" thickTop="1" x14ac:dyDescent="0.2">
      <c r="A26" s="2217" t="s">
        <v>678</v>
      </c>
      <c r="B26" s="2218"/>
      <c r="C26" s="728"/>
      <c r="D26" s="728"/>
      <c r="E26" s="728"/>
      <c r="F26" s="729"/>
    </row>
    <row r="27" spans="1:11" ht="13.5" thickBot="1" x14ac:dyDescent="0.25">
      <c r="A27" s="2219" t="s">
        <v>1130</v>
      </c>
      <c r="B27" s="2220"/>
      <c r="C27" s="585"/>
      <c r="D27" s="585"/>
      <c r="E27" s="585"/>
      <c r="F27" s="1776">
        <f>SUM(C27+D27)-E27</f>
        <v>0</v>
      </c>
      <c r="G27" s="552"/>
    </row>
    <row r="28" spans="1:11" ht="7.5" customHeight="1" thickTop="1" x14ac:dyDescent="0.2">
      <c r="A28" s="594"/>
    </row>
    <row r="29" spans="1:11" ht="23.25" customHeight="1" x14ac:dyDescent="0.2">
      <c r="A29" s="2245" t="s">
        <v>603</v>
      </c>
      <c r="B29" s="2222"/>
      <c r="C29" s="730"/>
      <c r="D29" s="730"/>
      <c r="E29" s="730"/>
      <c r="F29" s="730"/>
      <c r="G29" s="730"/>
      <c r="H29" s="730"/>
      <c r="I29" s="730"/>
      <c r="J29" s="730"/>
    </row>
    <row r="30" spans="1:11" ht="33.75" x14ac:dyDescent="0.2">
      <c r="A30" s="1550"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t="s">
        <v>2143</v>
      </c>
      <c r="B31" s="734">
        <v>40603</v>
      </c>
      <c r="C31" s="735">
        <v>680000</v>
      </c>
      <c r="D31" s="736">
        <v>4</v>
      </c>
      <c r="E31" s="735">
        <v>260000</v>
      </c>
      <c r="F31" s="735"/>
      <c r="G31" s="735"/>
      <c r="H31" s="735">
        <v>85000</v>
      </c>
      <c r="I31" s="1777">
        <f>((E31+F31)-H31)+G31</f>
        <v>175000</v>
      </c>
      <c r="J31" s="735">
        <v>115743</v>
      </c>
      <c r="K31" s="737"/>
    </row>
    <row r="32" spans="1:11" ht="12" customHeight="1" x14ac:dyDescent="0.2">
      <c r="A32" s="733" t="s">
        <v>2144</v>
      </c>
      <c r="B32" s="734">
        <v>42307</v>
      </c>
      <c r="C32" s="735">
        <v>2900000</v>
      </c>
      <c r="D32" s="736">
        <v>7</v>
      </c>
      <c r="E32" s="735">
        <v>2780000</v>
      </c>
      <c r="F32" s="735"/>
      <c r="G32" s="735"/>
      <c r="H32" s="735">
        <v>185000</v>
      </c>
      <c r="I32" s="1777">
        <f>((E32+F32)-H32)+G32</f>
        <v>2595000</v>
      </c>
      <c r="J32" s="735">
        <v>2557970</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3580000</v>
      </c>
      <c r="D49" s="746"/>
      <c r="E49" s="1777">
        <f t="shared" ref="E49:J49" si="2">SUM(E31:E48)</f>
        <v>3040000</v>
      </c>
      <c r="F49" s="1777">
        <f t="shared" si="2"/>
        <v>0</v>
      </c>
      <c r="G49" s="1777">
        <f t="shared" si="2"/>
        <v>0</v>
      </c>
      <c r="H49" s="1777">
        <f t="shared" si="2"/>
        <v>270000</v>
      </c>
      <c r="I49" s="1777">
        <f t="shared" si="2"/>
        <v>2770000</v>
      </c>
      <c r="J49" s="1777">
        <f t="shared" si="2"/>
        <v>2673713</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36" t="s">
        <v>605</v>
      </c>
      <c r="C52" s="2237"/>
      <c r="D52" s="2237"/>
      <c r="E52" s="750" t="s">
        <v>900</v>
      </c>
      <c r="F52" s="2238" t="s">
        <v>2089</v>
      </c>
      <c r="G52" s="2239"/>
      <c r="H52" s="737"/>
      <c r="I52" s="737"/>
      <c r="J52" s="747"/>
    </row>
    <row r="53" spans="1:11" ht="11.25" customHeight="1" x14ac:dyDescent="0.2">
      <c r="A53" s="751" t="s">
        <v>969</v>
      </c>
      <c r="B53" s="752" t="s">
        <v>1008</v>
      </c>
      <c r="C53" s="747"/>
      <c r="D53" s="738"/>
      <c r="E53" s="750" t="s">
        <v>518</v>
      </c>
      <c r="F53" s="2240"/>
      <c r="G53" s="2241"/>
      <c r="H53" s="737"/>
      <c r="I53" s="737"/>
      <c r="J53" s="747"/>
    </row>
    <row r="54" spans="1:11" ht="11.25" customHeight="1" x14ac:dyDescent="0.2">
      <c r="A54" s="753" t="s">
        <v>970</v>
      </c>
      <c r="B54" s="748" t="s">
        <v>1009</v>
      </c>
      <c r="C54" s="747"/>
      <c r="D54" s="738"/>
      <c r="E54" s="750" t="s">
        <v>519</v>
      </c>
      <c r="F54" s="2240"/>
      <c r="G54" s="224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5" right="0.25" top="0.5" bottom="0.5" header="0.25" footer="0.25"/>
  <pageSetup scale="70" firstPageNumber="29" fitToHeight="0" orientation="landscape" useFirstPageNumber="1" r:id="rId1"/>
  <headerFooter scaleWithDoc="0">
    <oddFooter>&amp;LSee notes to financial statements.&amp;C&amp;P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C4" colorId="8" zoomScale="110" zoomScaleNormal="110" workbookViewId="0">
      <selection activeCell="A7" sqref="A7:D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0" t="s">
        <v>911</v>
      </c>
      <c r="B1" s="2271"/>
      <c r="C1" s="2271"/>
      <c r="D1" s="2271"/>
      <c r="E1" s="2271"/>
      <c r="F1" s="2271"/>
      <c r="G1" s="2272"/>
      <c r="H1" s="1551"/>
      <c r="I1" s="761"/>
      <c r="J1" s="433"/>
    </row>
    <row r="2" spans="1:11" ht="26.25" x14ac:dyDescent="0.2">
      <c r="A2" s="2249" t="s">
        <v>1776</v>
      </c>
      <c r="B2" s="2250"/>
      <c r="C2" s="2250"/>
      <c r="D2" s="2250"/>
      <c r="E2" s="2251"/>
      <c r="F2" s="762" t="s">
        <v>960</v>
      </c>
      <c r="G2" s="763" t="s">
        <v>1773</v>
      </c>
      <c r="H2" s="763" t="s">
        <v>430</v>
      </c>
      <c r="I2" s="763" t="s">
        <v>1220</v>
      </c>
      <c r="J2" s="763" t="s">
        <v>1919</v>
      </c>
      <c r="K2" s="763" t="s">
        <v>140</v>
      </c>
    </row>
    <row r="3" spans="1:11" x14ac:dyDescent="0.2">
      <c r="A3" s="2252" t="s">
        <v>1698</v>
      </c>
      <c r="B3" s="2253"/>
      <c r="C3" s="2253"/>
      <c r="D3" s="2253"/>
      <c r="E3" s="2254"/>
      <c r="F3" s="764"/>
      <c r="G3" s="765">
        <v>0</v>
      </c>
      <c r="H3" s="765">
        <v>0</v>
      </c>
      <c r="I3" s="765">
        <v>0</v>
      </c>
      <c r="J3" s="766">
        <v>428653</v>
      </c>
      <c r="K3" s="766">
        <v>0</v>
      </c>
    </row>
    <row r="4" spans="1:11" x14ac:dyDescent="0.2">
      <c r="A4" s="2255" t="s">
        <v>387</v>
      </c>
      <c r="B4" s="2256"/>
      <c r="C4" s="2256"/>
      <c r="D4" s="2256"/>
      <c r="E4" s="2237"/>
      <c r="F4" s="767"/>
      <c r="G4" s="768"/>
      <c r="H4" s="769"/>
      <c r="I4" s="768"/>
      <c r="J4" s="770"/>
      <c r="K4" s="770"/>
    </row>
    <row r="5" spans="1:11" x14ac:dyDescent="0.2">
      <c r="A5" s="2273" t="s">
        <v>1129</v>
      </c>
      <c r="B5" s="2246"/>
      <c r="C5" s="2246"/>
      <c r="D5" s="2246"/>
      <c r="E5" s="2274"/>
      <c r="F5" s="771" t="s">
        <v>903</v>
      </c>
      <c r="G5" s="772"/>
      <c r="H5" s="765">
        <v>23249</v>
      </c>
      <c r="I5" s="773"/>
      <c r="J5" s="774"/>
      <c r="K5" s="774"/>
    </row>
    <row r="6" spans="1:11" x14ac:dyDescent="0.2">
      <c r="A6" s="775" t="s">
        <v>744</v>
      </c>
      <c r="B6" s="776"/>
      <c r="C6" s="776"/>
      <c r="D6" s="776"/>
      <c r="E6" s="777"/>
      <c r="F6" s="778" t="s">
        <v>904</v>
      </c>
      <c r="G6" s="765"/>
      <c r="H6" s="765"/>
      <c r="I6" s="765"/>
      <c r="J6" s="766">
        <v>14</v>
      </c>
      <c r="K6" s="766"/>
    </row>
    <row r="7" spans="1:11" x14ac:dyDescent="0.2">
      <c r="A7" s="779" t="s">
        <v>264</v>
      </c>
      <c r="B7" s="780"/>
      <c r="C7" s="780"/>
      <c r="D7" s="780"/>
      <c r="E7" s="781"/>
      <c r="F7" s="771" t="s">
        <v>905</v>
      </c>
      <c r="G7" s="768"/>
      <c r="H7" s="768"/>
      <c r="I7" s="768"/>
      <c r="J7" s="782"/>
      <c r="K7" s="766">
        <v>3675</v>
      </c>
    </row>
    <row r="8" spans="1:11" x14ac:dyDescent="0.2">
      <c r="A8" s="779" t="s">
        <v>363</v>
      </c>
      <c r="B8" s="780"/>
      <c r="C8" s="780"/>
      <c r="D8" s="780"/>
      <c r="E8" s="781"/>
      <c r="F8" s="771" t="s">
        <v>906</v>
      </c>
      <c r="G8" s="783"/>
      <c r="H8" s="783"/>
      <c r="I8" s="783"/>
      <c r="J8" s="766">
        <v>301314</v>
      </c>
      <c r="K8" s="770"/>
    </row>
    <row r="9" spans="1:11" x14ac:dyDescent="0.2">
      <c r="A9" s="779" t="s">
        <v>140</v>
      </c>
      <c r="B9" s="780"/>
      <c r="C9" s="780"/>
      <c r="D9" s="780"/>
      <c r="E9" s="781"/>
      <c r="F9" s="778" t="s">
        <v>908</v>
      </c>
      <c r="G9" s="783"/>
      <c r="H9" s="772"/>
      <c r="I9" s="772"/>
      <c r="J9" s="782"/>
      <c r="K9" s="766">
        <v>8268</v>
      </c>
    </row>
    <row r="10" spans="1:11" x14ac:dyDescent="0.2">
      <c r="A10" s="2273" t="s">
        <v>1920</v>
      </c>
      <c r="B10" s="2246"/>
      <c r="C10" s="2246"/>
      <c r="D10" s="2246"/>
      <c r="E10" s="2275"/>
      <c r="F10" s="784" t="s">
        <v>917</v>
      </c>
      <c r="G10" s="783"/>
      <c r="H10" s="785">
        <v>70</v>
      </c>
      <c r="I10" s="765"/>
      <c r="J10" s="766"/>
      <c r="K10" s="766"/>
    </row>
    <row r="11" spans="1:11" x14ac:dyDescent="0.2">
      <c r="A11" s="2273" t="s">
        <v>162</v>
      </c>
      <c r="B11" s="2246"/>
      <c r="C11" s="2246"/>
      <c r="D11" s="2246"/>
      <c r="E11" s="2274"/>
      <c r="F11" s="771" t="s">
        <v>907</v>
      </c>
      <c r="G11" s="772"/>
      <c r="H11" s="765"/>
      <c r="I11" s="765"/>
      <c r="J11" s="766"/>
      <c r="K11" s="774"/>
    </row>
    <row r="12" spans="1:11" ht="13.5" thickBot="1" x14ac:dyDescent="0.25">
      <c r="A12" s="2263" t="s">
        <v>961</v>
      </c>
      <c r="B12" s="2264"/>
      <c r="C12" s="2264"/>
      <c r="D12" s="2264"/>
      <c r="E12" s="2265"/>
      <c r="F12" s="1778"/>
      <c r="G12" s="1779">
        <f>SUM(G5:G11)</f>
        <v>0</v>
      </c>
      <c r="H12" s="1779">
        <f>SUM(H5:H11)</f>
        <v>23319</v>
      </c>
      <c r="I12" s="1779">
        <f>SUM(I5:I11)</f>
        <v>0</v>
      </c>
      <c r="J12" s="1779">
        <f>SUM(J5:J11)</f>
        <v>301328</v>
      </c>
      <c r="K12" s="1779">
        <f>SUM(K5:K11)</f>
        <v>11943</v>
      </c>
    </row>
    <row r="13" spans="1:11" ht="13.5" thickTop="1" x14ac:dyDescent="0.2">
      <c r="A13" s="2257" t="s">
        <v>388</v>
      </c>
      <c r="B13" s="2258"/>
      <c r="C13" s="2258"/>
      <c r="D13" s="2258"/>
      <c r="E13" s="2259"/>
      <c r="F13" s="786"/>
      <c r="G13" s="787"/>
      <c r="H13" s="788"/>
      <c r="I13" s="789"/>
      <c r="J13" s="789"/>
      <c r="K13" s="789"/>
    </row>
    <row r="14" spans="1:11" x14ac:dyDescent="0.2">
      <c r="A14" s="2279" t="s">
        <v>476</v>
      </c>
      <c r="B14" s="2279"/>
      <c r="C14" s="2279"/>
      <c r="D14" s="2279"/>
      <c r="E14" s="2280"/>
      <c r="F14" s="790" t="s">
        <v>909</v>
      </c>
      <c r="G14" s="783"/>
      <c r="H14" s="765">
        <v>23319</v>
      </c>
      <c r="I14" s="772"/>
      <c r="J14" s="774"/>
      <c r="K14" s="766">
        <v>11943</v>
      </c>
    </row>
    <row r="15" spans="1:11" x14ac:dyDescent="0.2">
      <c r="A15" s="2246" t="s">
        <v>4</v>
      </c>
      <c r="B15" s="2246"/>
      <c r="C15" s="2246"/>
      <c r="D15" s="2246"/>
      <c r="E15" s="2274"/>
      <c r="F15" s="790" t="s">
        <v>910</v>
      </c>
      <c r="G15" s="772"/>
      <c r="H15" s="765"/>
      <c r="I15" s="765"/>
      <c r="J15" s="766">
        <v>7532</v>
      </c>
      <c r="K15" s="766"/>
    </row>
    <row r="16" spans="1:11" x14ac:dyDescent="0.2">
      <c r="A16" s="2246" t="s">
        <v>316</v>
      </c>
      <c r="B16" s="2246"/>
      <c r="C16" s="2246"/>
      <c r="D16" s="2246"/>
      <c r="E16" s="2274"/>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60" t="s">
        <v>386</v>
      </c>
      <c r="B18" s="2261"/>
      <c r="C18" s="2261"/>
      <c r="D18" s="2261"/>
      <c r="E18" s="2262"/>
      <c r="F18" s="790" t="s">
        <v>989</v>
      </c>
      <c r="G18" s="783"/>
      <c r="H18" s="783"/>
      <c r="I18" s="783"/>
      <c r="J18" s="766">
        <v>103263</v>
      </c>
      <c r="K18" s="796"/>
    </row>
    <row r="19" spans="1:11" ht="21.75" customHeight="1" x14ac:dyDescent="0.2">
      <c r="A19" s="2281" t="s">
        <v>1916</v>
      </c>
      <c r="B19" s="2281"/>
      <c r="C19" s="2281"/>
      <c r="D19" s="2281"/>
      <c r="E19" s="2282"/>
      <c r="F19" s="790" t="s">
        <v>990</v>
      </c>
      <c r="G19" s="783"/>
      <c r="H19" s="783"/>
      <c r="I19" s="783"/>
      <c r="J19" s="766">
        <v>185000</v>
      </c>
      <c r="K19" s="796"/>
    </row>
    <row r="20" spans="1:11" x14ac:dyDescent="0.2">
      <c r="A20" s="2260" t="s">
        <v>1921</v>
      </c>
      <c r="B20" s="2261"/>
      <c r="C20" s="2261"/>
      <c r="D20" s="2261"/>
      <c r="E20" s="2262"/>
      <c r="F20" s="790" t="s">
        <v>991</v>
      </c>
      <c r="G20" s="783"/>
      <c r="H20" s="783"/>
      <c r="I20" s="783"/>
      <c r="J20" s="766">
        <v>350</v>
      </c>
      <c r="K20" s="796"/>
    </row>
    <row r="21" spans="1:11" ht="13.5" thickBot="1" x14ac:dyDescent="0.25">
      <c r="A21" s="2266" t="s">
        <v>659</v>
      </c>
      <c r="B21" s="2266"/>
      <c r="C21" s="2266"/>
      <c r="D21" s="2266"/>
      <c r="E21" s="2266"/>
      <c r="F21" s="1780"/>
      <c r="G21" s="793"/>
      <c r="H21" s="797"/>
      <c r="I21" s="797"/>
      <c r="J21" s="1781">
        <f>SUM(J18:J20)</f>
        <v>288613</v>
      </c>
      <c r="K21" s="794"/>
    </row>
    <row r="22" spans="1:11" ht="13.5" thickTop="1" x14ac:dyDescent="0.2">
      <c r="A22" s="2246" t="s">
        <v>1922</v>
      </c>
      <c r="B22" s="2246"/>
      <c r="C22" s="2246"/>
      <c r="D22" s="2246"/>
      <c r="E22" s="2274"/>
      <c r="F22" s="790" t="s">
        <v>917</v>
      </c>
      <c r="G22" s="783"/>
      <c r="H22" s="765"/>
      <c r="I22" s="765"/>
      <c r="J22" s="798"/>
      <c r="K22" s="766"/>
    </row>
    <row r="23" spans="1:11" ht="13.5" thickBot="1" x14ac:dyDescent="0.25">
      <c r="A23" s="2267" t="s">
        <v>962</v>
      </c>
      <c r="B23" s="2266"/>
      <c r="C23" s="2266"/>
      <c r="D23" s="2266"/>
      <c r="E23" s="2266"/>
      <c r="F23" s="1782"/>
      <c r="G23" s="1779">
        <f>SUM(G14:G16,G21,G22)</f>
        <v>0</v>
      </c>
      <c r="H23" s="1779">
        <f>SUM(H14:H16,H21,H22)</f>
        <v>23319</v>
      </c>
      <c r="I23" s="1779">
        <f>SUM(I14:I16,I21,I22)</f>
        <v>0</v>
      </c>
      <c r="J23" s="1779">
        <f>SUM(J14:J16,J21,J22)</f>
        <v>296145</v>
      </c>
      <c r="K23" s="1779">
        <f>SUM(K14:K16,K21,K22)</f>
        <v>11943</v>
      </c>
    </row>
    <row r="24" spans="1:11" ht="14.25" thickTop="1" thickBot="1" x14ac:dyDescent="0.25">
      <c r="A24" s="2267" t="s">
        <v>2026</v>
      </c>
      <c r="B24" s="2266"/>
      <c r="C24" s="2266"/>
      <c r="D24" s="2266"/>
      <c r="E24" s="2266"/>
      <c r="F24" s="1783"/>
      <c r="G24" s="1784">
        <f>SUM(G3,G12)-G23</f>
        <v>0</v>
      </c>
      <c r="H24" s="1784">
        <f>SUM(H3,H12)-H23</f>
        <v>0</v>
      </c>
      <c r="I24" s="1784">
        <f>SUM(I3,I12)-I23</f>
        <v>0</v>
      </c>
      <c r="J24" s="1784">
        <f>SUM(J3,J12)-J23</f>
        <v>433836</v>
      </c>
      <c r="K24" s="1784">
        <f>SUM(K3,K12)-K23</f>
        <v>0</v>
      </c>
    </row>
    <row r="25" spans="1:11" ht="13.5" thickTop="1" x14ac:dyDescent="0.2">
      <c r="A25" s="799" t="s">
        <v>440</v>
      </c>
      <c r="B25" s="800"/>
      <c r="C25" s="800"/>
      <c r="D25" s="800"/>
      <c r="E25" s="801"/>
      <c r="F25" s="802">
        <v>714</v>
      </c>
      <c r="G25" s="803">
        <v>0</v>
      </c>
      <c r="H25" s="803">
        <v>0</v>
      </c>
      <c r="I25" s="803">
        <v>0</v>
      </c>
      <c r="J25" s="798">
        <v>433836</v>
      </c>
      <c r="K25" s="798">
        <v>0</v>
      </c>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76"/>
      <c r="I31" s="2277"/>
      <c r="J31" s="2277"/>
      <c r="K31" s="2277"/>
    </row>
    <row r="32" spans="1:11" x14ac:dyDescent="0.2">
      <c r="A32" s="810"/>
      <c r="B32" s="237"/>
      <c r="C32" s="237"/>
      <c r="D32" s="237"/>
      <c r="E32" s="806"/>
      <c r="F32" s="812" t="s">
        <v>561</v>
      </c>
      <c r="G32" s="765"/>
      <c r="H32" s="2278"/>
      <c r="I32" s="2277"/>
      <c r="J32" s="2277"/>
      <c r="K32" s="2277"/>
    </row>
    <row r="33" spans="1:11" ht="1.5" customHeight="1" x14ac:dyDescent="0.2">
      <c r="A33" s="813" t="s">
        <v>1231</v>
      </c>
      <c r="B33" s="364"/>
      <c r="C33" s="364"/>
      <c r="D33" s="364"/>
      <c r="E33" s="364"/>
      <c r="F33" s="364"/>
      <c r="G33" s="814"/>
      <c r="H33" s="2278"/>
      <c r="I33" s="2277"/>
      <c r="J33" s="2277"/>
      <c r="K33" s="2277"/>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6" t="s">
        <v>562</v>
      </c>
      <c r="B41" s="2247"/>
      <c r="C41" s="2247"/>
      <c r="D41" s="2247"/>
      <c r="E41" s="2247"/>
      <c r="F41" s="224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verticalCentered="1" headings="1"/>
  <pageMargins left="0.5" right="0.5" top="0.75" bottom="0.5" header="0.45" footer="0.25"/>
  <pageSetup scale="79" firstPageNumber="30" orientation="landscape" useFirstPageNumber="1" r:id="rId1"/>
  <headerFooter scaleWithDoc="0">
    <oddHeader xml:space="preserve">&amp;C&amp;"Arial,Bold"Schedule of Restricted Local Tax Levies and Selected Revenues Sources 
Schedule of Tort Immunity Expenditures </oddHeader>
    <oddFooter>&amp;LSee notes to financial statements.&amp;C&amp;P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A7" sqref="A7:D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5" t="s">
        <v>2035</v>
      </c>
      <c r="B1" s="2286"/>
      <c r="C1" s="2287"/>
      <c r="D1" s="827"/>
      <c r="E1" s="828"/>
      <c r="F1" s="828"/>
      <c r="G1" s="829"/>
      <c r="H1" s="830"/>
      <c r="I1" s="831"/>
      <c r="J1" s="2283"/>
      <c r="K1" s="2284"/>
      <c r="L1" s="2284"/>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24902</v>
      </c>
      <c r="D5" s="842"/>
      <c r="E5" s="842"/>
      <c r="F5" s="1781">
        <f>(C5+D5)-E5</f>
        <v>24902</v>
      </c>
      <c r="G5" s="838"/>
      <c r="H5" s="843"/>
      <c r="I5" s="843"/>
      <c r="J5" s="843"/>
      <c r="K5" s="794"/>
      <c r="L5" s="1790">
        <f>F5-K5</f>
        <v>24902</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5693339</v>
      </c>
      <c r="D8" s="845">
        <v>1122446</v>
      </c>
      <c r="E8" s="845"/>
      <c r="F8" s="1781">
        <f>(C8+D8)-E8</f>
        <v>6815785</v>
      </c>
      <c r="G8" s="844">
        <v>50</v>
      </c>
      <c r="H8" s="766">
        <v>2401244</v>
      </c>
      <c r="I8" s="766">
        <v>143460</v>
      </c>
      <c r="J8" s="766"/>
      <c r="K8" s="1790">
        <f>(H8+I8)-J8</f>
        <v>2544704</v>
      </c>
      <c r="L8" s="1790">
        <f>F8-K8</f>
        <v>4271081</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178390</v>
      </c>
      <c r="D10" s="847"/>
      <c r="E10" s="847"/>
      <c r="F10" s="1785">
        <f>(C10+D10)-E10</f>
        <v>178390</v>
      </c>
      <c r="G10" s="844">
        <v>20</v>
      </c>
      <c r="H10" s="848">
        <v>114457</v>
      </c>
      <c r="I10" s="848">
        <v>6049</v>
      </c>
      <c r="J10" s="848"/>
      <c r="K10" s="1790">
        <f>(H10+I10)-J10</f>
        <v>120506</v>
      </c>
      <c r="L10" s="1790">
        <f>F10-K10</f>
        <v>57884</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1911644</v>
      </c>
      <c r="D12" s="845">
        <v>15120</v>
      </c>
      <c r="E12" s="845"/>
      <c r="F12" s="1781">
        <f>(C12+D12)-E12</f>
        <v>1926764</v>
      </c>
      <c r="G12" s="844">
        <v>10</v>
      </c>
      <c r="H12" s="766">
        <v>1642931</v>
      </c>
      <c r="I12" s="766">
        <v>48974</v>
      </c>
      <c r="J12" s="766"/>
      <c r="K12" s="1790">
        <f>(H12+I12)-J12</f>
        <v>1691905</v>
      </c>
      <c r="L12" s="1790">
        <f>F12-K12</f>
        <v>234859</v>
      </c>
    </row>
    <row r="13" spans="1:14" ht="14.25" thickTop="1" thickBot="1" x14ac:dyDescent="0.25">
      <c r="A13" s="849" t="s">
        <v>1184</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v>110099</v>
      </c>
      <c r="D15" s="845">
        <v>1124482</v>
      </c>
      <c r="E15" s="845">
        <v>967459</v>
      </c>
      <c r="F15" s="1781">
        <f>(C15+D15)-E15</f>
        <v>267122</v>
      </c>
      <c r="G15" s="850" t="s">
        <v>917</v>
      </c>
      <c r="H15" s="782"/>
      <c r="I15" s="782"/>
      <c r="J15" s="782"/>
      <c r="K15" s="782"/>
      <c r="L15" s="1790">
        <f>F15-K15</f>
        <v>267122</v>
      </c>
    </row>
    <row r="16" spans="1:14" ht="15" customHeight="1" thickTop="1" thickBot="1" x14ac:dyDescent="0.25">
      <c r="A16" s="1786" t="s">
        <v>664</v>
      </c>
      <c r="B16" s="1787">
        <v>200</v>
      </c>
      <c r="C16" s="1781">
        <f>SUM(C3,C5:C6,C8:C10,C12:C15)</f>
        <v>7918374</v>
      </c>
      <c r="D16" s="1781">
        <f>SUM(D3,D5:D6,D8:D10,D12:D15)</f>
        <v>2262048</v>
      </c>
      <c r="E16" s="1781">
        <f>SUM(E3,E5:E6,E8:E10,E12:E15)</f>
        <v>967459</v>
      </c>
      <c r="F16" s="1781">
        <f>SUM(F3,F5:F6,F8:F10,F12:F15)</f>
        <v>9212963</v>
      </c>
      <c r="G16" s="844"/>
      <c r="H16" s="1781">
        <f>SUM(H3,H6,H8:H10,H12:H14,)</f>
        <v>4158632</v>
      </c>
      <c r="I16" s="1781">
        <f>SUM(I3,I6,I8:I10,I12:I14,)</f>
        <v>198483</v>
      </c>
      <c r="J16" s="1781">
        <f>SUM(J3,J6,J8:J10,J12:J14,)</f>
        <v>0</v>
      </c>
      <c r="K16" s="1781">
        <f>(H16+I16)-J16</f>
        <v>4357115</v>
      </c>
      <c r="L16" s="1781">
        <f>F16-K16</f>
        <v>4855848</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198483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25" top="1.25" bottom="1" header="0.19" footer="0.5"/>
  <pageSetup scale="80" firstPageNumber="31" orientation="landscape" useFirstPageNumber="1" r:id="rId1"/>
  <headerFooter scaleWithDoc="0">
    <oddHeader xml:space="preserve">&amp;C </oddHeader>
    <oddFooter>&amp;LSee notes to financial statements.&amp;C&amp;P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7" sqref="A7:D7"/>
      <selection pane="bottomLeft" activeCell="A29" sqref="A29:XFD2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1" t="s">
        <v>1699</v>
      </c>
      <c r="B1" s="2292"/>
      <c r="C1" s="2292"/>
      <c r="D1" s="2292"/>
      <c r="E1" s="2292"/>
      <c r="F1" s="2293"/>
      <c r="G1" s="856"/>
    </row>
    <row r="2" spans="1:7" ht="15" customHeight="1" thickBot="1" x14ac:dyDescent="0.25">
      <c r="A2" s="2294" t="s">
        <v>498</v>
      </c>
      <c r="B2" s="2295"/>
      <c r="C2" s="2295"/>
      <c r="D2" s="2295"/>
      <c r="E2" s="2295"/>
      <c r="F2" s="229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7"/>
      <c r="B5" s="2298"/>
      <c r="C5" s="2298"/>
      <c r="D5" s="2298"/>
      <c r="E5" s="2298"/>
      <c r="F5" s="2298"/>
    </row>
    <row r="6" spans="1:7" ht="13.5" customHeight="1" thickBot="1" x14ac:dyDescent="0.25">
      <c r="A6" s="2288" t="s">
        <v>1166</v>
      </c>
      <c r="B6" s="2289"/>
      <c r="C6" s="2289"/>
      <c r="D6" s="2289"/>
      <c r="E6" s="2289"/>
      <c r="F6" s="229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3241547</v>
      </c>
      <c r="G8" s="866"/>
    </row>
    <row r="9" spans="1:7" x14ac:dyDescent="0.2">
      <c r="A9" s="870" t="s">
        <v>480</v>
      </c>
      <c r="B9" s="871" t="s">
        <v>1989</v>
      </c>
      <c r="C9" s="872"/>
      <c r="D9" s="870" t="s">
        <v>522</v>
      </c>
      <c r="E9" s="869"/>
      <c r="F9" s="1933">
        <f>'Expenditures 15-22'!K151</f>
        <v>143745</v>
      </c>
      <c r="G9" s="873"/>
    </row>
    <row r="10" spans="1:7" x14ac:dyDescent="0.2">
      <c r="A10" s="870" t="s">
        <v>520</v>
      </c>
      <c r="B10" s="871" t="s">
        <v>1990</v>
      </c>
      <c r="C10" s="872"/>
      <c r="D10" s="870" t="s">
        <v>522</v>
      </c>
      <c r="E10" s="869"/>
      <c r="F10" s="1933">
        <f>'Expenditures 15-22'!K174</f>
        <v>382070</v>
      </c>
      <c r="G10" s="873"/>
    </row>
    <row r="11" spans="1:7" x14ac:dyDescent="0.2">
      <c r="A11" s="870" t="s">
        <v>481</v>
      </c>
      <c r="B11" s="871" t="s">
        <v>1991</v>
      </c>
      <c r="C11" s="872"/>
      <c r="D11" s="870" t="s">
        <v>522</v>
      </c>
      <c r="E11" s="869"/>
      <c r="F11" s="1933">
        <f>'Expenditures 15-22'!K210</f>
        <v>201172</v>
      </c>
      <c r="G11" s="873"/>
    </row>
    <row r="12" spans="1:7" x14ac:dyDescent="0.2">
      <c r="A12" s="870" t="s">
        <v>482</v>
      </c>
      <c r="B12" s="871" t="s">
        <v>1992</v>
      </c>
      <c r="C12" s="872"/>
      <c r="D12" s="870" t="s">
        <v>522</v>
      </c>
      <c r="E12" s="869"/>
      <c r="F12" s="1933">
        <f>'Expenditures 15-22'!K295</f>
        <v>122471</v>
      </c>
      <c r="G12" s="873"/>
    </row>
    <row r="13" spans="1:7" x14ac:dyDescent="0.2">
      <c r="A13" s="870" t="s">
        <v>108</v>
      </c>
      <c r="B13" s="871" t="s">
        <v>1993</v>
      </c>
      <c r="C13" s="872"/>
      <c r="D13" s="870" t="s">
        <v>522</v>
      </c>
      <c r="E13" s="869"/>
      <c r="F13" s="1933">
        <f>'Expenditures 15-22'!K342</f>
        <v>23380</v>
      </c>
      <c r="G13" s="874"/>
    </row>
    <row r="14" spans="1:7" ht="12" customHeight="1" thickBot="1" x14ac:dyDescent="0.25">
      <c r="A14" s="1791"/>
      <c r="B14" s="1792"/>
      <c r="C14" s="1793"/>
      <c r="D14" s="1794" t="s">
        <v>522</v>
      </c>
      <c r="E14" s="1795" t="s">
        <v>1015</v>
      </c>
      <c r="F14" s="1796">
        <f>SUM(F8:F13)</f>
        <v>4114385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54831</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5194</v>
      </c>
      <c r="G52" s="866"/>
    </row>
    <row r="53" spans="1:7" x14ac:dyDescent="0.2">
      <c r="A53" s="870" t="s">
        <v>479</v>
      </c>
      <c r="B53" s="870" t="s">
        <v>1551</v>
      </c>
      <c r="C53" s="890">
        <f>'Expenditures 15-22'!B102</f>
        <v>4000</v>
      </c>
      <c r="D53" s="889" t="str">
        <f>'Expenditures 15-22'!A102</f>
        <v>Total Payments to Other Govt Units</v>
      </c>
      <c r="E53" s="869"/>
      <c r="F53" s="1937">
        <f>'Expenditures 15-22'!K102</f>
        <v>217253</v>
      </c>
      <c r="G53" s="866"/>
    </row>
    <row r="54" spans="1:7" x14ac:dyDescent="0.2">
      <c r="A54" s="870" t="s">
        <v>479</v>
      </c>
      <c r="B54" s="870" t="s">
        <v>1552</v>
      </c>
      <c r="C54" s="890" t="s">
        <v>1039</v>
      </c>
      <c r="D54" s="886" t="s">
        <v>1157</v>
      </c>
      <c r="E54" s="869"/>
      <c r="F54" s="1937">
        <f>'Expenditures 15-22'!G114</f>
        <v>22522</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0</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270000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0</v>
      </c>
      <c r="G64" s="866"/>
    </row>
    <row r="65" spans="1:8" x14ac:dyDescent="0.2">
      <c r="A65" s="870" t="s">
        <v>481</v>
      </c>
      <c r="B65" s="870" t="s">
        <v>2002</v>
      </c>
      <c r="C65" s="887" t="s">
        <v>1039</v>
      </c>
      <c r="D65" s="886" t="s">
        <v>1157</v>
      </c>
      <c r="E65" s="869"/>
      <c r="F65" s="1937">
        <f>'Expenditures 15-22'!G210</f>
        <v>0</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763</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50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570613</v>
      </c>
      <c r="G76" s="866"/>
    </row>
    <row r="77" spans="1:8" s="894" customFormat="1" ht="12" customHeight="1" thickTop="1" thickBot="1" x14ac:dyDescent="0.25">
      <c r="A77" s="1800"/>
      <c r="B77" s="1797"/>
      <c r="C77" s="1793"/>
      <c r="D77" s="1798" t="s">
        <v>2012</v>
      </c>
      <c r="E77" s="1795"/>
      <c r="F77" s="1801">
        <f>(F14-F76)</f>
        <v>3543772</v>
      </c>
      <c r="G77" s="870"/>
    </row>
    <row r="78" spans="1:8" s="894" customFormat="1" ht="12" customHeight="1" thickTop="1" x14ac:dyDescent="0.2">
      <c r="A78" s="1802"/>
      <c r="B78" s="1797"/>
      <c r="C78" s="1793"/>
      <c r="D78" s="1798" t="s">
        <v>2059</v>
      </c>
      <c r="E78" s="1795"/>
      <c r="F78" s="899">
        <v>407.98</v>
      </c>
      <c r="G78" s="900"/>
      <c r="H78" s="870"/>
    </row>
    <row r="79" spans="1:8" s="894" customFormat="1" ht="12" customHeight="1" thickBot="1" x14ac:dyDescent="0.25">
      <c r="A79" s="1803"/>
      <c r="B79" s="1797"/>
      <c r="C79" s="1793"/>
      <c r="D79" s="1798" t="s">
        <v>2013</v>
      </c>
      <c r="E79" s="1795" t="s">
        <v>1015</v>
      </c>
      <c r="F79" s="1804">
        <f>IF(F78&gt;0,F77/F78," Complete Line 78")</f>
        <v>8686.141477523408</v>
      </c>
      <c r="G79" s="870"/>
    </row>
    <row r="80" spans="1:8" s="894" customFormat="1" ht="8.25" customHeight="1" thickTop="1" x14ac:dyDescent="0.2">
      <c r="A80" s="901"/>
      <c r="B80" s="870"/>
      <c r="C80" s="872"/>
      <c r="D80" s="902"/>
      <c r="E80" s="869"/>
      <c r="F80" s="903"/>
      <c r="G80" s="870"/>
    </row>
    <row r="81" spans="1:7" s="894" customFormat="1" ht="12" thickBot="1" x14ac:dyDescent="0.25">
      <c r="A81" s="2288" t="s">
        <v>1167</v>
      </c>
      <c r="B81" s="2289"/>
      <c r="C81" s="2289"/>
      <c r="D81" s="2289"/>
      <c r="E81" s="2289"/>
      <c r="F81" s="229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51720</v>
      </c>
      <c r="G94" s="913"/>
    </row>
    <row r="95" spans="1:7" x14ac:dyDescent="0.2">
      <c r="A95" s="909" t="s">
        <v>142</v>
      </c>
      <c r="B95" s="909" t="s">
        <v>177</v>
      </c>
      <c r="C95" s="911">
        <v>1700</v>
      </c>
      <c r="D95" s="919" t="str">
        <f>'Revenues 9-14'!A82</f>
        <v>Total District/School Activity Income</v>
      </c>
      <c r="E95" s="907"/>
      <c r="F95" s="1810">
        <f>SUM('Revenues 9-14'!C82,'Revenues 9-14'!D82)</f>
        <v>37651</v>
      </c>
      <c r="G95" s="913"/>
    </row>
    <row r="96" spans="1:7" x14ac:dyDescent="0.2">
      <c r="A96" s="909" t="s">
        <v>479</v>
      </c>
      <c r="B96" s="909" t="s">
        <v>178</v>
      </c>
      <c r="C96" s="911">
        <f>'Revenues 9-14'!B84</f>
        <v>1811</v>
      </c>
      <c r="D96" s="912" t="str">
        <f>'Revenues 9-14'!A84</f>
        <v>Rentals - Regular Textbooks</v>
      </c>
      <c r="E96" s="907"/>
      <c r="F96" s="1810">
        <f>'Revenues 9-14'!C84</f>
        <v>15310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33171</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19438</v>
      </c>
      <c r="G104" s="913"/>
    </row>
    <row r="105" spans="1:7" x14ac:dyDescent="0.2">
      <c r="A105" s="909" t="s">
        <v>524</v>
      </c>
      <c r="B105" s="909" t="s">
        <v>842</v>
      </c>
      <c r="C105" s="914">
        <v>3100</v>
      </c>
      <c r="D105" s="920" t="str">
        <f>'Revenues 9-14'!A131</f>
        <v>Total Special Education</v>
      </c>
      <c r="E105" s="907"/>
      <c r="F105" s="1810">
        <f>SUM('Revenues 9-14'!C131:D131,'Revenues 9-14'!F131)</f>
        <v>112756</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6888</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1150</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8268</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131220</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21733</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83147</v>
      </c>
      <c r="G129" s="931"/>
    </row>
    <row r="130" spans="1:7" x14ac:dyDescent="0.2">
      <c r="A130" s="928" t="s">
        <v>689</v>
      </c>
      <c r="B130" s="928" t="s">
        <v>804</v>
      </c>
      <c r="C130" s="933">
        <v>4300</v>
      </c>
      <c r="D130" s="934" t="str">
        <f>'Revenues 9-14'!A211</f>
        <v>Total Title I</v>
      </c>
      <c r="E130" s="907"/>
      <c r="F130" s="1810">
        <f>SUM('Revenues 9-14'!C211,'Revenues 9-14'!D211,'Revenues 9-14'!F211,'Revenues 9-14'!G211)</f>
        <v>55486</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70421</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3332</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1549</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12426</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4047</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4264</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673977</v>
      </c>
    </row>
    <row r="179" spans="1:7" ht="12" customHeight="1" x14ac:dyDescent="0.2">
      <c r="A179" s="1791"/>
      <c r="B179" s="1805"/>
      <c r="C179" s="1806"/>
      <c r="D179" s="1807" t="s">
        <v>2015</v>
      </c>
      <c r="E179" s="1808"/>
      <c r="F179" s="1810">
        <f>'PCTC-OEPP 27-28'!F77-F178</f>
        <v>2869795</v>
      </c>
    </row>
    <row r="180" spans="1:7" ht="12" customHeight="1" x14ac:dyDescent="0.2">
      <c r="A180" s="1791"/>
      <c r="B180" s="1805"/>
      <c r="C180" s="1806"/>
      <c r="D180" s="1807" t="s">
        <v>1924</v>
      </c>
      <c r="E180" s="1808"/>
      <c r="F180" s="1810">
        <f>'Cap Outlay Deprec 26'!I18</f>
        <v>198483</v>
      </c>
    </row>
    <row r="181" spans="1:7" ht="12" customHeight="1" x14ac:dyDescent="0.2">
      <c r="A181" s="1791"/>
      <c r="B181" s="1805"/>
      <c r="C181" s="1806"/>
      <c r="D181" s="1807" t="s">
        <v>2016</v>
      </c>
      <c r="E181" s="1808"/>
      <c r="F181" s="1810">
        <f>F179+F180</f>
        <v>3068278</v>
      </c>
    </row>
    <row r="182" spans="1:7" ht="12" customHeight="1" x14ac:dyDescent="0.2">
      <c r="A182" s="1791"/>
      <c r="B182" s="1811"/>
      <c r="C182" s="1806"/>
      <c r="D182" s="1807" t="str">
        <f>D78</f>
        <v>9 Month ADA from District Average Daily Attendance/Prior General State Aid Inquiry 2017-2018</v>
      </c>
      <c r="E182" s="1808"/>
      <c r="F182" s="1812">
        <f>'PCTC-OEPP 27-28'!F78</f>
        <v>407.98</v>
      </c>
      <c r="G182" s="931"/>
    </row>
    <row r="183" spans="1:7" ht="12" customHeight="1" thickBot="1" x14ac:dyDescent="0.25">
      <c r="A183" s="1791"/>
      <c r="B183" s="1811"/>
      <c r="C183" s="1806"/>
      <c r="D183" s="1807" t="s">
        <v>2017</v>
      </c>
      <c r="E183" s="1808" t="s">
        <v>1626</v>
      </c>
      <c r="F183" s="1813">
        <f>F181/F182</f>
        <v>7520.6578753860476</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orizontalCentered="1" headings="1"/>
  <pageMargins left="0.5" right="0" top="0.5" bottom="0.5" header="0.25" footer="0.5"/>
  <pageSetup scale="70" firstPageNumber="32" orientation="portrait" useFirstPageNumber="1" r:id="rId2"/>
  <headerFooter scaleWithDoc="0">
    <oddHeader xml:space="preserve">&amp;C </oddHeader>
    <oddFooter>&amp;LSee notes to financial statements.&amp;C&amp;P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12" zoomScaleNormal="100" workbookViewId="0">
      <selection activeCell="B21" sqref="B21"/>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302" t="s">
        <v>1925</v>
      </c>
      <c r="B4" s="2303"/>
      <c r="C4" s="2303"/>
      <c r="D4" s="2303"/>
      <c r="E4" s="2303"/>
      <c r="F4" s="2303"/>
      <c r="G4" s="2304"/>
    </row>
    <row r="5" spans="1:7" x14ac:dyDescent="0.25">
      <c r="A5" s="2305"/>
      <c r="B5" s="2306"/>
      <c r="C5" s="2306"/>
      <c r="D5" s="2306"/>
      <c r="E5" s="2306"/>
      <c r="F5" s="2306"/>
      <c r="G5" s="2307"/>
    </row>
    <row r="6" spans="1:7" ht="18.75" x14ac:dyDescent="0.25">
      <c r="A6" s="1555" t="s">
        <v>1926</v>
      </c>
      <c r="B6" s="1556"/>
      <c r="C6" s="1556"/>
      <c r="D6" s="1556"/>
      <c r="E6" s="1556"/>
      <c r="F6" s="1556"/>
      <c r="G6" s="1557"/>
    </row>
    <row r="7" spans="1:7" ht="30.75" customHeight="1" x14ac:dyDescent="0.25">
      <c r="A7" s="2308" t="s">
        <v>2075</v>
      </c>
      <c r="B7" s="2309"/>
      <c r="C7" s="2309"/>
      <c r="D7" s="2309"/>
      <c r="E7" s="2309"/>
      <c r="F7" s="2309"/>
      <c r="G7" s="2310"/>
    </row>
    <row r="8" spans="1:7" ht="15.75" customHeight="1" x14ac:dyDescent="0.25">
      <c r="A8" s="2311" t="s">
        <v>2024</v>
      </c>
      <c r="B8" s="2312"/>
      <c r="C8" s="2312"/>
      <c r="D8" s="2312"/>
      <c r="E8" s="2312"/>
      <c r="F8" s="2312"/>
      <c r="G8" s="2313"/>
    </row>
    <row r="9" spans="1:7" ht="35.25" customHeight="1" x14ac:dyDescent="0.25">
      <c r="A9" s="2308" t="s">
        <v>2023</v>
      </c>
      <c r="B9" s="2309"/>
      <c r="C9" s="2309"/>
      <c r="D9" s="2309"/>
      <c r="E9" s="2309"/>
      <c r="F9" s="2309"/>
      <c r="G9" s="2310"/>
    </row>
    <row r="10" spans="1:7" ht="15" customHeight="1" x14ac:dyDescent="0.25">
      <c r="A10" s="1558" t="s">
        <v>1927</v>
      </c>
      <c r="B10" s="1559"/>
      <c r="C10" s="1559"/>
      <c r="D10" s="1559"/>
      <c r="E10" s="1559"/>
      <c r="F10" s="1559"/>
      <c r="G10" s="1560"/>
    </row>
    <row r="11" spans="1:7" ht="17.25" customHeight="1" x14ac:dyDescent="0.25">
      <c r="A11" s="2308" t="s">
        <v>1941</v>
      </c>
      <c r="B11" s="2309"/>
      <c r="C11" s="2309"/>
      <c r="D11" s="2309"/>
      <c r="E11" s="2309"/>
      <c r="F11" s="2309"/>
      <c r="G11" s="2310"/>
    </row>
    <row r="12" spans="1:7" ht="15" customHeight="1" x14ac:dyDescent="0.25">
      <c r="A12" s="1558" t="s">
        <v>1932</v>
      </c>
      <c r="B12" s="1559"/>
      <c r="C12" s="1559"/>
      <c r="D12" s="1559"/>
      <c r="E12" s="1559"/>
      <c r="F12" s="1559"/>
      <c r="G12" s="1560"/>
    </row>
    <row r="13" spans="1:7" ht="32.25" customHeight="1" x14ac:dyDescent="0.25">
      <c r="A13" s="2299" t="s">
        <v>1933</v>
      </c>
      <c r="B13" s="2300"/>
      <c r="C13" s="2300"/>
      <c r="D13" s="2300"/>
      <c r="E13" s="2300"/>
      <c r="F13" s="2300"/>
      <c r="G13" s="2301"/>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9" t="s">
        <v>2133</v>
      </c>
      <c r="B17" s="1967" t="s">
        <v>2113</v>
      </c>
      <c r="C17" s="1968" t="s">
        <v>2114</v>
      </c>
      <c r="D17" s="1866">
        <v>2592</v>
      </c>
      <c r="E17" s="1561">
        <f t="shared" ref="E17:E141" si="1">IF(D17&lt;=25000,D17,IF(D17&gt;25000,25000,0))</f>
        <v>2592</v>
      </c>
      <c r="F17" s="1814">
        <f t="shared" si="0"/>
        <v>2592</v>
      </c>
      <c r="G17" s="1815">
        <f>IF(F17=0,0,D17-F17)</f>
        <v>0</v>
      </c>
      <c r="H17" s="1668"/>
    </row>
    <row r="18" spans="1:8" x14ac:dyDescent="0.25">
      <c r="A18" s="1969" t="s">
        <v>2132</v>
      </c>
      <c r="B18" s="1967" t="s">
        <v>2115</v>
      </c>
      <c r="C18" s="1968" t="s">
        <v>2116</v>
      </c>
      <c r="D18" s="1866">
        <v>20219</v>
      </c>
      <c r="E18" s="1561">
        <f t="shared" ref="E18:E140" si="2">IF(D18&lt;=25000,D18,IF(D18&gt;25000,25000,0))</f>
        <v>20219</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20219</v>
      </c>
      <c r="G18" s="1815">
        <f t="shared" ref="G18:G140" si="4">IF(F18=0,0,D18-F18)</f>
        <v>0</v>
      </c>
    </row>
    <row r="19" spans="1:8" x14ac:dyDescent="0.25">
      <c r="A19" s="1969" t="s">
        <v>2134</v>
      </c>
      <c r="B19" s="1967" t="s">
        <v>2117</v>
      </c>
      <c r="C19" s="1968" t="s">
        <v>2121</v>
      </c>
      <c r="D19" s="1866">
        <v>7665</v>
      </c>
      <c r="E19" s="1561">
        <f t="shared" si="2"/>
        <v>7665</v>
      </c>
      <c r="F19" s="1814">
        <f t="shared" si="3"/>
        <v>7665</v>
      </c>
      <c r="G19" s="1815">
        <f t="shared" si="4"/>
        <v>0</v>
      </c>
    </row>
    <row r="20" spans="1:8" x14ac:dyDescent="0.25">
      <c r="A20" s="1969" t="s">
        <v>2135</v>
      </c>
      <c r="B20" s="1967" t="s">
        <v>2118</v>
      </c>
      <c r="C20" s="1968" t="s">
        <v>2121</v>
      </c>
      <c r="D20" s="1866">
        <v>624</v>
      </c>
      <c r="E20" s="1561">
        <f t="shared" si="2"/>
        <v>624</v>
      </c>
      <c r="F20" s="1814">
        <f t="shared" si="3"/>
        <v>624</v>
      </c>
      <c r="G20" s="1815">
        <f t="shared" si="4"/>
        <v>0</v>
      </c>
    </row>
    <row r="21" spans="1:8" x14ac:dyDescent="0.25">
      <c r="A21" s="1969" t="s">
        <v>2136</v>
      </c>
      <c r="B21" s="1967" t="s">
        <v>2119</v>
      </c>
      <c r="C21" s="1968" t="s">
        <v>2121</v>
      </c>
      <c r="D21" s="1866">
        <v>1330</v>
      </c>
      <c r="E21" s="1561">
        <f t="shared" si="2"/>
        <v>1330</v>
      </c>
      <c r="F21" s="1814">
        <f t="shared" si="3"/>
        <v>1330</v>
      </c>
      <c r="G21" s="1815">
        <f t="shared" si="4"/>
        <v>0</v>
      </c>
    </row>
    <row r="22" spans="1:8" x14ac:dyDescent="0.25">
      <c r="A22" s="1969" t="s">
        <v>2137</v>
      </c>
      <c r="B22" s="1967" t="s">
        <v>2120</v>
      </c>
      <c r="C22" s="1968" t="s">
        <v>2121</v>
      </c>
      <c r="D22" s="1866">
        <v>900</v>
      </c>
      <c r="E22" s="1561">
        <f t="shared" si="2"/>
        <v>900</v>
      </c>
      <c r="F22" s="1814">
        <f t="shared" si="3"/>
        <v>900</v>
      </c>
      <c r="G22" s="1815">
        <f t="shared" si="4"/>
        <v>0</v>
      </c>
    </row>
    <row r="23" spans="1:8" x14ac:dyDescent="0.25">
      <c r="A23" s="1969" t="s">
        <v>2138</v>
      </c>
      <c r="B23" s="1967" t="s">
        <v>2122</v>
      </c>
      <c r="C23" s="1968" t="s">
        <v>2124</v>
      </c>
      <c r="D23" s="1866">
        <v>28682</v>
      </c>
      <c r="E23" s="1561">
        <f t="shared" si="2"/>
        <v>25000</v>
      </c>
      <c r="F23" s="1814">
        <f t="shared" si="3"/>
        <v>25000</v>
      </c>
      <c r="G23" s="1815">
        <f t="shared" si="4"/>
        <v>3682</v>
      </c>
    </row>
    <row r="24" spans="1:8" x14ac:dyDescent="0.25">
      <c r="A24" s="1969" t="s">
        <v>2139</v>
      </c>
      <c r="B24" s="1967" t="s">
        <v>2123</v>
      </c>
      <c r="C24" s="1968" t="s">
        <v>2125</v>
      </c>
      <c r="D24" s="1866">
        <v>753</v>
      </c>
      <c r="E24" s="1561">
        <f t="shared" si="2"/>
        <v>753</v>
      </c>
      <c r="F24" s="1814">
        <f t="shared" si="3"/>
        <v>753</v>
      </c>
      <c r="G24" s="1815">
        <f t="shared" si="4"/>
        <v>0</v>
      </c>
    </row>
    <row r="25" spans="1:8" x14ac:dyDescent="0.25">
      <c r="A25" s="1969" t="s">
        <v>2140</v>
      </c>
      <c r="B25" s="1967" t="s">
        <v>2126</v>
      </c>
      <c r="C25" s="1968" t="s">
        <v>2127</v>
      </c>
      <c r="D25" s="1866">
        <v>187285</v>
      </c>
      <c r="E25" s="1561">
        <f t="shared" si="2"/>
        <v>25000</v>
      </c>
      <c r="F25" s="1814">
        <f t="shared" si="3"/>
        <v>25000</v>
      </c>
      <c r="G25" s="1815">
        <f t="shared" si="4"/>
        <v>162285</v>
      </c>
    </row>
    <row r="26" spans="1:8" x14ac:dyDescent="0.25">
      <c r="A26" s="1969" t="s">
        <v>2141</v>
      </c>
      <c r="B26" s="1967" t="s">
        <v>2128</v>
      </c>
      <c r="C26" s="1968" t="s">
        <v>2129</v>
      </c>
      <c r="D26" s="1866">
        <v>1978</v>
      </c>
      <c r="E26" s="1561">
        <f t="shared" si="2"/>
        <v>1978</v>
      </c>
      <c r="F26" s="1814">
        <f t="shared" si="3"/>
        <v>1978</v>
      </c>
      <c r="G26" s="1815">
        <f t="shared" si="4"/>
        <v>0</v>
      </c>
    </row>
    <row r="27" spans="1:8" x14ac:dyDescent="0.25">
      <c r="A27" s="1969" t="s">
        <v>2141</v>
      </c>
      <c r="B27" s="1967" t="s">
        <v>2128</v>
      </c>
      <c r="C27" s="1968" t="s">
        <v>2130</v>
      </c>
      <c r="D27" s="1866">
        <v>1718</v>
      </c>
      <c r="E27" s="1561">
        <f t="shared" si="2"/>
        <v>1718</v>
      </c>
      <c r="F27" s="1814">
        <f t="shared" si="3"/>
        <v>1718</v>
      </c>
      <c r="G27" s="1815">
        <f t="shared" si="4"/>
        <v>0</v>
      </c>
    </row>
    <row r="28" spans="1:8" x14ac:dyDescent="0.25">
      <c r="A28" s="1969" t="s">
        <v>2133</v>
      </c>
      <c r="B28" s="1967" t="s">
        <v>2113</v>
      </c>
      <c r="C28" s="1968" t="s">
        <v>2131</v>
      </c>
      <c r="D28" s="1866">
        <v>1881</v>
      </c>
      <c r="E28" s="1561">
        <f t="shared" si="2"/>
        <v>1881</v>
      </c>
      <c r="F28" s="1814">
        <f t="shared" si="3"/>
        <v>1881</v>
      </c>
      <c r="G28" s="1815">
        <f t="shared" si="4"/>
        <v>0</v>
      </c>
    </row>
    <row r="29" spans="1:8" x14ac:dyDescent="0.25">
      <c r="A29" s="1971" t="s">
        <v>2133</v>
      </c>
      <c r="B29" s="1970" t="s">
        <v>2113</v>
      </c>
      <c r="C29" s="1972" t="s">
        <v>2146</v>
      </c>
      <c r="D29" s="1866">
        <v>7700</v>
      </c>
      <c r="E29" s="1561">
        <f t="shared" si="2"/>
        <v>7700</v>
      </c>
      <c r="F29" s="1814">
        <f t="shared" si="3"/>
        <v>7700</v>
      </c>
      <c r="G29" s="1815">
        <f t="shared" si="4"/>
        <v>0</v>
      </c>
    </row>
    <row r="30" spans="1:8" x14ac:dyDescent="0.25">
      <c r="A30" s="1674"/>
      <c r="B30" s="1867"/>
      <c r="C30" s="1675"/>
      <c r="D30" s="1866"/>
      <c r="E30" s="1561">
        <f t="shared" si="2"/>
        <v>0</v>
      </c>
      <c r="F30" s="1814">
        <f t="shared" si="3"/>
        <v>0</v>
      </c>
      <c r="G30" s="1815">
        <f t="shared" si="4"/>
        <v>0</v>
      </c>
    </row>
    <row r="31" spans="1:8" x14ac:dyDescent="0.25">
      <c r="A31" s="1674"/>
      <c r="B31" s="1867"/>
      <c r="C31" s="1675"/>
      <c r="D31" s="1866"/>
      <c r="E31" s="1561">
        <f t="shared" si="2"/>
        <v>0</v>
      </c>
      <c r="F31" s="1814">
        <f t="shared" si="3"/>
        <v>0</v>
      </c>
      <c r="G31" s="1815">
        <f t="shared" si="4"/>
        <v>0</v>
      </c>
    </row>
    <row r="32" spans="1:8" x14ac:dyDescent="0.25">
      <c r="A32" s="1674"/>
      <c r="B32" s="1867"/>
      <c r="C32" s="1675"/>
      <c r="D32" s="1866"/>
      <c r="E32" s="1561">
        <f t="shared" si="2"/>
        <v>0</v>
      </c>
      <c r="F32" s="1814">
        <f t="shared" si="3"/>
        <v>0</v>
      </c>
      <c r="G32" s="1815">
        <f t="shared" si="4"/>
        <v>0</v>
      </c>
    </row>
    <row r="33" spans="1:7" x14ac:dyDescent="0.25">
      <c r="A33" s="1674"/>
      <c r="B33" s="1867"/>
      <c r="C33" s="1675"/>
      <c r="D33" s="1866"/>
      <c r="E33" s="1561">
        <f t="shared" si="2"/>
        <v>0</v>
      </c>
      <c r="F33" s="1814">
        <f t="shared" si="3"/>
        <v>0</v>
      </c>
      <c r="G33" s="1815">
        <f t="shared" si="4"/>
        <v>0</v>
      </c>
    </row>
    <row r="34" spans="1:7" x14ac:dyDescent="0.25">
      <c r="A34" s="1674"/>
      <c r="B34" s="1867"/>
      <c r="C34" s="1675"/>
      <c r="D34" s="1866"/>
      <c r="E34" s="1561">
        <f t="shared" si="2"/>
        <v>0</v>
      </c>
      <c r="F34" s="1814">
        <f t="shared" si="3"/>
        <v>0</v>
      </c>
      <c r="G34" s="1815">
        <f t="shared" si="4"/>
        <v>0</v>
      </c>
    </row>
    <row r="35" spans="1:7" x14ac:dyDescent="0.25">
      <c r="A35" s="1674"/>
      <c r="B35" s="1867"/>
      <c r="C35" s="1675"/>
      <c r="D35" s="1866"/>
      <c r="E35" s="1561">
        <f t="shared" si="2"/>
        <v>0</v>
      </c>
      <c r="F35" s="1814">
        <f t="shared" si="3"/>
        <v>0</v>
      </c>
      <c r="G35" s="1815">
        <f t="shared" si="4"/>
        <v>0</v>
      </c>
    </row>
    <row r="36" spans="1:7" x14ac:dyDescent="0.25">
      <c r="A36" s="1674"/>
      <c r="B36" s="1867"/>
      <c r="C36" s="1675"/>
      <c r="D36" s="1866"/>
      <c r="E36" s="1561">
        <f t="shared" si="2"/>
        <v>0</v>
      </c>
      <c r="F36" s="1814">
        <f t="shared" si="3"/>
        <v>0</v>
      </c>
      <c r="G36" s="1815">
        <f t="shared" si="4"/>
        <v>0</v>
      </c>
    </row>
    <row r="37" spans="1:7" x14ac:dyDescent="0.25">
      <c r="A37" s="1674"/>
      <c r="B37" s="1867"/>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263327</v>
      </c>
      <c r="E141" s="1562">
        <f t="shared" si="1"/>
        <v>25000</v>
      </c>
      <c r="F141" s="1816">
        <f>SUM(F17:F140)</f>
        <v>97360</v>
      </c>
      <c r="G141" s="1817">
        <f>SUM(G17:G140)</f>
        <v>165967</v>
      </c>
    </row>
  </sheetData>
  <sheetProtection sheet="1" selectLockedCells="1"/>
  <mergeCells count="6">
    <mergeCell ref="A13:G13"/>
    <mergeCell ref="A4:G5"/>
    <mergeCell ref="A11:G11"/>
    <mergeCell ref="A7:G7"/>
    <mergeCell ref="A8:G8"/>
    <mergeCell ref="A9:G9"/>
  </mergeCells>
  <pageMargins left="0.2" right="0.2" top="0.5" bottom="0.5" header="0.3" footer="0.3"/>
  <pageSetup scale="83" firstPageNumber="34" fitToHeight="0" orientation="landscape" useFirstPageNumber="1" r:id="rId1"/>
  <headerFooter scaleWithDoc="0">
    <oddFooter>&amp;LSee notes to financial statements.&amp;C&amp;P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Layout" topLeftCell="A4" colorId="8" zoomScaleNormal="110" workbookViewId="0">
      <selection activeCell="A7" sqref="A7:D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4" t="s">
        <v>1778</v>
      </c>
      <c r="B5" s="2315"/>
      <c r="C5" s="2315"/>
      <c r="D5" s="2315"/>
      <c r="E5" s="2315"/>
      <c r="F5" s="2315"/>
      <c r="G5" s="2316"/>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48818</v>
      </c>
      <c r="F10" s="975"/>
      <c r="G10" s="976"/>
      <c r="H10" s="162"/>
      <c r="I10" s="162"/>
    </row>
    <row r="11" spans="1:9" s="669" customFormat="1" ht="22.5" customHeight="1" x14ac:dyDescent="0.2">
      <c r="A11" s="2319" t="s">
        <v>1945</v>
      </c>
      <c r="B11" s="2320"/>
      <c r="C11" s="2320"/>
      <c r="D11" s="2321"/>
      <c r="E11" s="978">
        <v>14411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2137680</v>
      </c>
      <c r="F19" s="1821"/>
      <c r="G19" s="1823">
        <f>'Expenditures 15-22'!K33-SUM('Expenditures 15-22'!G33,'Expenditures 15-22'!I33)+'Expenditures 15-22'!D229</f>
        <v>2137680</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103669</v>
      </c>
      <c r="F21" s="1824"/>
      <c r="G21" s="1827">
        <f>'Expenditures 15-22'!K42-SUM('Expenditures 15-22'!G42,'Expenditures 15-22'!I42)+'Expenditures 15-22'!K120-SUM('Expenditures 15-22'!G120,'Expenditures 15-22'!I120)+'Expenditures 15-22'!K180-SUM('Expenditures 15-22'!G180,'Expenditures 15-22'!I180)+'Expenditures 15-22'!D238</f>
        <v>103669</v>
      </c>
      <c r="H21" s="988"/>
      <c r="I21" s="162"/>
    </row>
    <row r="22" spans="1:9" s="669" customFormat="1" ht="12" customHeight="1" x14ac:dyDescent="0.2">
      <c r="A22" s="995" t="s">
        <v>585</v>
      </c>
      <c r="B22" s="996"/>
      <c r="C22" s="994">
        <v>2200</v>
      </c>
      <c r="D22" s="1824"/>
      <c r="E22" s="1826">
        <f>'Expenditures 15-22'!K47-SUM('Expenditures 15-22'!G47,'Expenditures 15-22'!I47)+'Expenditures 15-22'!D243</f>
        <v>7459</v>
      </c>
      <c r="F22" s="1824"/>
      <c r="G22" s="1827">
        <f>'Expenditures 15-22'!K47-SUM('Expenditures 15-22'!G47,'Expenditures 15-22'!I47)+'Expenditures 15-22'!D243</f>
        <v>7459</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134104</v>
      </c>
      <c r="F23" s="1824"/>
      <c r="G23" s="1826">
        <f>'Expenditures 15-22'!K53-SUM('Expenditures 15-22'!G53,'Expenditures 15-22'!I53)+'Expenditures 15-22'!D257+'Expenditures 15-22'!K330-SUM('Expenditures 15-22'!G330,'Expenditures 15-22'!I330)</f>
        <v>134104</v>
      </c>
      <c r="H23" s="988"/>
      <c r="I23" s="162"/>
    </row>
    <row r="24" spans="1:9" s="669" customFormat="1" ht="12" customHeight="1" x14ac:dyDescent="0.2">
      <c r="A24" s="995" t="s">
        <v>587</v>
      </c>
      <c r="B24" s="996"/>
      <c r="C24" s="994">
        <v>2400</v>
      </c>
      <c r="D24" s="1824"/>
      <c r="E24" s="1826">
        <f>'Expenditures 15-22'!K57-SUM('Expenditures 15-22'!G57,'Expenditures 15-22'!I57)+'Expenditures 15-22'!D261</f>
        <v>330345</v>
      </c>
      <c r="F24" s="1824"/>
      <c r="G24" s="1827">
        <f>'Expenditures 15-22'!K57-SUM('Expenditures 15-22'!G57,'Expenditures 15-22'!I57)+'Expenditures 15-22'!D261</f>
        <v>330345</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116767</v>
      </c>
      <c r="E27" s="1826">
        <f>E8</f>
        <v>0</v>
      </c>
      <c r="F27" s="1826">
        <f>'Expenditures 15-22'!K60-SUM('Expenditures 15-22'!G60,'Expenditures 15-22'!I60)+'Expenditures 15-22'!D264-E8</f>
        <v>116767</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344472</v>
      </c>
      <c r="F28" s="1828">
        <f>'Expenditures 15-22'!K61-SUM('Expenditures 15-22'!G61,'Expenditures 15-22'!I61)+'Expenditures 15-22'!K124-SUM('Expenditures 15-22'!G124,'Expenditures 15-22'!I124)+'Expenditures 15-22'!D266-E9</f>
        <v>344472</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201479</v>
      </c>
      <c r="F29" s="1824"/>
      <c r="G29" s="1827">
        <f>'Expenditures 15-22'!K62-SUM('Expenditures 15-22'!G62,'Expenditures 15-22'!I62)+'Expenditures 15-22'!K125-SUM('Expenditures 15-22'!G125,'Expenditures 15-22'!I125)+'Expenditures 15-22'!K182-SUM('Expenditures 15-22'!G182,'Expenditures 15-22'!I182)+'Expenditures 15-22'!D267</f>
        <v>201479</v>
      </c>
      <c r="H29" s="986"/>
    </row>
    <row r="30" spans="1:9" ht="12" customHeight="1" x14ac:dyDescent="0.2">
      <c r="A30" s="995" t="s">
        <v>102</v>
      </c>
      <c r="B30" s="998"/>
      <c r="C30" s="994">
        <v>2560</v>
      </c>
      <c r="D30" s="1824"/>
      <c r="E30" s="1826">
        <f>'Expenditures 15-22'!K63-SUM('Expenditures 15-22'!G63,'Expenditures 15-22'!I63)+'Expenditures 15-22'!D268-E10</f>
        <v>62503</v>
      </c>
      <c r="F30" s="1824"/>
      <c r="G30" s="1826">
        <f>'Expenditures 15-22'!K63-SUM('Expenditures 15-22'!G63,'Expenditures 15-22'!I63)+'Expenditures 15-22'!D268-E10</f>
        <v>62503</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5244</v>
      </c>
      <c r="F39" s="1824"/>
      <c r="G39" s="1826">
        <f>'Expenditures 15-22'!K75-SUM('Expenditures 15-22'!G75,'Expenditures 15-22'!I75)+'Expenditures 15-22'!K130-SUM('Expenditures 15-22'!G130,'Expenditures 15-22'!I130)+'Expenditures 15-22'!K185-SUM('Expenditures 15-22'!G185,'Expenditures 15-22'!I185)+'Expenditures 15-22'!D280</f>
        <v>5244</v>
      </c>
    </row>
    <row r="40" spans="1:7" ht="12" customHeight="1" x14ac:dyDescent="0.2">
      <c r="A40" s="991" t="s">
        <v>1930</v>
      </c>
      <c r="B40" s="992"/>
      <c r="C40" s="994"/>
      <c r="D40" s="1824"/>
      <c r="E40" s="1828">
        <f>-'Contracts Paid in CY 29'!G141</f>
        <v>-165967</v>
      </c>
      <c r="F40" s="1824"/>
      <c r="G40" s="1828">
        <f>-'Contracts Paid in CY 29'!G141</f>
        <v>-165967</v>
      </c>
    </row>
    <row r="41" spans="1:7" ht="12" customHeight="1" x14ac:dyDescent="0.2">
      <c r="A41" s="999" t="s">
        <v>158</v>
      </c>
      <c r="B41" s="1000"/>
      <c r="C41" s="1001"/>
      <c r="D41" s="1828">
        <f>SUM(D19:D39)</f>
        <v>116767</v>
      </c>
      <c r="E41" s="1828">
        <f>SUM(E19:E40)</f>
        <v>3160988</v>
      </c>
      <c r="F41" s="1828">
        <f>SUM(F19:F39)</f>
        <v>461239</v>
      </c>
      <c r="G41" s="1828">
        <f>SUM(G19:G40)</f>
        <v>2816516</v>
      </c>
    </row>
    <row r="42" spans="1:7" x14ac:dyDescent="0.2">
      <c r="A42" s="988"/>
      <c r="B42" s="162"/>
      <c r="C42" s="1002"/>
      <c r="D42" s="2317" t="s">
        <v>543</v>
      </c>
      <c r="E42" s="2318"/>
      <c r="F42" s="1003" t="s">
        <v>544</v>
      </c>
      <c r="G42" s="1004"/>
    </row>
    <row r="43" spans="1:7" ht="12" customHeight="1" x14ac:dyDescent="0.2">
      <c r="A43" s="988"/>
      <c r="B43" s="162"/>
      <c r="C43" s="1002"/>
      <c r="D43" s="1829" t="s">
        <v>493</v>
      </c>
      <c r="E43" s="1830">
        <f>D41</f>
        <v>116767</v>
      </c>
      <c r="F43" s="1829" t="s">
        <v>495</v>
      </c>
      <c r="G43" s="1830">
        <f>F41</f>
        <v>461239</v>
      </c>
    </row>
    <row r="44" spans="1:7" ht="12" customHeight="1" x14ac:dyDescent="0.2">
      <c r="A44" s="988"/>
      <c r="B44" s="162"/>
      <c r="C44" s="1002"/>
      <c r="D44" s="1829" t="s">
        <v>494</v>
      </c>
      <c r="E44" s="1830">
        <f>E41</f>
        <v>3160988</v>
      </c>
      <c r="F44" s="1829" t="s">
        <v>494</v>
      </c>
      <c r="G44" s="1830">
        <f>G41</f>
        <v>2816516</v>
      </c>
    </row>
    <row r="45" spans="1:7" ht="12" customHeight="1" x14ac:dyDescent="0.2">
      <c r="A45" s="988"/>
      <c r="B45" s="162"/>
      <c r="C45" s="162"/>
      <c r="D45" s="1831" t="s">
        <v>1063</v>
      </c>
      <c r="E45" s="1832">
        <f>(E43/E44)</f>
        <v>3.6940032673328717E-2</v>
      </c>
      <c r="F45" s="1831" t="s">
        <v>1063</v>
      </c>
      <c r="G45" s="1832">
        <f>(G43/G44)</f>
        <v>0.16376225095117514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25" right="0.25" top="0.65" bottom="0.5" header="0.5" footer="0.25"/>
  <pageSetup scale="85" firstPageNumber="38" orientation="landscape" useFirstPageNumber="1" r:id="rId1"/>
  <headerFooter scaleWithDoc="0">
    <oddFooter>&amp;LSee notes to financial statements.&amp;C&amp;P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zoomScaleSheetLayoutView="100" workbookViewId="0">
      <pane ySplit="4" topLeftCell="A5" activePane="bottomLeft" state="frozen"/>
      <selection activeCell="A7" sqref="A7:D7"/>
      <selection pane="bottomLeft" activeCell="A7" sqref="A7:E7"/>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7.5703125" style="1901" bestFit="1" customWidth="1"/>
    <col min="9" max="10" width="4" style="1901" bestFit="1" customWidth="1"/>
    <col min="11" max="11" width="9" style="1901" customWidth="1"/>
    <col min="12" max="16384" width="9.140625" style="1870"/>
  </cols>
  <sheetData>
    <row r="1" spans="1:10" x14ac:dyDescent="0.2">
      <c r="A1" s="2325" t="s">
        <v>1446</v>
      </c>
      <c r="B1" s="2325"/>
      <c r="C1" s="2325"/>
      <c r="D1" s="2325"/>
      <c r="E1" s="2325"/>
      <c r="F1" s="2325"/>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6" t="s">
        <v>1627</v>
      </c>
      <c r="B5" s="2327"/>
      <c r="C5" s="2328"/>
      <c r="D5" s="2328"/>
      <c r="E5" s="2328"/>
      <c r="F5" s="2328"/>
    </row>
    <row r="6" spans="1:10" ht="12" customHeight="1" x14ac:dyDescent="0.25">
      <c r="A6" s="1873"/>
      <c r="B6" s="1874"/>
      <c r="C6" s="2329" t="str">
        <f>COVER!A17</f>
        <v>Steeleville CUSD 138</v>
      </c>
      <c r="D6" s="2329"/>
      <c r="E6" s="2329"/>
      <c r="F6" s="1875"/>
    </row>
    <row r="7" spans="1:10" ht="11.25" customHeight="1" thickBot="1" x14ac:dyDescent="0.3">
      <c r="A7" s="1873"/>
      <c r="B7" s="1874"/>
      <c r="C7" s="2330">
        <f>COVER!A13</f>
        <v>45079138026</v>
      </c>
      <c r="D7" s="2330"/>
      <c r="E7" s="2330"/>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c r="D19" s="1888"/>
      <c r="E19" s="1891"/>
      <c r="F19" s="1890"/>
      <c r="H19" s="1901">
        <f t="shared" si="0"/>
        <v>0</v>
      </c>
      <c r="I19" s="1901">
        <f t="shared" si="1"/>
        <v>0</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t="s">
        <v>2077</v>
      </c>
      <c r="D25" s="1888" t="s">
        <v>2077</v>
      </c>
      <c r="E25" s="1891" t="s">
        <v>2077</v>
      </c>
      <c r="F25" s="1959" t="s">
        <v>2142</v>
      </c>
      <c r="H25" s="1901">
        <f t="shared" si="0"/>
        <v>5</v>
      </c>
      <c r="I25" s="1901">
        <f t="shared" si="1"/>
        <v>5</v>
      </c>
      <c r="J25" s="1901">
        <f t="shared" si="2"/>
        <v>5</v>
      </c>
    </row>
    <row r="26" spans="1:12" ht="12" customHeight="1" x14ac:dyDescent="0.2">
      <c r="A26" s="1886" t="s">
        <v>1615</v>
      </c>
      <c r="B26" s="1887"/>
      <c r="C26" s="1888" t="s">
        <v>2077</v>
      </c>
      <c r="D26" s="1888" t="s">
        <v>2077</v>
      </c>
      <c r="E26" s="1891" t="s">
        <v>2077</v>
      </c>
      <c r="F26" s="1960" t="s">
        <v>2098</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10</v>
      </c>
      <c r="I34" s="1901">
        <f>SUM(I11:I32)</f>
        <v>10</v>
      </c>
      <c r="J34" s="1901">
        <f>SUM(J11:J32)</f>
        <v>10</v>
      </c>
      <c r="K34" s="1901">
        <f>SUM(H34:J34)</f>
        <v>30</v>
      </c>
    </row>
    <row r="35" spans="1:11" ht="12" customHeight="1" x14ac:dyDescent="0.2">
      <c r="A35" s="1894" t="s">
        <v>1459</v>
      </c>
      <c r="B35" s="1895"/>
      <c r="C35" s="2331"/>
      <c r="D35" s="2331"/>
      <c r="E35" s="2331"/>
      <c r="F35" s="2332"/>
    </row>
    <row r="36" spans="1:11" ht="12" customHeight="1" x14ac:dyDescent="0.2">
      <c r="A36" s="2322"/>
      <c r="B36" s="2323"/>
      <c r="C36" s="2323"/>
      <c r="D36" s="2323"/>
      <c r="E36" s="2323"/>
      <c r="F36" s="2324"/>
    </row>
    <row r="37" spans="1:11" ht="12" customHeight="1" x14ac:dyDescent="0.2">
      <c r="A37" s="2322"/>
      <c r="B37" s="2323"/>
      <c r="C37" s="2323"/>
      <c r="D37" s="2323"/>
      <c r="E37" s="2323"/>
      <c r="F37" s="2324"/>
    </row>
    <row r="38" spans="1:11" ht="12" customHeight="1" x14ac:dyDescent="0.2">
      <c r="A38" s="2336"/>
      <c r="B38" s="2337"/>
      <c r="C38" s="2337"/>
      <c r="D38" s="2337"/>
      <c r="E38" s="2337"/>
      <c r="F38" s="2338"/>
    </row>
    <row r="39" spans="1:11" ht="4.5" hidden="1" customHeight="1" x14ac:dyDescent="0.2">
      <c r="A39" s="1896"/>
      <c r="B39" s="1896"/>
      <c r="C39" s="1896"/>
      <c r="D39" s="1896"/>
      <c r="E39" s="1896"/>
      <c r="F39" s="1896"/>
    </row>
    <row r="40" spans="1:11" s="1893" customFormat="1" ht="12" customHeight="1" x14ac:dyDescent="0.25">
      <c r="A40" s="1897" t="s">
        <v>1458</v>
      </c>
      <c r="B40" s="1898"/>
      <c r="C40" s="2339"/>
      <c r="D40" s="2339"/>
      <c r="E40" s="2339"/>
      <c r="F40" s="2340"/>
      <c r="H40" s="1902"/>
      <c r="I40" s="1902"/>
      <c r="J40" s="1902"/>
      <c r="K40" s="1902"/>
    </row>
    <row r="41" spans="1:11" s="1893" customFormat="1" ht="12" customHeight="1" x14ac:dyDescent="0.25">
      <c r="A41" s="2341"/>
      <c r="B41" s="2342"/>
      <c r="C41" s="2342"/>
      <c r="D41" s="2342"/>
      <c r="E41" s="2342"/>
      <c r="F41" s="2343"/>
      <c r="H41" s="1902"/>
      <c r="I41" s="1902"/>
      <c r="J41" s="1902"/>
      <c r="K41" s="1902"/>
    </row>
    <row r="42" spans="1:11" s="1893" customFormat="1" ht="12" customHeight="1" x14ac:dyDescent="0.25">
      <c r="A42" s="2341"/>
      <c r="B42" s="2342"/>
      <c r="C42" s="2342"/>
      <c r="D42" s="2342"/>
      <c r="E42" s="2342"/>
      <c r="F42" s="2343"/>
      <c r="H42" s="1902"/>
      <c r="I42" s="1902"/>
      <c r="J42" s="1902"/>
      <c r="K42" s="1902"/>
    </row>
    <row r="43" spans="1:11" s="1893" customFormat="1" ht="15" x14ac:dyDescent="0.25">
      <c r="A43" s="2333"/>
      <c r="B43" s="2334"/>
      <c r="C43" s="2334"/>
      <c r="D43" s="2334"/>
      <c r="E43" s="2334"/>
      <c r="F43" s="2335"/>
      <c r="H43" s="1902"/>
      <c r="I43" s="1902"/>
      <c r="J43" s="1902"/>
      <c r="K43" s="1902"/>
    </row>
    <row r="44" spans="1:11" s="1893" customFormat="1" ht="12" hidden="1" customHeight="1" x14ac:dyDescent="0.25">
      <c r="A44" s="2333"/>
      <c r="B44" s="2334"/>
      <c r="C44" s="2334"/>
      <c r="D44" s="2334"/>
      <c r="E44" s="2334"/>
      <c r="F44" s="2335"/>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15" right="0.15" top="0.65" bottom="0.25" header="0.25" footer="0.5"/>
  <pageSetup scale="70" firstPageNumber="39" orientation="landscape" useFirstPageNumber="1" r:id="rId1"/>
  <headerFooter scaleWithDoc="0">
    <oddFooter>&amp;LSee notes to financial statements.&amp;C&amp;P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E4" colorId="8" zoomScale="110" zoomScaleNormal="110" workbookViewId="0">
      <selection activeCell="A7" sqref="A7:D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3"/>
      <c r="C6" s="1663"/>
      <c r="D6" s="1663"/>
      <c r="E6" s="1664"/>
      <c r="F6" s="1016"/>
      <c r="G6" s="1010"/>
      <c r="H6" s="1017" t="s">
        <v>1086</v>
      </c>
      <c r="I6" s="2349" t="str">
        <f>COVER!A17</f>
        <v>Steeleville CUSD 138</v>
      </c>
      <c r="J6" s="2350"/>
      <c r="Q6" s="1685"/>
    </row>
    <row r="7" spans="1:17" x14ac:dyDescent="0.2">
      <c r="A7" s="2351" t="s">
        <v>924</v>
      </c>
      <c r="B7" s="2352"/>
      <c r="C7" s="2352"/>
      <c r="D7" s="2352"/>
      <c r="E7" s="2353"/>
      <c r="F7" s="1018"/>
      <c r="G7" s="1010"/>
      <c r="H7" s="1017" t="s">
        <v>390</v>
      </c>
      <c r="I7" s="2354">
        <f>COVER!A13</f>
        <v>45079138026</v>
      </c>
      <c r="J7" s="2354"/>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5" t="s">
        <v>502</v>
      </c>
      <c r="B11" s="2356"/>
      <c r="C11" s="235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63814</v>
      </c>
      <c r="F12" s="1040"/>
      <c r="G12" s="1833">
        <f t="shared" ref="G12:G18" si="0">SUM(E12:F12)</f>
        <v>63814</v>
      </c>
      <c r="H12" s="1041">
        <v>66309</v>
      </c>
      <c r="I12" s="1040"/>
      <c r="J12" s="1833">
        <f t="shared" ref="J12:J18" si="1">SUM(H12:I12)</f>
        <v>66309</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8" t="s">
        <v>7</v>
      </c>
      <c r="C18" s="2359"/>
      <c r="D18" s="2360"/>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63814</v>
      </c>
      <c r="F19" s="1835">
        <f t="shared" si="2"/>
        <v>0</v>
      </c>
      <c r="G19" s="1835">
        <f t="shared" si="2"/>
        <v>63814</v>
      </c>
      <c r="H19" s="1835">
        <f t="shared" si="2"/>
        <v>66309</v>
      </c>
      <c r="I19" s="1835">
        <f t="shared" si="2"/>
        <v>0</v>
      </c>
      <c r="J19" s="1835">
        <f t="shared" si="2"/>
        <v>66309</v>
      </c>
    </row>
    <row r="20" spans="1:10" ht="13.5" thickTop="1" x14ac:dyDescent="0.2">
      <c r="A20" s="1036">
        <v>9</v>
      </c>
      <c r="B20" s="2361" t="s">
        <v>1703</v>
      </c>
      <c r="C20" s="2361"/>
      <c r="D20" s="2362"/>
      <c r="E20" s="1047"/>
      <c r="F20" s="1047"/>
      <c r="G20" s="1047"/>
      <c r="H20" s="1047"/>
      <c r="I20" s="1047"/>
      <c r="J20" s="1836">
        <f>IF(AND(G19&gt;0,J19&gt;0),(((J19-G19)/G19)),"Enter Budget Data")</f>
        <v>3.9098003572883691E-2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7"/>
      <c r="D26" s="2367"/>
      <c r="E26" s="1051"/>
      <c r="F26" s="2366"/>
      <c r="G26" s="2366"/>
    </row>
    <row r="27" spans="1:10" x14ac:dyDescent="0.2">
      <c r="B27" s="1048"/>
      <c r="C27" s="1052" t="s">
        <v>1093</v>
      </c>
      <c r="D27" s="1053"/>
      <c r="E27" s="1054"/>
      <c r="F27" s="2363" t="s">
        <v>1589</v>
      </c>
      <c r="G27" s="2363"/>
    </row>
    <row r="28" spans="1:10" ht="28.5" customHeight="1" x14ac:dyDescent="0.2">
      <c r="B28" s="1048"/>
      <c r="C28" s="2365"/>
      <c r="D28" s="2365"/>
      <c r="E28" s="1055"/>
      <c r="F28" s="2365"/>
      <c r="G28" s="2365"/>
    </row>
    <row r="29" spans="1:10" x14ac:dyDescent="0.2">
      <c r="B29" s="1048"/>
      <c r="C29" s="1056" t="s">
        <v>1642</v>
      </c>
      <c r="E29" s="1057"/>
      <c r="F29" s="2364" t="s">
        <v>1590</v>
      </c>
      <c r="G29" s="236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6" t="s">
        <v>134</v>
      </c>
      <c r="D33" s="2347"/>
      <c r="E33" s="2347"/>
      <c r="F33" s="2347"/>
      <c r="G33" s="2347"/>
      <c r="H33" s="2347"/>
      <c r="I33" s="2347"/>
    </row>
    <row r="34" spans="1:10" ht="10.35" customHeight="1" x14ac:dyDescent="0.2">
      <c r="C34" s="2347"/>
      <c r="D34" s="2347"/>
      <c r="E34" s="2347"/>
      <c r="F34" s="2347"/>
      <c r="G34" s="2347"/>
      <c r="H34" s="2347"/>
      <c r="I34" s="2347"/>
    </row>
    <row r="35" spans="1:10" ht="7.5" customHeight="1" x14ac:dyDescent="0.2">
      <c r="C35" s="1063"/>
    </row>
    <row r="36" spans="1:10" ht="13.5" customHeight="1" x14ac:dyDescent="0.2">
      <c r="B36" s="1062"/>
      <c r="C36" s="2348" t="s">
        <v>1944</v>
      </c>
      <c r="D36" s="2347"/>
      <c r="E36" s="2347"/>
      <c r="F36" s="2347"/>
      <c r="G36" s="2347"/>
      <c r="H36" s="2347"/>
      <c r="I36" s="2347"/>
      <c r="J36" s="1064"/>
    </row>
    <row r="37" spans="1:10" ht="22.5" customHeight="1" x14ac:dyDescent="0.2">
      <c r="C37" s="2347"/>
      <c r="D37" s="2347"/>
      <c r="E37" s="2347"/>
      <c r="F37" s="2347"/>
      <c r="G37" s="2347"/>
      <c r="H37" s="2347"/>
      <c r="I37" s="2347"/>
      <c r="J37" s="1064"/>
    </row>
    <row r="38" spans="1:10" ht="7.5" customHeight="1" x14ac:dyDescent="0.2">
      <c r="C38" s="1063"/>
      <c r="D38" s="1065"/>
      <c r="E38" s="1066"/>
      <c r="F38" s="1067"/>
      <c r="G38" s="1066"/>
    </row>
    <row r="39" spans="1:10" ht="13.5" customHeight="1" x14ac:dyDescent="0.2">
      <c r="B39" s="1062"/>
      <c r="C39" s="2344" t="s">
        <v>937</v>
      </c>
      <c r="D39" s="2345"/>
      <c r="E39" s="2345"/>
      <c r="F39" s="2345"/>
      <c r="G39" s="2345"/>
      <c r="H39" s="2345"/>
      <c r="I39" s="234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25" right="0.25" top="1" bottom="0.5" header="0.5" footer="0.25"/>
  <pageSetup scale="90" firstPageNumber="40" orientation="landscape" useFirstPageNumber="1" r:id="rId1"/>
  <headerFooter scaleWithDoc="0">
    <oddHeader xml:space="preserve">&amp;C </oddHeader>
    <oddFooter>&amp;LSee notes to financial statements.&amp;C&amp;P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K66"/>
  <sheetViews>
    <sheetView showGridLines="0" zoomScale="110" zoomScaleNormal="110" workbookViewId="0">
      <selection activeCell="A7" sqref="A7:D7"/>
    </sheetView>
  </sheetViews>
  <sheetFormatPr defaultColWidth="9.140625" defaultRowHeight="12.75" x14ac:dyDescent="0.2"/>
  <cols>
    <col min="1" max="1" width="4.7109375" style="329" customWidth="1"/>
    <col min="2" max="2" width="2.85546875" style="329" customWidth="1"/>
    <col min="3" max="3" width="8" style="329" customWidth="1"/>
    <col min="4" max="4" width="2.28515625" style="329" customWidth="1"/>
    <col min="5" max="5" width="9.140625" style="329"/>
    <col min="6" max="6" width="2.5703125" style="329" customWidth="1"/>
    <col min="7" max="7" width="17.7109375" style="329" customWidth="1"/>
    <col min="8" max="8" width="2.85546875" style="329" customWidth="1"/>
    <col min="9" max="9" width="45" style="329" customWidth="1"/>
    <col min="10" max="10" width="3.28515625" style="329" customWidth="1"/>
    <col min="11" max="11" width="10" style="329" bestFit="1" customWidth="1"/>
    <col min="12" max="16384" width="9.140625" style="329"/>
  </cols>
  <sheetData>
    <row r="2" spans="1:11" x14ac:dyDescent="0.2">
      <c r="A2" s="389" t="s">
        <v>276</v>
      </c>
    </row>
    <row r="3" spans="1:11" x14ac:dyDescent="0.2">
      <c r="A3" s="329" t="s">
        <v>277</v>
      </c>
    </row>
    <row r="5" spans="1:11" x14ac:dyDescent="0.2">
      <c r="A5" s="1961"/>
      <c r="B5" s="1961"/>
      <c r="C5" s="1964" t="s">
        <v>2099</v>
      </c>
      <c r="D5" s="1961"/>
      <c r="E5" s="1963" t="s">
        <v>396</v>
      </c>
      <c r="F5" s="1961"/>
      <c r="G5" s="1964" t="s">
        <v>1137</v>
      </c>
      <c r="H5" s="1961"/>
      <c r="I5" s="1964" t="s">
        <v>502</v>
      </c>
      <c r="J5" s="1961"/>
      <c r="K5" s="1964" t="s">
        <v>920</v>
      </c>
    </row>
    <row r="6" spans="1:11" ht="10.9" customHeight="1" x14ac:dyDescent="0.2">
      <c r="A6" s="1961"/>
      <c r="B6" s="1961"/>
      <c r="C6" s="1965"/>
      <c r="D6" s="1961"/>
      <c r="E6" s="1962"/>
      <c r="F6" s="1961"/>
      <c r="G6" s="1965"/>
      <c r="H6" s="1961"/>
      <c r="I6" s="1965"/>
      <c r="J6" s="1961"/>
      <c r="K6" s="1965"/>
    </row>
    <row r="7" spans="1:11" x14ac:dyDescent="0.2">
      <c r="A7" s="1069">
        <v>1</v>
      </c>
      <c r="C7" s="1958">
        <v>15</v>
      </c>
      <c r="D7" s="1958"/>
      <c r="E7" s="1958">
        <v>1790</v>
      </c>
      <c r="G7" s="329" t="s">
        <v>1217</v>
      </c>
      <c r="I7" s="329" t="s">
        <v>2100</v>
      </c>
      <c r="K7" s="1954">
        <v>1732</v>
      </c>
    </row>
    <row r="8" spans="1:11" x14ac:dyDescent="0.2">
      <c r="A8" s="1069"/>
      <c r="C8" s="1958"/>
      <c r="D8" s="1958"/>
      <c r="E8" s="1958"/>
      <c r="K8" s="1954"/>
    </row>
    <row r="9" spans="1:11" x14ac:dyDescent="0.2">
      <c r="A9" s="1069">
        <v>2</v>
      </c>
      <c r="C9" s="1958">
        <v>15</v>
      </c>
      <c r="D9" s="1958"/>
      <c r="E9" s="1958">
        <v>1993</v>
      </c>
      <c r="G9" s="329" t="s">
        <v>1217</v>
      </c>
      <c r="I9" s="329" t="s">
        <v>2101</v>
      </c>
      <c r="K9" s="1954">
        <v>1325</v>
      </c>
    </row>
    <row r="10" spans="1:11" x14ac:dyDescent="0.2">
      <c r="A10" s="1069"/>
      <c r="C10" s="1958"/>
      <c r="D10" s="1958"/>
      <c r="E10" s="1958"/>
      <c r="I10" s="329" t="s">
        <v>2102</v>
      </c>
      <c r="K10" s="1957">
        <v>4270</v>
      </c>
    </row>
    <row r="11" spans="1:11" x14ac:dyDescent="0.2">
      <c r="A11" s="1069"/>
      <c r="C11" s="1958"/>
      <c r="D11" s="1958"/>
      <c r="E11" s="1958"/>
      <c r="I11" s="329" t="s">
        <v>2103</v>
      </c>
      <c r="K11" s="1957">
        <v>12063</v>
      </c>
    </row>
    <row r="12" spans="1:11" x14ac:dyDescent="0.2">
      <c r="A12" s="1069"/>
      <c r="C12" s="1958"/>
      <c r="D12" s="1958"/>
      <c r="E12" s="1958"/>
      <c r="I12" s="329" t="s">
        <v>2104</v>
      </c>
      <c r="K12" s="1957">
        <v>1780</v>
      </c>
    </row>
    <row r="13" spans="1:11" ht="13.5" thickBot="1" x14ac:dyDescent="0.25">
      <c r="A13" s="1069"/>
      <c r="C13" s="1958"/>
      <c r="D13" s="1958"/>
      <c r="E13" s="1958"/>
      <c r="K13" s="1956">
        <f>SUM(K9:K12)</f>
        <v>19438</v>
      </c>
    </row>
    <row r="14" spans="1:11" ht="13.5" thickTop="1" x14ac:dyDescent="0.2">
      <c r="A14" s="1069"/>
      <c r="C14" s="1958"/>
      <c r="D14" s="1958"/>
      <c r="E14" s="1958"/>
      <c r="K14" s="1955"/>
    </row>
    <row r="15" spans="1:11" x14ac:dyDescent="0.2">
      <c r="A15" s="1069">
        <v>3</v>
      </c>
      <c r="C15" s="1958">
        <v>15</v>
      </c>
      <c r="D15" s="1958"/>
      <c r="E15" s="1958">
        <v>1999</v>
      </c>
      <c r="G15" s="329" t="s">
        <v>2105</v>
      </c>
      <c r="I15" s="329" t="s">
        <v>2106</v>
      </c>
      <c r="K15" s="1954">
        <v>8803</v>
      </c>
    </row>
    <row r="16" spans="1:11" x14ac:dyDescent="0.2">
      <c r="A16" s="1069"/>
      <c r="C16" s="1958"/>
      <c r="D16" s="1958"/>
      <c r="E16" s="1958"/>
      <c r="K16" s="1954"/>
    </row>
    <row r="17" spans="1:11" x14ac:dyDescent="0.2">
      <c r="A17" s="1069">
        <v>4</v>
      </c>
      <c r="C17" s="1958">
        <v>17</v>
      </c>
      <c r="D17" s="1958"/>
      <c r="E17" s="1958">
        <v>4090</v>
      </c>
      <c r="G17" s="329" t="s">
        <v>2105</v>
      </c>
      <c r="I17" s="329" t="s">
        <v>2107</v>
      </c>
      <c r="K17" s="1954">
        <v>21733</v>
      </c>
    </row>
    <row r="18" spans="1:11" x14ac:dyDescent="0.2">
      <c r="A18" s="1069"/>
      <c r="C18" s="1958"/>
      <c r="D18" s="1958"/>
      <c r="E18" s="1958"/>
      <c r="K18" s="1954"/>
    </row>
    <row r="19" spans="1:11" x14ac:dyDescent="0.2">
      <c r="A19" s="1069">
        <v>5</v>
      </c>
      <c r="C19" s="1958">
        <v>20</v>
      </c>
      <c r="D19" s="1958"/>
      <c r="E19" s="1958">
        <v>2190</v>
      </c>
      <c r="G19" s="329" t="s">
        <v>1217</v>
      </c>
      <c r="I19" s="329" t="s">
        <v>2108</v>
      </c>
      <c r="K19" s="1954">
        <v>28682</v>
      </c>
    </row>
    <row r="20" spans="1:11" x14ac:dyDescent="0.2">
      <c r="A20" s="1069"/>
      <c r="C20" s="1958"/>
      <c r="D20" s="1958"/>
      <c r="E20" s="1958"/>
      <c r="I20" s="329" t="s">
        <v>2109</v>
      </c>
      <c r="K20" s="1957">
        <v>9903</v>
      </c>
    </row>
    <row r="21" spans="1:11" x14ac:dyDescent="0.2">
      <c r="A21" s="1069"/>
      <c r="C21" s="1958"/>
      <c r="D21" s="1958"/>
      <c r="E21" s="1958"/>
      <c r="I21" s="329" t="s">
        <v>2145</v>
      </c>
      <c r="K21" s="1957">
        <v>6868</v>
      </c>
    </row>
    <row r="22" spans="1:11" ht="13.5" thickBot="1" x14ac:dyDescent="0.25">
      <c r="A22" s="1069"/>
      <c r="C22" s="1958"/>
      <c r="D22" s="1958"/>
      <c r="E22" s="1958"/>
      <c r="K22" s="1956">
        <f>SUM(K19:K21)</f>
        <v>45453</v>
      </c>
    </row>
    <row r="23" spans="1:11" ht="13.5" thickTop="1" x14ac:dyDescent="0.2">
      <c r="A23" s="1069"/>
      <c r="C23" s="1958"/>
      <c r="D23" s="1958"/>
      <c r="E23" s="1958"/>
      <c r="K23" s="1954"/>
    </row>
    <row r="24" spans="1:11" x14ac:dyDescent="0.2">
      <c r="A24" s="1069">
        <v>6</v>
      </c>
      <c r="C24" s="1958">
        <v>23</v>
      </c>
      <c r="D24" s="1958"/>
      <c r="E24" s="1958">
        <v>5400</v>
      </c>
      <c r="G24" s="329" t="s">
        <v>470</v>
      </c>
      <c r="I24" s="329" t="s">
        <v>2110</v>
      </c>
      <c r="K24" s="1954">
        <v>850</v>
      </c>
    </row>
    <row r="25" spans="1:11" x14ac:dyDescent="0.2">
      <c r="A25" s="1069"/>
      <c r="C25" s="1958"/>
      <c r="D25" s="1958"/>
      <c r="E25" s="1958"/>
      <c r="K25" s="1954"/>
    </row>
    <row r="26" spans="1:11" x14ac:dyDescent="0.2">
      <c r="A26" s="1069">
        <v>7</v>
      </c>
      <c r="C26" s="1958">
        <v>30</v>
      </c>
      <c r="D26" s="1958"/>
      <c r="E26" s="1966" t="s">
        <v>2112</v>
      </c>
      <c r="G26" s="329" t="s">
        <v>430</v>
      </c>
      <c r="I26" s="329" t="s">
        <v>2111</v>
      </c>
      <c r="K26" s="1954">
        <v>70</v>
      </c>
    </row>
    <row r="27" spans="1:11" x14ac:dyDescent="0.2">
      <c r="A27" s="1069"/>
      <c r="C27" s="1958"/>
      <c r="D27" s="1958"/>
      <c r="E27" s="1958"/>
      <c r="K27" s="1954"/>
    </row>
    <row r="28" spans="1:11" x14ac:dyDescent="0.2">
      <c r="A28" s="1069"/>
      <c r="C28" s="1958"/>
      <c r="D28" s="1958"/>
      <c r="E28" s="1958"/>
      <c r="K28" s="1954"/>
    </row>
    <row r="29" spans="1:11" x14ac:dyDescent="0.2">
      <c r="A29" s="1069"/>
      <c r="C29" s="1958"/>
      <c r="D29" s="1958"/>
      <c r="E29" s="1958"/>
      <c r="K29" s="1954"/>
    </row>
    <row r="30" spans="1:11" x14ac:dyDescent="0.2">
      <c r="A30" s="1069"/>
      <c r="C30" s="1958"/>
      <c r="D30" s="1958"/>
      <c r="E30" s="1958"/>
      <c r="K30" s="1954"/>
    </row>
    <row r="31" spans="1:11" x14ac:dyDescent="0.2">
      <c r="A31" s="1069"/>
      <c r="K31" s="1954"/>
    </row>
    <row r="32" spans="1:11" x14ac:dyDescent="0.2">
      <c r="A32" s="1069"/>
      <c r="K32" s="1954"/>
    </row>
    <row r="33" spans="1:11" x14ac:dyDescent="0.2">
      <c r="A33" s="1069"/>
      <c r="K33" s="1954"/>
    </row>
    <row r="34" spans="1:11" x14ac:dyDescent="0.2">
      <c r="A34" s="1069"/>
      <c r="K34" s="1954"/>
    </row>
    <row r="35" spans="1:11" x14ac:dyDescent="0.2">
      <c r="A35" s="1069"/>
      <c r="K35" s="1954"/>
    </row>
    <row r="36" spans="1:11" x14ac:dyDescent="0.2">
      <c r="A36" s="1069"/>
      <c r="K36" s="1954"/>
    </row>
    <row r="37" spans="1:11" x14ac:dyDescent="0.2">
      <c r="A37" s="1069"/>
      <c r="K37" s="1954"/>
    </row>
    <row r="38" spans="1:11" x14ac:dyDescent="0.2">
      <c r="A38" s="1069"/>
      <c r="K38" s="1954"/>
    </row>
    <row r="39" spans="1:11" x14ac:dyDescent="0.2">
      <c r="A39" s="1069"/>
      <c r="K39" s="1954"/>
    </row>
    <row r="40" spans="1:11" x14ac:dyDescent="0.2">
      <c r="A40" s="1069"/>
      <c r="K40" s="1954"/>
    </row>
    <row r="41" spans="1:11" x14ac:dyDescent="0.2">
      <c r="A41" s="1069"/>
      <c r="K41" s="1954"/>
    </row>
    <row r="42" spans="1:11" x14ac:dyDescent="0.2">
      <c r="A42" s="1069"/>
      <c r="K42" s="1954"/>
    </row>
    <row r="43" spans="1:11" x14ac:dyDescent="0.2">
      <c r="A43" s="1069"/>
      <c r="K43" s="1954"/>
    </row>
    <row r="44" spans="1:11" x14ac:dyDescent="0.2">
      <c r="A44" s="1069"/>
      <c r="K44" s="1954"/>
    </row>
    <row r="45" spans="1:11" x14ac:dyDescent="0.2">
      <c r="A45" s="1069"/>
      <c r="K45" s="1954"/>
    </row>
    <row r="46" spans="1:11" x14ac:dyDescent="0.2">
      <c r="A46" s="1069"/>
      <c r="K46" s="1954"/>
    </row>
    <row r="47" spans="1:11" x14ac:dyDescent="0.2">
      <c r="A47" s="1069"/>
      <c r="K47" s="1954"/>
    </row>
    <row r="48" spans="1:11" x14ac:dyDescent="0.2">
      <c r="A48" s="1069"/>
      <c r="K48" s="1954"/>
    </row>
    <row r="49" spans="1:11" x14ac:dyDescent="0.2">
      <c r="A49" s="1069"/>
      <c r="K49" s="1954"/>
    </row>
    <row r="50" spans="1:11" x14ac:dyDescent="0.2">
      <c r="A50" s="1069"/>
      <c r="K50" s="1954"/>
    </row>
    <row r="51" spans="1:11" x14ac:dyDescent="0.2">
      <c r="A51" s="1069"/>
      <c r="K51" s="1954"/>
    </row>
    <row r="52" spans="1:11" x14ac:dyDescent="0.2">
      <c r="A52" s="1069"/>
      <c r="K52" s="1954"/>
    </row>
    <row r="53" spans="1:11" x14ac:dyDescent="0.2">
      <c r="A53" s="1069"/>
      <c r="K53" s="1954"/>
    </row>
    <row r="54" spans="1:11" x14ac:dyDescent="0.2">
      <c r="A54" s="1069"/>
      <c r="K54" s="1954"/>
    </row>
    <row r="55" spans="1:11" x14ac:dyDescent="0.2">
      <c r="A55" s="1069"/>
      <c r="K55" s="1954"/>
    </row>
    <row r="56" spans="1:11" x14ac:dyDescent="0.2">
      <c r="A56" s="1069"/>
      <c r="K56" s="1954"/>
    </row>
    <row r="57" spans="1:11" x14ac:dyDescent="0.2">
      <c r="A57" s="1069"/>
      <c r="K57" s="1954"/>
    </row>
    <row r="58" spans="1:11" x14ac:dyDescent="0.2">
      <c r="A58" s="1069"/>
      <c r="K58" s="1954"/>
    </row>
    <row r="59" spans="1:11" x14ac:dyDescent="0.2">
      <c r="A59" s="1069"/>
    </row>
    <row r="60" spans="1:11" x14ac:dyDescent="0.2">
      <c r="A60" s="1069"/>
    </row>
    <row r="61" spans="1:11" x14ac:dyDescent="0.2">
      <c r="A61" s="1069"/>
    </row>
    <row r="62" spans="1:11" x14ac:dyDescent="0.2">
      <c r="A62" s="1069"/>
    </row>
    <row r="63" spans="1:11" x14ac:dyDescent="0.2">
      <c r="A63" s="1069"/>
    </row>
    <row r="64" spans="1:11" x14ac:dyDescent="0.2">
      <c r="A64" s="1069"/>
    </row>
    <row r="65" spans="1:2" x14ac:dyDescent="0.2">
      <c r="A65" s="1069"/>
      <c r="B65" s="258" t="str">
        <f>COVER!A17</f>
        <v>Steeleville CUSD 138</v>
      </c>
    </row>
    <row r="66" spans="1:2" x14ac:dyDescent="0.2">
      <c r="B66" s="1070">
        <f>COVER!A13</f>
        <v>45079138026</v>
      </c>
    </row>
  </sheetData>
  <phoneticPr fontId="15" type="noConversion"/>
  <pageMargins left="0.2" right="0.2" top="1.17" bottom="0.75" header="0.25" footer="0.25"/>
  <pageSetup scale="80" firstPageNumber="41" orientation="portrait" useFirstPageNumber="1" r:id="rId1"/>
  <headerFooter scaleWithDoc="0">
    <oddFooter>&amp;LSee notes to financial statements.&amp;C&amp;P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zoomScale="110" zoomScaleNormal="110" workbookViewId="0">
      <selection activeCell="A7" sqref="A7:D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5" t="s">
        <v>1125</v>
      </c>
      <c r="B35" s="2085"/>
      <c r="C35" s="2085"/>
      <c r="D35" s="2085"/>
      <c r="E35" s="208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2" t="s">
        <v>715</v>
      </c>
      <c r="B40" s="2082"/>
      <c r="C40" s="2082"/>
      <c r="D40" s="2082"/>
      <c r="E40" s="2082"/>
    </row>
    <row r="41" spans="1:5" x14ac:dyDescent="0.2">
      <c r="A41" s="2083" t="s">
        <v>1706</v>
      </c>
      <c r="B41" s="2083"/>
      <c r="C41" s="2083"/>
      <c r="D41" s="2083"/>
      <c r="E41" s="2083"/>
    </row>
    <row r="42" spans="1:5" ht="12.75" customHeight="1" x14ac:dyDescent="0.2">
      <c r="A42" s="2084" t="s">
        <v>1080</v>
      </c>
      <c r="B42" s="2084"/>
      <c r="C42" s="2084"/>
      <c r="D42" s="2084"/>
      <c r="E42" s="2084"/>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 right="0.7" top="0.75" bottom="0.75" header="0.3" footer="0.3"/>
  <pageSetup scale="72" firstPageNumber="4" fitToHeight="0" orientation="portrait" useFirstPageNumber="1"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7" sqref="A7:D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8" t="s">
        <v>1784</v>
      </c>
      <c r="B18" s="236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activeCell="A7" sqref="A7:D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9" t="s">
        <v>1790</v>
      </c>
      <c r="B1" s="2370"/>
      <c r="C1" s="2370"/>
      <c r="D1" s="2370"/>
      <c r="E1" s="2370"/>
      <c r="F1" s="2371"/>
    </row>
    <row r="2" spans="1:8" ht="45" customHeight="1" x14ac:dyDescent="0.2">
      <c r="A2" s="2379" t="s">
        <v>1791</v>
      </c>
      <c r="B2" s="2380"/>
      <c r="C2" s="2380"/>
      <c r="D2" s="2380"/>
      <c r="E2" s="2380"/>
      <c r="F2" s="2381"/>
      <c r="G2" s="1074"/>
      <c r="H2" s="1074"/>
    </row>
    <row r="3" spans="1:8" ht="57" customHeight="1" x14ac:dyDescent="0.2">
      <c r="A3" s="2382" t="s">
        <v>1786</v>
      </c>
      <c r="B3" s="2383"/>
      <c r="C3" s="2383"/>
      <c r="D3" s="2383"/>
      <c r="E3" s="2383"/>
      <c r="F3" s="2384"/>
      <c r="G3" s="1074"/>
      <c r="H3" s="1074"/>
    </row>
    <row r="4" spans="1:8" ht="14.25" customHeight="1" x14ac:dyDescent="0.2">
      <c r="A4" s="2388" t="s">
        <v>2056</v>
      </c>
      <c r="B4" s="2389"/>
      <c r="C4" s="2389"/>
      <c r="D4" s="2389"/>
      <c r="E4" s="2389"/>
      <c r="F4" s="2390"/>
      <c r="G4" s="1074"/>
      <c r="H4" s="1074"/>
    </row>
    <row r="5" spans="1:8" ht="14.25" customHeight="1" x14ac:dyDescent="0.2">
      <c r="A5" s="2391" t="s">
        <v>2057</v>
      </c>
      <c r="B5" s="2392"/>
      <c r="C5" s="2392"/>
      <c r="D5" s="2392"/>
      <c r="E5" s="2392"/>
      <c r="F5" s="2393"/>
      <c r="G5" s="1074"/>
      <c r="H5" s="1074"/>
    </row>
    <row r="6" spans="1:8" s="1075" customFormat="1" ht="41.25" customHeight="1" x14ac:dyDescent="0.2">
      <c r="A6" s="2385" t="s">
        <v>1792</v>
      </c>
      <c r="B6" s="2386"/>
      <c r="C6" s="2386"/>
      <c r="D6" s="2386"/>
      <c r="E6" s="2386"/>
      <c r="F6" s="2387"/>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3350446</v>
      </c>
      <c r="C8" s="1837">
        <f>'Acct Summary 7-8'!D8</f>
        <v>195207</v>
      </c>
      <c r="D8" s="1837">
        <f>'Acct Summary 7-8'!F8</f>
        <v>252835</v>
      </c>
      <c r="E8" s="1837">
        <f>'Acct Summary 7-8'!I8</f>
        <v>13390</v>
      </c>
      <c r="F8" s="1837">
        <f>SUM(B8:E8)</f>
        <v>3811878</v>
      </c>
    </row>
    <row r="9" spans="1:8" s="1079" customFormat="1" ht="14.25" customHeight="1" thickBot="1" x14ac:dyDescent="0.25">
      <c r="A9" s="1078" t="s">
        <v>1436</v>
      </c>
      <c r="B9" s="1838">
        <f>'Acct Summary 7-8'!C17</f>
        <v>3241547</v>
      </c>
      <c r="C9" s="1838">
        <f>'Acct Summary 7-8'!D17</f>
        <v>143745</v>
      </c>
      <c r="D9" s="1838">
        <f>'Acct Summary 7-8'!F17</f>
        <v>201172</v>
      </c>
      <c r="E9" s="1837"/>
      <c r="F9" s="1837">
        <f>SUM(B9:E9)</f>
        <v>3586464</v>
      </c>
    </row>
    <row r="10" spans="1:8" s="1079" customFormat="1" ht="14.25" thickTop="1" thickBot="1" x14ac:dyDescent="0.25">
      <c r="A10" s="1080" t="s">
        <v>1437</v>
      </c>
      <c r="B10" s="1839">
        <f>(B8-B9)</f>
        <v>108899</v>
      </c>
      <c r="C10" s="1839">
        <f>(C8-C9)</f>
        <v>51462</v>
      </c>
      <c r="D10" s="1839">
        <f>(D8-D9)</f>
        <v>51663</v>
      </c>
      <c r="E10" s="1838">
        <f>(E8-E9)</f>
        <v>13390</v>
      </c>
      <c r="F10" s="1840">
        <f>SUM(F8-F9)</f>
        <v>225414</v>
      </c>
    </row>
    <row r="11" spans="1:8" s="1079" customFormat="1" ht="14.25" thickTop="1" thickBot="1" x14ac:dyDescent="0.25">
      <c r="A11" s="1081" t="s">
        <v>1785</v>
      </c>
      <c r="B11" s="1841">
        <f>'Acct Summary 7-8'!C81</f>
        <v>215982</v>
      </c>
      <c r="C11" s="1841">
        <f>'Acct Summary 7-8'!D81</f>
        <v>301087</v>
      </c>
      <c r="D11" s="1841">
        <f>'Acct Summary 7-8'!F81</f>
        <v>315896</v>
      </c>
      <c r="E11" s="1841">
        <f>'Acct Summary 7-8'!I81</f>
        <v>370537</v>
      </c>
      <c r="F11" s="1842">
        <f>SUM(B11:E11)</f>
        <v>1203502</v>
      </c>
    </row>
    <row r="12" spans="1:8" ht="16.5" customHeight="1" thickTop="1" x14ac:dyDescent="0.2">
      <c r="A12" s="1082"/>
      <c r="B12" s="1083"/>
      <c r="C12" s="2373" t="str">
        <f>IF(AND(F10&lt;0,F11&gt;=0,ABS(F10*3)&gt;ABS(F11)),A16,IF(AND(F10&lt;0,F11&gt;0,ABS(F10*3)&lt;=ABS(F11)),A17,IF(AND(F10&lt;0,F11&lt;0),A16,IF(F11=0,A19,A18))))</f>
        <v>Balanced - no deficit reduction plan is required.</v>
      </c>
      <c r="D12" s="2374"/>
      <c r="E12" s="2374"/>
      <c r="F12" s="2375"/>
    </row>
    <row r="13" spans="1:8" ht="19.5" customHeight="1" x14ac:dyDescent="0.2">
      <c r="A13" s="1084"/>
      <c r="B13" s="1085"/>
      <c r="C13" s="2373"/>
      <c r="D13" s="2374"/>
      <c r="E13" s="2374"/>
      <c r="F13" s="2375"/>
      <c r="H13" s="1074"/>
    </row>
    <row r="14" spans="1:8" ht="19.5" customHeight="1" x14ac:dyDescent="0.2">
      <c r="A14" s="1084"/>
      <c r="B14" s="1085"/>
      <c r="C14" s="2373"/>
      <c r="D14" s="2374"/>
      <c r="E14" s="2374"/>
      <c r="F14" s="2375"/>
      <c r="H14" s="1074"/>
    </row>
    <row r="15" spans="1:8" ht="17.25" customHeight="1" x14ac:dyDescent="0.2">
      <c r="A15" s="1084"/>
      <c r="B15" s="1085"/>
      <c r="C15" s="2376"/>
      <c r="D15" s="2377"/>
      <c r="E15" s="2377"/>
      <c r="F15" s="2378"/>
      <c r="H15" s="1074"/>
    </row>
    <row r="16" spans="1:8" s="310" customFormat="1" ht="51.75" hidden="1" customHeight="1" x14ac:dyDescent="0.2">
      <c r="A16" s="2372" t="s">
        <v>1787</v>
      </c>
      <c r="B16" s="2372"/>
      <c r="C16" s="2372"/>
      <c r="D16" s="2372"/>
      <c r="E16" s="2372"/>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5" right="0.5" top="1" bottom="0.5" header="0.75" footer="0.5"/>
  <pageSetup scale="93" firstPageNumber="42" fitToHeight="0" orientation="landscape" useFirstPageNumber="1" r:id="rId1"/>
  <headerFooter scaleWithDoc="0">
    <oddFooter>&amp;LSee notes to financial statements.&amp;C&amp;P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0"/>
      <c r="B2" s="1921"/>
      <c r="C2" s="1922"/>
      <c r="D2" s="1923"/>
    </row>
    <row r="3" spans="1:4" ht="36" customHeight="1" x14ac:dyDescent="0.2">
      <c r="A3" s="2394" t="s">
        <v>686</v>
      </c>
      <c r="B3" s="2395"/>
      <c r="C3" s="2395"/>
      <c r="D3" s="2396"/>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5" t="s">
        <v>1584</v>
      </c>
      <c r="D7" s="2406"/>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7" t="s">
        <v>1065</v>
      </c>
      <c r="B15" s="2398"/>
      <c r="C15" s="2398"/>
      <c r="D15" s="2399"/>
    </row>
    <row r="16" spans="1:4" s="669" customFormat="1" ht="24" customHeight="1" x14ac:dyDescent="0.2">
      <c r="A16" s="2400" t="s">
        <v>684</v>
      </c>
      <c r="B16" s="2401"/>
      <c r="C16" s="2401"/>
      <c r="D16" s="2402"/>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9" t="s">
        <v>332</v>
      </c>
      <c r="D21" s="2410"/>
    </row>
    <row r="22" spans="1:10" ht="12.75" x14ac:dyDescent="0.2">
      <c r="A22" s="1139"/>
      <c r="B22" s="1140">
        <v>2</v>
      </c>
      <c r="C22" s="2407" t="s">
        <v>1605</v>
      </c>
      <c r="D22" s="2408"/>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str">
        <f>IF('Aud Quest 2'!B53="X",IF('Aud Quest 2'!F53&gt;"00/00/00 ","Enter Effective Date","ok"))</f>
        <v>ok</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11" t="s">
        <v>557</v>
      </c>
      <c r="D43" s="2412"/>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03" t="s">
        <v>817</v>
      </c>
      <c r="D56" s="2404"/>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403" t="s">
        <v>1797</v>
      </c>
      <c r="D70" s="2404"/>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 right="0.25" top="0.5" bottom="0.5" header="0.25" footer="0.25"/>
  <pageSetup scale="69" firstPageNumber="43" orientation="portrait" useFirstPageNumber="1" r:id="rId1"/>
  <headerFooter scaleWithDoc="0">
    <oddFooter>&amp;LSee notes to financial statements.&amp;C&amp;P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45079138026</v>
      </c>
    </row>
    <row r="3" spans="1:2" x14ac:dyDescent="0.2">
      <c r="A3" t="s">
        <v>1013</v>
      </c>
      <c r="B3" s="138" t="str">
        <f>COVER!A15</f>
        <v>RANDOLPH</v>
      </c>
    </row>
    <row r="4" spans="1:2" x14ac:dyDescent="0.2">
      <c r="A4" t="s">
        <v>1064</v>
      </c>
      <c r="B4" s="138" t="str">
        <f>COVER!A17</f>
        <v>Steeleville CUSD 138</v>
      </c>
    </row>
    <row r="5" spans="1:2" x14ac:dyDescent="0.2">
      <c r="A5" t="s">
        <v>728</v>
      </c>
      <c r="B5" s="138" t="str">
        <f>COVER!A38</f>
        <v>DR. STEPHANIE L. MULHOLLAND</v>
      </c>
    </row>
    <row r="6" spans="1:2" x14ac:dyDescent="0.2">
      <c r="A6" t="s">
        <v>733</v>
      </c>
      <c r="B6" s="138">
        <f>COVER!P35</f>
        <v>0</v>
      </c>
    </row>
    <row r="7" spans="1:2" x14ac:dyDescent="0.2">
      <c r="A7" t="s">
        <v>729</v>
      </c>
      <c r="B7" s="138">
        <f>COVER!I38</f>
        <v>0</v>
      </c>
    </row>
    <row r="8" spans="1:2" x14ac:dyDescent="0.2">
      <c r="A8" t="s">
        <v>730</v>
      </c>
      <c r="B8" s="138" t="str">
        <f>COVER!T38</f>
        <v>KELTON DAIVS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065-014460</v>
      </c>
    </row>
    <row r="16" spans="1:2" x14ac:dyDescent="0.2">
      <c r="A16" t="s">
        <v>442</v>
      </c>
      <c r="B16" s="138" t="str">
        <f>COVER!T13</f>
        <v>SCHEFFEL BOYLE</v>
      </c>
    </row>
    <row r="17" spans="1:2" x14ac:dyDescent="0.2">
      <c r="A17" t="s">
        <v>939</v>
      </c>
      <c r="B17" s="138" t="str">
        <f>COVER!T15</f>
        <v>KEITH G. BRINKMANN, CPA</v>
      </c>
    </row>
    <row r="18" spans="1:2" x14ac:dyDescent="0.2">
      <c r="A18" t="s">
        <v>1212</v>
      </c>
      <c r="B18" s="138" t="str">
        <f>COVER!T17</f>
        <v>7 HILL CASTLE LANE</v>
      </c>
    </row>
    <row r="19" spans="1:2" x14ac:dyDescent="0.2">
      <c r="A19" t="s">
        <v>941</v>
      </c>
      <c r="B19" s="138">
        <f>COVER!T25</f>
        <v>0</v>
      </c>
    </row>
    <row r="20" spans="1:2" x14ac:dyDescent="0.2">
      <c r="A20" t="s">
        <v>942</v>
      </c>
      <c r="B20" s="138" t="str">
        <f>COVER!T19</f>
        <v>COLUMBIA</v>
      </c>
    </row>
    <row r="21" spans="1:2" x14ac:dyDescent="0.2">
      <c r="A21" t="s">
        <v>500</v>
      </c>
      <c r="B21" s="138" t="str">
        <f>COVER!X19</f>
        <v>IL</v>
      </c>
    </row>
    <row r="22" spans="1:2" x14ac:dyDescent="0.2">
      <c r="A22" t="s">
        <v>943</v>
      </c>
      <c r="B22" s="138">
        <f>COVER!Z19</f>
        <v>62236</v>
      </c>
    </row>
    <row r="23" spans="1:2" x14ac:dyDescent="0.2">
      <c r="A23" t="s">
        <v>1214</v>
      </c>
      <c r="B23" s="138" t="str">
        <f>COVER!T21</f>
        <v>618-281-7605</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35065</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220316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4334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4334</v>
      </c>
      <c r="C91" s="2" t="s">
        <v>594</v>
      </c>
      <c r="D91" s="2" t="str">
        <f t="shared" si="0"/>
        <v>Error?</v>
      </c>
    </row>
    <row r="92" spans="1:4" x14ac:dyDescent="0.2">
      <c r="A92" s="5">
        <v>31</v>
      </c>
      <c r="B92" s="138">
        <f>'Assets-Liab 5-6'!C39</f>
        <v>215982</v>
      </c>
      <c r="D92" s="2" t="str">
        <f t="shared" si="0"/>
        <v>Error?</v>
      </c>
    </row>
    <row r="93" spans="1:4" x14ac:dyDescent="0.2">
      <c r="A93" s="5">
        <v>32</v>
      </c>
      <c r="B93" s="138">
        <f>'Assets-Liab 5-6'!C41</f>
        <v>220316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301087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301087</v>
      </c>
      <c r="D123" s="2" t="str">
        <f t="shared" si="0"/>
        <v>Error?</v>
      </c>
    </row>
    <row r="124" spans="1:4" x14ac:dyDescent="0.2">
      <c r="A124" s="5">
        <v>63</v>
      </c>
      <c r="B124" s="138">
        <f>'Assets-Liab 5-6'!D41</f>
        <v>301087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96287</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59257</v>
      </c>
      <c r="D140" s="2" t="str">
        <f t="shared" si="1"/>
        <v>Error?</v>
      </c>
    </row>
    <row r="141" spans="1:4" x14ac:dyDescent="0.2">
      <c r="A141" s="5">
        <v>80</v>
      </c>
      <c r="B141" s="138">
        <f>'Assets-Liab 5-6'!E41</f>
        <v>96287</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315896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315896</v>
      </c>
      <c r="D170" s="2" t="str">
        <f t="shared" si="1"/>
        <v>Error?</v>
      </c>
    </row>
    <row r="171" spans="1:4" x14ac:dyDescent="0.2">
      <c r="A171" s="5">
        <v>110</v>
      </c>
      <c r="B171" s="138">
        <f>'Assets-Liab 5-6'!F41</f>
        <v>315896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60245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59948</v>
      </c>
      <c r="D189" s="2" t="str">
        <f t="shared" si="1"/>
        <v>Error?</v>
      </c>
    </row>
    <row r="190" spans="1:4" x14ac:dyDescent="0.2">
      <c r="A190" s="5">
        <v>129</v>
      </c>
      <c r="B190" s="138">
        <f>'Assets-Liab 5-6'!G41</f>
        <v>60245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1040649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1040649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24902</v>
      </c>
      <c r="D273" s="2" t="str">
        <f t="shared" si="3"/>
        <v>Error?</v>
      </c>
    </row>
    <row r="274" spans="1:4" x14ac:dyDescent="0.2">
      <c r="A274" s="5">
        <v>213</v>
      </c>
      <c r="B274" s="138">
        <f>'Assets-Liab 5-6'!M17</f>
        <v>6815785</v>
      </c>
      <c r="D274" s="2" t="str">
        <f t="shared" si="3"/>
        <v>Error?</v>
      </c>
    </row>
    <row r="275" spans="1:4" x14ac:dyDescent="0.2">
      <c r="A275" s="5">
        <v>214</v>
      </c>
      <c r="B275" s="138">
        <f>'Assets-Liab 5-6'!M18</f>
        <v>178390</v>
      </c>
      <c r="D275" s="2" t="str">
        <f t="shared" si="3"/>
        <v>Error?</v>
      </c>
    </row>
    <row r="276" spans="1:4" x14ac:dyDescent="0.2">
      <c r="A276" s="5">
        <v>215</v>
      </c>
      <c r="B276" s="138">
        <f>'Assets-Liab 5-6'!M19</f>
        <v>1926764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9212963</v>
      </c>
      <c r="C279" s="2" t="s">
        <v>594</v>
      </c>
      <c r="D279" s="2" t="str">
        <f t="shared" si="3"/>
        <v>Error?</v>
      </c>
    </row>
    <row r="280" spans="1:4" x14ac:dyDescent="0.2">
      <c r="A280" s="5">
        <v>219</v>
      </c>
      <c r="B280" s="138">
        <f>'Assets-Liab 5-6'!M40</f>
        <v>9212963</v>
      </c>
      <c r="D280" s="2" t="str">
        <f t="shared" si="3"/>
        <v>Error?</v>
      </c>
    </row>
    <row r="281" spans="1:4" x14ac:dyDescent="0.2">
      <c r="A281" s="5">
        <v>220</v>
      </c>
      <c r="B281" s="138">
        <f>'Assets-Liab 5-6'!M41</f>
        <v>9212963</v>
      </c>
      <c r="C281" s="2" t="s">
        <v>594</v>
      </c>
      <c r="D281" s="2" t="str">
        <f t="shared" si="3"/>
        <v>Error?</v>
      </c>
    </row>
    <row r="282" spans="1:4" x14ac:dyDescent="0.2">
      <c r="A282" s="5">
        <v>221</v>
      </c>
      <c r="B282" s="138">
        <f>'Assets-Liab 5-6'!N21</f>
        <v>96287</v>
      </c>
      <c r="D282" s="2" t="str">
        <f t="shared" si="3"/>
        <v>Error?</v>
      </c>
    </row>
    <row r="283" spans="1:4" x14ac:dyDescent="0.2">
      <c r="A283" s="5">
        <v>222</v>
      </c>
      <c r="B283" s="138">
        <f>'Assets-Liab 5-6'!N22</f>
        <v>2673713</v>
      </c>
      <c r="D283" s="2" t="str">
        <f t="shared" si="3"/>
        <v>Error?</v>
      </c>
    </row>
    <row r="284" spans="1:4" x14ac:dyDescent="0.2">
      <c r="A284" s="5">
        <v>223</v>
      </c>
      <c r="B284" s="138">
        <f>'Assets-Liab 5-6'!N23</f>
        <v>2770000</v>
      </c>
      <c r="C284" s="2" t="s">
        <v>594</v>
      </c>
      <c r="D284" s="2" t="str">
        <f t="shared" si="3"/>
        <v>Error?</v>
      </c>
    </row>
    <row r="285" spans="1:4" x14ac:dyDescent="0.2">
      <c r="A285" s="5">
        <v>224</v>
      </c>
      <c r="B285" s="138">
        <f>'Assets-Liab 5-6'!N36</f>
        <v>2770000</v>
      </c>
      <c r="D285" s="2" t="str">
        <f t="shared" si="3"/>
        <v>Error?</v>
      </c>
    </row>
    <row r="286" spans="1:4" x14ac:dyDescent="0.2">
      <c r="A286" s="10">
        <v>225</v>
      </c>
      <c r="D286" s="2" t="str">
        <f t="shared" si="3"/>
        <v>OK</v>
      </c>
    </row>
    <row r="287" spans="1:4" x14ac:dyDescent="0.2">
      <c r="A287" s="5">
        <v>226</v>
      </c>
      <c r="B287" s="138">
        <f>'Assets-Liab 5-6'!N37</f>
        <v>2770000</v>
      </c>
      <c r="C287" s="2" t="s">
        <v>594</v>
      </c>
      <c r="D287" s="2" t="str">
        <f t="shared" si="3"/>
        <v>Error?</v>
      </c>
    </row>
    <row r="288" spans="1:4" x14ac:dyDescent="0.2">
      <c r="A288" s="5">
        <v>227</v>
      </c>
      <c r="B288" s="138">
        <f>'Assets-Liab 5-6'!N41</f>
        <v>2770000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1290126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779</v>
      </c>
      <c r="D717" s="2" t="str">
        <f t="shared" si="10"/>
        <v>Error?</v>
      </c>
    </row>
    <row r="718" spans="1:4" x14ac:dyDescent="0.2">
      <c r="A718" s="5">
        <v>657</v>
      </c>
      <c r="B718" s="138">
        <f>'Expenditures 15-22'!C14</f>
        <v>60099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1723051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33130</v>
      </c>
      <c r="D722" s="2" t="str">
        <f t="shared" si="10"/>
        <v>Error?</v>
      </c>
    </row>
    <row r="723" spans="1:4" x14ac:dyDescent="0.2">
      <c r="A723" s="5">
        <v>662</v>
      </c>
      <c r="B723" s="138">
        <f>'Expenditures 15-22'!C38</f>
        <v>731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29457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63318</v>
      </c>
      <c r="C727" s="2" t="s">
        <v>594</v>
      </c>
      <c r="D727" s="2" t="str">
        <f t="shared" si="10"/>
        <v>Error?</v>
      </c>
    </row>
    <row r="728" spans="1:4" x14ac:dyDescent="0.2">
      <c r="A728" s="5">
        <v>667</v>
      </c>
      <c r="B728" s="138">
        <f>'Expenditures 15-22'!C44</f>
        <v>4320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4320</v>
      </c>
      <c r="C731" s="2" t="s">
        <v>594</v>
      </c>
      <c r="D731" s="2" t="str">
        <f t="shared" si="10"/>
        <v>Error?</v>
      </c>
    </row>
    <row r="732" spans="1:4" x14ac:dyDescent="0.2">
      <c r="A732" s="5">
        <v>671</v>
      </c>
      <c r="B732" s="138">
        <f>'Expenditures 15-22'!C49</f>
        <v>6661</v>
      </c>
      <c r="D732" s="2" t="str">
        <f t="shared" si="10"/>
        <v>Error?</v>
      </c>
    </row>
    <row r="733" spans="1:4" x14ac:dyDescent="0.2">
      <c r="A733" s="5">
        <v>672</v>
      </c>
      <c r="B733" s="138">
        <f>'Expenditures 15-22'!C50</f>
        <v>51985</v>
      </c>
      <c r="D733" s="2" t="str">
        <f t="shared" si="10"/>
        <v>Error?</v>
      </c>
    </row>
    <row r="734" spans="1:4" x14ac:dyDescent="0.2">
      <c r="A734" s="5">
        <v>673</v>
      </c>
      <c r="B734" s="138">
        <f>'Expenditures 15-22'!C53</f>
        <v>58646</v>
      </c>
      <c r="C734" s="2" t="s">
        <v>594</v>
      </c>
      <c r="D734" s="2" t="str">
        <f t="shared" si="10"/>
        <v>Error?</v>
      </c>
    </row>
    <row r="735" spans="1:4" x14ac:dyDescent="0.2">
      <c r="A735" s="5">
        <v>674</v>
      </c>
      <c r="B735" s="138">
        <f>'Expenditures 15-22'!C55</f>
        <v>257999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257999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89324</v>
      </c>
      <c r="D739" s="2" t="str">
        <f t="shared" si="10"/>
        <v>Error?</v>
      </c>
    </row>
    <row r="740" spans="1:4" x14ac:dyDescent="0.2">
      <c r="A740" s="5">
        <v>679</v>
      </c>
      <c r="B740" s="138">
        <f>'Expenditures 15-22'!C61</f>
        <v>139046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39123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267493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651776</v>
      </c>
      <c r="C755" s="2" t="s">
        <v>594</v>
      </c>
      <c r="D755" s="2" t="str">
        <f t="shared" si="10"/>
        <v>Error?</v>
      </c>
    </row>
    <row r="756" spans="1:4" x14ac:dyDescent="0.2">
      <c r="A756" s="5">
        <v>695</v>
      </c>
      <c r="B756" s="138">
        <f>'Expenditures 15-22'!C75</f>
        <v>3431</v>
      </c>
      <c r="D756" s="2" t="str">
        <f t="shared" si="10"/>
        <v>Error?</v>
      </c>
    </row>
    <row r="757" spans="1:4" x14ac:dyDescent="0.2">
      <c r="A757" s="5">
        <v>696</v>
      </c>
      <c r="B757" s="138">
        <f>'Expenditures 15-22'!C114</f>
        <v>2378258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225944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96</v>
      </c>
      <c r="D775" s="2" t="str">
        <f t="shared" si="11"/>
        <v>Error?</v>
      </c>
    </row>
    <row r="776" spans="1:4" x14ac:dyDescent="0.2">
      <c r="A776" s="5">
        <v>715</v>
      </c>
      <c r="B776" s="138">
        <f>'Expenditures 15-22'!D14</f>
        <v>540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264700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732</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732</v>
      </c>
      <c r="C785" s="2" t="s">
        <v>594</v>
      </c>
      <c r="D785" s="2" t="str">
        <f t="shared" si="11"/>
        <v>Error?</v>
      </c>
    </row>
    <row r="786" spans="1:4" x14ac:dyDescent="0.2">
      <c r="A786" s="5">
        <v>725</v>
      </c>
      <c r="B786" s="138">
        <f>'Expenditures 15-22'!D44</f>
        <v>95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10189</v>
      </c>
      <c r="D791" s="2" t="str">
        <f t="shared" si="11"/>
        <v>Error?</v>
      </c>
    </row>
    <row r="792" spans="1:4" x14ac:dyDescent="0.2">
      <c r="A792" s="5">
        <v>731</v>
      </c>
      <c r="B792" s="138">
        <f>'Expenditures 15-22'!D53</f>
        <v>10189</v>
      </c>
      <c r="C792" s="2" t="s">
        <v>594</v>
      </c>
      <c r="D792" s="2" t="str">
        <f t="shared" si="11"/>
        <v>Error?</v>
      </c>
    </row>
    <row r="793" spans="1:4" x14ac:dyDescent="0.2">
      <c r="A793" s="5">
        <v>732</v>
      </c>
      <c r="B793" s="138">
        <f>'Expenditures 15-22'!D55</f>
        <v>21645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21645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8770</v>
      </c>
      <c r="D797" s="2" t="str">
        <f t="shared" si="11"/>
        <v>Error?</v>
      </c>
    </row>
    <row r="798" spans="1:4" x14ac:dyDescent="0.2">
      <c r="A798" s="5">
        <v>737</v>
      </c>
      <c r="B798" s="138">
        <f>'Expenditures 15-22'!D61</f>
        <v>26651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16168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51589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84250</v>
      </c>
      <c r="C813" s="2" t="s">
        <v>594</v>
      </c>
      <c r="D813" s="2" t="str">
        <f t="shared" si="11"/>
        <v>Error?</v>
      </c>
    </row>
    <row r="814" spans="1:4" x14ac:dyDescent="0.2">
      <c r="A814" s="5">
        <v>753</v>
      </c>
      <c r="B814" s="138">
        <f>'Expenditures 15-22'!D75</f>
        <v>372</v>
      </c>
      <c r="D814" s="2" t="str">
        <f t="shared" si="11"/>
        <v>Error?</v>
      </c>
    </row>
    <row r="815" spans="1:4" x14ac:dyDescent="0.2">
      <c r="A815" s="5">
        <v>754</v>
      </c>
      <c r="B815" s="138">
        <f>'Expenditures 15-22'!D114</f>
        <v>349322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26185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1279</v>
      </c>
      <c r="D833" s="2" t="str">
        <f t="shared" si="12"/>
        <v>Error?</v>
      </c>
    </row>
    <row r="834" spans="1:4" x14ac:dyDescent="0.2">
      <c r="A834" s="5">
        <v>773</v>
      </c>
      <c r="B834" s="138">
        <f>'Expenditures 15-22'!E14</f>
        <v>17812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46218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28682</v>
      </c>
      <c r="D842" s="2" t="str">
        <f t="shared" si="12"/>
        <v>Error?</v>
      </c>
    </row>
    <row r="843" spans="1:4" x14ac:dyDescent="0.2">
      <c r="A843" s="5">
        <v>782</v>
      </c>
      <c r="B843" s="138">
        <f>'Expenditures 15-22'!E42</f>
        <v>28682</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1238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1238</v>
      </c>
      <c r="C847" s="2" t="s">
        <v>594</v>
      </c>
      <c r="D847" s="2" t="str">
        <f t="shared" si="12"/>
        <v>Error?</v>
      </c>
    </row>
    <row r="848" spans="1:4" x14ac:dyDescent="0.2">
      <c r="A848" s="5">
        <v>787</v>
      </c>
      <c r="B848" s="138">
        <f>'Expenditures 15-22'!E49</f>
        <v>32827</v>
      </c>
      <c r="D848" s="2" t="str">
        <f t="shared" si="12"/>
        <v>Error?</v>
      </c>
    </row>
    <row r="849" spans="1:4" x14ac:dyDescent="0.2">
      <c r="A849" s="5">
        <v>788</v>
      </c>
      <c r="B849" s="138">
        <f>'Expenditures 15-22'!E50</f>
        <v>834</v>
      </c>
      <c r="D849" s="2" t="str">
        <f t="shared" si="12"/>
        <v>Error?</v>
      </c>
    </row>
    <row r="850" spans="1:4" x14ac:dyDescent="0.2">
      <c r="A850" s="5">
        <v>789</v>
      </c>
      <c r="B850" s="138">
        <f>'Expenditures 15-22'!E53</f>
        <v>33661</v>
      </c>
      <c r="C850" s="2" t="s">
        <v>594</v>
      </c>
      <c r="D850" s="2" t="str">
        <f t="shared" si="12"/>
        <v>Error?</v>
      </c>
    </row>
    <row r="851" spans="1:4" x14ac:dyDescent="0.2">
      <c r="A851" s="5">
        <v>790</v>
      </c>
      <c r="B851" s="138">
        <f>'Expenditures 15-22'!E55</f>
        <v>18204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18204</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2044</v>
      </c>
      <c r="D855" s="2" t="str">
        <f t="shared" si="12"/>
        <v>Error?</v>
      </c>
    </row>
    <row r="856" spans="1:4" x14ac:dyDescent="0.2">
      <c r="A856" s="5">
        <v>795</v>
      </c>
      <c r="B856" s="138">
        <f>'Expenditures 15-22'!E61</f>
        <v>3300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1265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6609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88394</v>
      </c>
      <c r="C871" s="2" t="s">
        <v>594</v>
      </c>
      <c r="D871" s="2" t="str">
        <f t="shared" si="12"/>
        <v>Error?</v>
      </c>
    </row>
    <row r="872" spans="1:4" x14ac:dyDescent="0.2">
      <c r="A872" s="5">
        <v>811</v>
      </c>
      <c r="B872" s="138">
        <f>'Expenditures 15-22'!E75</f>
        <v>1391</v>
      </c>
      <c r="D872" s="2" t="str">
        <f t="shared" si="12"/>
        <v>Error?</v>
      </c>
    </row>
    <row r="873" spans="1:4" x14ac:dyDescent="0.2">
      <c r="A873" s="5">
        <v>812</v>
      </c>
      <c r="B873" s="138">
        <f>'Expenditures 15-22'!E114</f>
        <v>136003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33335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5230</v>
      </c>
      <c r="D891" s="2" t="str">
        <f t="shared" si="12"/>
        <v>Error?</v>
      </c>
    </row>
    <row r="892" spans="1:4" x14ac:dyDescent="0.2">
      <c r="A892" s="5">
        <v>831</v>
      </c>
      <c r="B892" s="138">
        <f>'Expenditures 15-22'!F14</f>
        <v>8931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49642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127</v>
      </c>
      <c r="D899" s="2" t="str">
        <f t="shared" si="13"/>
        <v>Error?</v>
      </c>
    </row>
    <row r="900" spans="1:4" x14ac:dyDescent="0.2">
      <c r="A900" s="5">
        <v>839</v>
      </c>
      <c r="B900" s="138">
        <f>'Expenditures 15-22'!F41</f>
        <v>9903</v>
      </c>
      <c r="D900" s="2" t="str">
        <f t="shared" si="13"/>
        <v>Error?</v>
      </c>
    </row>
    <row r="901" spans="1:4" x14ac:dyDescent="0.2">
      <c r="A901" s="5">
        <v>840</v>
      </c>
      <c r="B901" s="138">
        <f>'Expenditures 15-22'!F42</f>
        <v>10030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241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241</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4777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4777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8384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47553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55937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70985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120627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1405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10000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14385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6868</v>
      </c>
      <c r="D958" s="2" t="str">
        <f t="shared" si="13"/>
        <v>Error?</v>
      </c>
    </row>
    <row r="959" spans="1:4" x14ac:dyDescent="0.2">
      <c r="A959" s="5">
        <v>898</v>
      </c>
      <c r="B959" s="138">
        <f>'Expenditures 15-22'!G42</f>
        <v>6868</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628</v>
      </c>
      <c r="D967" s="2" t="str">
        <f t="shared" si="14"/>
        <v>Error?</v>
      </c>
    </row>
    <row r="968" spans="1:4" x14ac:dyDescent="0.2">
      <c r="A968" s="5">
        <v>907</v>
      </c>
      <c r="B968" s="138">
        <f>'Expenditures 15-22'!G56</f>
        <v>0</v>
      </c>
      <c r="D968" s="2" t="str">
        <f t="shared" si="14"/>
        <v>Error?</v>
      </c>
    </row>
    <row r="969" spans="1:4" x14ac:dyDescent="0.2">
      <c r="A969" s="5">
        <v>908</v>
      </c>
      <c r="B969" s="138">
        <f>'Expenditures 15-22'!G57</f>
        <v>628</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641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641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8137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22522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655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2026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2681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1502</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1502</v>
      </c>
      <c r="C1021" s="2" t="s">
        <v>594</v>
      </c>
      <c r="D1021" s="2" t="str">
        <f t="shared" si="14"/>
        <v>Error?</v>
      </c>
    </row>
    <row r="1022" spans="1:4" x14ac:dyDescent="0.2">
      <c r="A1022" s="5">
        <v>961</v>
      </c>
      <c r="B1022" s="138">
        <f>'Expenditures 15-22'!H49</f>
        <v>5836</v>
      </c>
      <c r="D1022" s="2" t="str">
        <f t="shared" si="14"/>
        <v>Error?</v>
      </c>
    </row>
    <row r="1023" spans="1:4" x14ac:dyDescent="0.2">
      <c r="A1023" s="5">
        <v>962</v>
      </c>
      <c r="B1023" s="138">
        <f>'Expenditures 15-22'!H50</f>
        <v>806</v>
      </c>
      <c r="D1023" s="2" t="str">
        <f t="shared" ref="D1023:D1086" si="15">IF(ISBLANK(B1023),"OK",IF(A1023-B1023=0,"OK","Error?"))</f>
        <v>Error?</v>
      </c>
    </row>
    <row r="1024" spans="1:4" x14ac:dyDescent="0.2">
      <c r="A1024" s="5">
        <v>963</v>
      </c>
      <c r="B1024" s="138">
        <f>'Expenditures 15-22'!H53</f>
        <v>6642</v>
      </c>
      <c r="C1024" s="2" t="s">
        <v>594</v>
      </c>
      <c r="D1024" s="2" t="str">
        <f t="shared" si="15"/>
        <v>Error?</v>
      </c>
    </row>
    <row r="1025" spans="1:4" x14ac:dyDescent="0.2">
      <c r="A1025" s="5">
        <v>964</v>
      </c>
      <c r="B1025" s="138">
        <f>'Expenditures 15-22'!H55</f>
        <v>5593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5593</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804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1144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14881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217253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234815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1577650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17384</v>
      </c>
      <c r="C1105" s="2" t="s">
        <v>594</v>
      </c>
      <c r="D1105" s="2" t="str">
        <f t="shared" si="16"/>
        <v>Error?</v>
      </c>
    </row>
    <row r="1106" spans="1:4" x14ac:dyDescent="0.2">
      <c r="A1106" s="5">
        <v>1045</v>
      </c>
      <c r="B1106" s="138">
        <f>'Expenditures 15-22'!K14</f>
        <v>89408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2100677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33862</v>
      </c>
      <c r="C1110" s="2" t="s">
        <v>594</v>
      </c>
      <c r="D1110" s="2" t="str">
        <f t="shared" si="16"/>
        <v>Error?</v>
      </c>
    </row>
    <row r="1111" spans="1:4" x14ac:dyDescent="0.2">
      <c r="A1111" s="5">
        <v>1050</v>
      </c>
      <c r="B1111" s="138">
        <f>'Expenditures 15-22'!K38</f>
        <v>731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29584</v>
      </c>
      <c r="C1113" s="2" t="s">
        <v>594</v>
      </c>
      <c r="D1113" s="2" t="str">
        <f t="shared" si="16"/>
        <v>Error?</v>
      </c>
    </row>
    <row r="1114" spans="1:4" x14ac:dyDescent="0.2">
      <c r="A1114" s="5">
        <v>1053</v>
      </c>
      <c r="B1114" s="138">
        <f>'Expenditures 15-22'!K41</f>
        <v>45453</v>
      </c>
      <c r="C1114" s="2" t="s">
        <v>594</v>
      </c>
      <c r="D1114" s="2" t="str">
        <f t="shared" si="16"/>
        <v>Error?</v>
      </c>
    </row>
    <row r="1115" spans="1:4" x14ac:dyDescent="0.2">
      <c r="A1115" s="5">
        <v>1054</v>
      </c>
      <c r="B1115" s="138">
        <f>'Expenditures 15-22'!K42</f>
        <v>109630</v>
      </c>
      <c r="C1115" s="2" t="s">
        <v>594</v>
      </c>
      <c r="D1115" s="2" t="str">
        <f t="shared" si="16"/>
        <v>Error?</v>
      </c>
    </row>
    <row r="1116" spans="1:4" x14ac:dyDescent="0.2">
      <c r="A1116" s="5">
        <v>1055</v>
      </c>
      <c r="B1116" s="138">
        <f>'Expenditures 15-22'!K44</f>
        <v>5917</v>
      </c>
      <c r="C1116" s="2" t="s">
        <v>594</v>
      </c>
      <c r="D1116" s="2" t="str">
        <f t="shared" si="16"/>
        <v>Error?</v>
      </c>
    </row>
    <row r="1117" spans="1:4" x14ac:dyDescent="0.2">
      <c r="A1117" s="5">
        <v>1056</v>
      </c>
      <c r="B1117" s="138">
        <f>'Expenditures 15-22'!K45</f>
        <v>1479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7396</v>
      </c>
      <c r="C1119" s="2" t="s">
        <v>594</v>
      </c>
      <c r="D1119" s="2" t="str">
        <f t="shared" si="16"/>
        <v>Error?</v>
      </c>
    </row>
    <row r="1120" spans="1:4" x14ac:dyDescent="0.2">
      <c r="A1120" s="5">
        <v>1059</v>
      </c>
      <c r="B1120" s="138">
        <f>'Expenditures 15-22'!K49</f>
        <v>45324</v>
      </c>
      <c r="C1120" s="2" t="s">
        <v>594</v>
      </c>
      <c r="D1120" s="2" t="str">
        <f t="shared" si="16"/>
        <v>Error?</v>
      </c>
    </row>
    <row r="1121" spans="1:4" x14ac:dyDescent="0.2">
      <c r="A1121" s="5">
        <v>1060</v>
      </c>
      <c r="B1121" s="138">
        <f>'Expenditures 15-22'!K50</f>
        <v>63814</v>
      </c>
      <c r="C1121" s="2" t="s">
        <v>594</v>
      </c>
      <c r="D1121" s="2" t="str">
        <f t="shared" si="16"/>
        <v>Error?</v>
      </c>
    </row>
    <row r="1122" spans="1:4" x14ac:dyDescent="0.2">
      <c r="A1122" s="5">
        <v>1061</v>
      </c>
      <c r="B1122" s="138">
        <f>'Expenditures 15-22'!K53</f>
        <v>109138</v>
      </c>
      <c r="C1122" s="2" t="s">
        <v>594</v>
      </c>
      <c r="D1122" s="2" t="str">
        <f t="shared" si="16"/>
        <v>Error?</v>
      </c>
    </row>
    <row r="1123" spans="1:4" x14ac:dyDescent="0.2">
      <c r="A1123" s="5">
        <v>1062</v>
      </c>
      <c r="B1123" s="138">
        <f>'Expenditures 15-22'!K55</f>
        <v>308846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308846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100478</v>
      </c>
      <c r="C1127" s="2" t="s">
        <v>594</v>
      </c>
      <c r="D1127" s="2" t="str">
        <f t="shared" si="16"/>
        <v>Error?</v>
      </c>
    </row>
    <row r="1128" spans="1:4" x14ac:dyDescent="0.2">
      <c r="A1128" s="5">
        <v>1067</v>
      </c>
      <c r="B1128" s="138">
        <f>'Expenditures 15-22'!K61</f>
        <v>177381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105554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383413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918423</v>
      </c>
      <c r="C1143" s="2" t="s">
        <v>594</v>
      </c>
      <c r="D1143" s="2" t="str">
        <f t="shared" si="16"/>
        <v>Error?</v>
      </c>
    </row>
    <row r="1144" spans="1:4" x14ac:dyDescent="0.2">
      <c r="A1144" s="5">
        <v>1083</v>
      </c>
      <c r="B1144" s="138">
        <f>'Expenditures 15-22'!K75</f>
        <v>5194</v>
      </c>
      <c r="C1144" s="2" t="s">
        <v>594</v>
      </c>
      <c r="D1144" s="2" t="str">
        <f t="shared" si="16"/>
        <v>Error?</v>
      </c>
    </row>
    <row r="1145" spans="1:4" x14ac:dyDescent="0.2">
      <c r="A1145" s="5">
        <v>1084</v>
      </c>
      <c r="B1145" s="138">
        <f>'Expenditures 15-22'!K102</f>
        <v>217253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3241547</v>
      </c>
      <c r="C1152" s="2" t="s">
        <v>594</v>
      </c>
      <c r="D1152" s="2" t="str">
        <f t="shared" si="17"/>
        <v>Error?</v>
      </c>
    </row>
    <row r="1153" spans="1:4" x14ac:dyDescent="0.2">
      <c r="A1153" s="5">
        <v>1092</v>
      </c>
      <c r="B1153" s="138">
        <f>'Expenditures 15-22'!K115</f>
        <v>108899</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50230</v>
      </c>
      <c r="D1237" s="2" t="str">
        <f t="shared" si="18"/>
        <v>Error?</v>
      </c>
    </row>
    <row r="1238" spans="1:4" x14ac:dyDescent="0.2">
      <c r="A1238" s="10">
        <v>1177</v>
      </c>
      <c r="D1238" s="2" t="str">
        <f t="shared" si="18"/>
        <v>OK</v>
      </c>
    </row>
    <row r="1239" spans="1:4" x14ac:dyDescent="0.2">
      <c r="A1239" s="5">
        <v>1178</v>
      </c>
      <c r="B1239" s="138">
        <f>'Expenditures 15-22'!E127</f>
        <v>50230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50230</v>
      </c>
      <c r="C1241" s="2" t="s">
        <v>594</v>
      </c>
      <c r="D1241" s="2" t="str">
        <f t="shared" si="18"/>
        <v>Error?</v>
      </c>
    </row>
    <row r="1242" spans="1:4" x14ac:dyDescent="0.2">
      <c r="A1242" s="5">
        <v>1181</v>
      </c>
      <c r="B1242" s="138">
        <f>'Expenditures 15-22'!E151</f>
        <v>50230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93515</v>
      </c>
      <c r="D1245" s="2" t="str">
        <f t="shared" si="18"/>
        <v>Error?</v>
      </c>
    </row>
    <row r="1246" spans="1:4" x14ac:dyDescent="0.2">
      <c r="A1246" s="10">
        <v>1185</v>
      </c>
      <c r="D1246" s="2" t="str">
        <f t="shared" si="18"/>
        <v>OK</v>
      </c>
    </row>
    <row r="1247" spans="1:4" x14ac:dyDescent="0.2">
      <c r="A1247" s="5">
        <v>1186</v>
      </c>
      <c r="B1247" s="138">
        <f>'Expenditures 15-22'!F127</f>
        <v>93515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93515</v>
      </c>
      <c r="C1249" s="2" t="s">
        <v>594</v>
      </c>
      <c r="D1249" s="2" t="str">
        <f t="shared" si="18"/>
        <v>Error?</v>
      </c>
    </row>
    <row r="1250" spans="1:4" x14ac:dyDescent="0.2">
      <c r="A1250" s="5">
        <v>1189</v>
      </c>
      <c r="B1250" s="138">
        <f>'Expenditures 15-22'!F151</f>
        <v>93515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143745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143745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143745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143745</v>
      </c>
      <c r="C1288" s="2" t="s">
        <v>594</v>
      </c>
      <c r="D1288" s="2" t="str">
        <f t="shared" si="19"/>
        <v>Error?</v>
      </c>
    </row>
    <row r="1289" spans="1:4" x14ac:dyDescent="0.2">
      <c r="A1289" s="5">
        <v>1228</v>
      </c>
      <c r="B1289" s="138">
        <f>'Expenditures 15-22'!K152</f>
        <v>51462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111220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270000</v>
      </c>
      <c r="D1315" s="2" t="str">
        <f t="shared" si="19"/>
        <v>Error?</v>
      </c>
    </row>
    <row r="1316" spans="1:4" x14ac:dyDescent="0.2">
      <c r="A1316" s="5">
        <v>1255</v>
      </c>
      <c r="B1316" s="138">
        <f>'Expenditures 15-22'!H171</f>
        <v>850</v>
      </c>
      <c r="D1316" s="2" t="str">
        <f t="shared" si="19"/>
        <v>Error?</v>
      </c>
    </row>
    <row r="1317" spans="1:4" x14ac:dyDescent="0.2">
      <c r="A1317" s="5">
        <v>1256</v>
      </c>
      <c r="B1317" s="138">
        <f>'Expenditures 15-22'!H172</f>
        <v>382070</v>
      </c>
      <c r="C1317" s="2" t="s">
        <v>594</v>
      </c>
      <c r="D1317" s="2" t="str">
        <f t="shared" si="19"/>
        <v>Error?</v>
      </c>
    </row>
    <row r="1318" spans="1:4" x14ac:dyDescent="0.2">
      <c r="A1318" s="5">
        <v>1257</v>
      </c>
      <c r="B1318" s="138">
        <f>'Expenditures 15-22'!H174</f>
        <v>382070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111220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270000</v>
      </c>
      <c r="C1329" s="2" t="s">
        <v>594</v>
      </c>
      <c r="D1329" s="2" t="str">
        <f t="shared" si="19"/>
        <v>Error?</v>
      </c>
    </row>
    <row r="1330" spans="1:4" x14ac:dyDescent="0.2">
      <c r="A1330" s="5">
        <v>1269</v>
      </c>
      <c r="B1330" s="138">
        <f>'Expenditures 15-22'!K171</f>
        <v>850</v>
      </c>
      <c r="C1330" s="2" t="s">
        <v>594</v>
      </c>
      <c r="D1330" s="2" t="str">
        <f t="shared" si="19"/>
        <v>Error?</v>
      </c>
    </row>
    <row r="1331" spans="1:4" x14ac:dyDescent="0.2">
      <c r="A1331" s="5">
        <v>1270</v>
      </c>
      <c r="B1331" s="138">
        <f>'Expenditures 15-22'!K172</f>
        <v>382070</v>
      </c>
      <c r="C1331" s="2" t="s">
        <v>594</v>
      </c>
      <c r="D1331" s="2" t="str">
        <f t="shared" si="19"/>
        <v>Error?</v>
      </c>
    </row>
    <row r="1332" spans="1:4" x14ac:dyDescent="0.2">
      <c r="A1332" s="5">
        <v>1271</v>
      </c>
      <c r="B1332" s="138">
        <f>'Expenditures 15-22'!K174</f>
        <v>382070</v>
      </c>
      <c r="C1332" s="2" t="s">
        <v>594</v>
      </c>
      <c r="D1332" s="2" t="str">
        <f t="shared" si="19"/>
        <v>Error?</v>
      </c>
    </row>
    <row r="1333" spans="1:4" x14ac:dyDescent="0.2">
      <c r="A1333" s="5">
        <v>1272</v>
      </c>
      <c r="B1333" s="138">
        <f>'Expenditures 15-22'!K175</f>
        <v>17374</v>
      </c>
      <c r="C1333" s="2" t="s">
        <v>594</v>
      </c>
      <c r="D1333" s="2" t="str">
        <f t="shared" si="19"/>
        <v>Error?</v>
      </c>
    </row>
    <row r="1334" spans="1:4" x14ac:dyDescent="0.2">
      <c r="A1334" s="10">
        <v>1273</v>
      </c>
      <c r="D1334" s="2" t="str">
        <f t="shared" si="19"/>
        <v>OK</v>
      </c>
    </row>
    <row r="1335" spans="1:4" x14ac:dyDescent="0.2">
      <c r="A1335" s="5">
        <v>1274</v>
      </c>
      <c r="B1335" s="138">
        <f>'Expenditures 15-22'!C182</f>
        <v>7109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7109</v>
      </c>
      <c r="C1339" s="2" t="s">
        <v>594</v>
      </c>
      <c r="D1339" s="2" t="str">
        <f t="shared" si="19"/>
        <v>Error?</v>
      </c>
    </row>
    <row r="1340" spans="1:4" x14ac:dyDescent="0.2">
      <c r="A1340" s="5">
        <v>1279</v>
      </c>
      <c r="B1340" s="138">
        <f>'Expenditures 15-22'!C210</f>
        <v>7109</v>
      </c>
      <c r="C1340" s="2" t="s">
        <v>594</v>
      </c>
      <c r="D1340" s="2" t="str">
        <f t="shared" si="19"/>
        <v>Error?</v>
      </c>
    </row>
    <row r="1341" spans="1:4" x14ac:dyDescent="0.2">
      <c r="A1341" s="5">
        <v>1280</v>
      </c>
      <c r="B1341" s="138">
        <f>'Expenditures 15-22'!D182</f>
        <v>155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155</v>
      </c>
      <c r="C1345" s="2" t="s">
        <v>594</v>
      </c>
      <c r="D1345" s="2" t="str">
        <f t="shared" si="20"/>
        <v>Error?</v>
      </c>
    </row>
    <row r="1346" spans="1:4" x14ac:dyDescent="0.2">
      <c r="A1346" s="5">
        <v>1285</v>
      </c>
      <c r="B1346" s="138">
        <f>'Expenditures 15-22'!D210</f>
        <v>155</v>
      </c>
      <c r="C1346" s="2" t="s">
        <v>594</v>
      </c>
      <c r="D1346" s="2" t="str">
        <f t="shared" si="20"/>
        <v>Error?</v>
      </c>
    </row>
    <row r="1347" spans="1:4" x14ac:dyDescent="0.2">
      <c r="A1347" s="5">
        <v>1286</v>
      </c>
      <c r="B1347" s="138">
        <f>'Expenditures 15-22'!E182</f>
        <v>191154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191154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191154</v>
      </c>
      <c r="C1353" s="2" t="s">
        <v>594</v>
      </c>
      <c r="D1353" s="2" t="str">
        <f t="shared" si="20"/>
        <v>Error?</v>
      </c>
    </row>
    <row r="1354" spans="1:4" x14ac:dyDescent="0.2">
      <c r="A1354" s="5">
        <v>1293</v>
      </c>
      <c r="B1354" s="138">
        <f>'Expenditures 15-22'!F182</f>
        <v>2754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2754</v>
      </c>
      <c r="C1358" s="2" t="s">
        <v>594</v>
      </c>
      <c r="D1358" s="2" t="str">
        <f t="shared" si="20"/>
        <v>Error?</v>
      </c>
    </row>
    <row r="1359" spans="1:4" x14ac:dyDescent="0.2">
      <c r="A1359" s="5">
        <v>1298</v>
      </c>
      <c r="B1359" s="138">
        <f>'Expenditures 15-22'!F210</f>
        <v>2754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201172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201172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201172</v>
      </c>
      <c r="C1388" s="2" t="s">
        <v>594</v>
      </c>
      <c r="D1388" s="2" t="str">
        <f t="shared" si="20"/>
        <v>Error?</v>
      </c>
    </row>
    <row r="1389" spans="1:4" x14ac:dyDescent="0.2">
      <c r="A1389" s="5">
        <v>1328</v>
      </c>
      <c r="B1389" s="138">
        <f>'Expenditures 15-22'!K211</f>
        <v>51663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v>
      </c>
      <c r="D1407" s="2" t="str">
        <f t="shared" ref="D1407:D1470" si="21">IF(ISBLANK(B1407),"OK",IF(A1407-B1407=0,"OK","Error?"))</f>
        <v>Error?</v>
      </c>
    </row>
    <row r="1408" spans="1:4" x14ac:dyDescent="0.2">
      <c r="A1408" s="5">
        <v>1347</v>
      </c>
      <c r="B1408" s="138">
        <f>'Expenditures 15-22'!D223</f>
        <v>3028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51388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480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427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907</v>
      </c>
      <c r="C1417" s="2" t="s">
        <v>594</v>
      </c>
      <c r="D1417" s="2" t="str">
        <f t="shared" si="21"/>
        <v>Error?</v>
      </c>
    </row>
    <row r="1418" spans="1:4" x14ac:dyDescent="0.2">
      <c r="A1418" s="5">
        <v>1357</v>
      </c>
      <c r="B1418" s="138">
        <f>'Expenditures 15-22'!D240</f>
        <v>63</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63</v>
      </c>
      <c r="C1421" s="2" t="s">
        <v>594</v>
      </c>
      <c r="D1421" s="2" t="str">
        <f t="shared" si="21"/>
        <v>Error?</v>
      </c>
    </row>
    <row r="1422" spans="1:4" x14ac:dyDescent="0.2">
      <c r="A1422" s="5">
        <v>1361</v>
      </c>
      <c r="B1422" s="138">
        <f>'Expenditures 15-22'!D245</f>
        <v>844</v>
      </c>
      <c r="D1422" s="2" t="str">
        <f t="shared" si="21"/>
        <v>Error?</v>
      </c>
    </row>
    <row r="1423" spans="1:4" x14ac:dyDescent="0.2">
      <c r="A1423" s="5">
        <v>1362</v>
      </c>
      <c r="B1423" s="138">
        <f>'Expenditures 15-22'!D246</f>
        <v>742</v>
      </c>
      <c r="D1423" s="2" t="str">
        <f t="shared" si="21"/>
        <v>Error?</v>
      </c>
    </row>
    <row r="1424" spans="1:4" x14ac:dyDescent="0.2">
      <c r="A1424" s="5">
        <v>1363</v>
      </c>
      <c r="B1424" s="138">
        <f>'Expenditures 15-22'!D257</f>
        <v>1586</v>
      </c>
      <c r="C1424" s="2" t="s">
        <v>594</v>
      </c>
      <c r="D1424" s="2" t="str">
        <f t="shared" si="21"/>
        <v>Error?</v>
      </c>
    </row>
    <row r="1425" spans="1:4" x14ac:dyDescent="0.2">
      <c r="A1425" s="5">
        <v>1364</v>
      </c>
      <c r="B1425" s="138">
        <f>'Expenditures 15-22'!D259</f>
        <v>22127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22127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16289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23346</v>
      </c>
      <c r="D1431" s="2" t="str">
        <f t="shared" si="21"/>
        <v>Error?</v>
      </c>
    </row>
    <row r="1432" spans="1:4" x14ac:dyDescent="0.2">
      <c r="A1432" s="5">
        <v>1371</v>
      </c>
      <c r="B1432" s="138">
        <f>'Expenditures 15-22'!D267</f>
        <v>307</v>
      </c>
      <c r="D1432" s="2" t="str">
        <f t="shared" si="21"/>
        <v>Error?</v>
      </c>
    </row>
    <row r="1433" spans="1:4" x14ac:dyDescent="0.2">
      <c r="A1433" s="5">
        <v>1372</v>
      </c>
      <c r="B1433" s="138">
        <f>'Expenditures 15-22'!D268</f>
        <v>6408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46350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71033</v>
      </c>
      <c r="C1446" s="2" t="s">
        <v>594</v>
      </c>
      <c r="D1446" s="2" t="str">
        <f t="shared" si="21"/>
        <v>Error?</v>
      </c>
    </row>
    <row r="1447" spans="1:4" x14ac:dyDescent="0.2">
      <c r="A1447" s="5">
        <v>1386</v>
      </c>
      <c r="B1447" s="138">
        <f>'Expenditures 15-22'!D280</f>
        <v>50</v>
      </c>
      <c r="D1447" s="2" t="str">
        <f t="shared" si="21"/>
        <v>Error?</v>
      </c>
    </row>
    <row r="1448" spans="1:4" x14ac:dyDescent="0.2">
      <c r="A1448" s="5">
        <v>1387</v>
      </c>
      <c r="B1448" s="138">
        <f>'Expenditures 15-22'!D295</f>
        <v>122471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12</v>
      </c>
      <c r="C1471" s="2" t="s">
        <v>594</v>
      </c>
      <c r="D1471" s="2" t="str">
        <f t="shared" ref="D1471:D1534" si="22">IF(ISBLANK(B1471),"OK",IF(A1471-B1471=0,"OK","Error?"))</f>
        <v>Error?</v>
      </c>
    </row>
    <row r="1472" spans="1:4" x14ac:dyDescent="0.2">
      <c r="A1472" s="5">
        <v>1411</v>
      </c>
      <c r="B1472" s="138">
        <f>'Expenditures 15-22'!K223</f>
        <v>3028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51388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480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427</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907</v>
      </c>
      <c r="C1481" s="2" t="s">
        <v>594</v>
      </c>
      <c r="D1481" s="2" t="str">
        <f t="shared" si="22"/>
        <v>Error?</v>
      </c>
    </row>
    <row r="1482" spans="1:4" x14ac:dyDescent="0.2">
      <c r="A1482" s="5">
        <v>1421</v>
      </c>
      <c r="B1482" s="138">
        <f>'Expenditures 15-22'!K240</f>
        <v>63</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63</v>
      </c>
      <c r="C1485" s="2" t="s">
        <v>594</v>
      </c>
      <c r="D1485" s="2" t="str">
        <f t="shared" si="22"/>
        <v>Error?</v>
      </c>
    </row>
    <row r="1486" spans="1:4" x14ac:dyDescent="0.2">
      <c r="A1486" s="5">
        <v>1425</v>
      </c>
      <c r="B1486" s="138">
        <f>'Expenditures 15-22'!K245</f>
        <v>844</v>
      </c>
      <c r="C1486" s="2" t="s">
        <v>594</v>
      </c>
      <c r="D1486" s="2" t="str">
        <f t="shared" si="22"/>
        <v>Error?</v>
      </c>
    </row>
    <row r="1487" spans="1:4" x14ac:dyDescent="0.2">
      <c r="A1487" s="5">
        <v>1426</v>
      </c>
      <c r="B1487" s="138">
        <f>'Expenditures 15-22'!K246</f>
        <v>742</v>
      </c>
      <c r="C1487" s="2" t="s">
        <v>594</v>
      </c>
      <c r="D1487" s="2" t="str">
        <f t="shared" si="22"/>
        <v>Error?</v>
      </c>
    </row>
    <row r="1488" spans="1:4" x14ac:dyDescent="0.2">
      <c r="A1488" s="5">
        <v>1427</v>
      </c>
      <c r="B1488" s="138">
        <f>'Expenditures 15-22'!K257</f>
        <v>1586</v>
      </c>
      <c r="C1488" s="2" t="s">
        <v>594</v>
      </c>
      <c r="D1488" s="2" t="str">
        <f t="shared" si="22"/>
        <v>Error?</v>
      </c>
    </row>
    <row r="1489" spans="1:4" x14ac:dyDescent="0.2">
      <c r="A1489" s="5">
        <v>1428</v>
      </c>
      <c r="B1489" s="138">
        <f>'Expenditures 15-22'!K259</f>
        <v>22127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22127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16289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23346</v>
      </c>
      <c r="C1495" s="2" t="s">
        <v>594</v>
      </c>
      <c r="D1495" s="2" t="str">
        <f t="shared" si="22"/>
        <v>Error?</v>
      </c>
    </row>
    <row r="1496" spans="1:4" x14ac:dyDescent="0.2">
      <c r="A1496" s="5">
        <v>1435</v>
      </c>
      <c r="B1496" s="138">
        <f>'Expenditures 15-22'!K267</f>
        <v>307</v>
      </c>
      <c r="C1496" s="2" t="s">
        <v>594</v>
      </c>
      <c r="D1496" s="2" t="str">
        <f t="shared" si="22"/>
        <v>Error?</v>
      </c>
    </row>
    <row r="1497" spans="1:4" x14ac:dyDescent="0.2">
      <c r="A1497" s="5">
        <v>1436</v>
      </c>
      <c r="B1497" s="138">
        <f>'Expenditures 15-22'!K268</f>
        <v>6408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46350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71033</v>
      </c>
      <c r="C1510" s="2" t="s">
        <v>594</v>
      </c>
      <c r="D1510" s="2" t="str">
        <f t="shared" si="22"/>
        <v>Error?</v>
      </c>
    </row>
    <row r="1511" spans="1:4" x14ac:dyDescent="0.2">
      <c r="A1511" s="5">
        <v>1450</v>
      </c>
      <c r="B1511" s="138">
        <f>'Expenditures 15-22'!K280</f>
        <v>50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122471</v>
      </c>
      <c r="C1517" s="2" t="s">
        <v>594</v>
      </c>
      <c r="D1517" s="2" t="str">
        <f t="shared" si="22"/>
        <v>Error?</v>
      </c>
    </row>
    <row r="1518" spans="1:4" x14ac:dyDescent="0.2">
      <c r="A1518" s="5">
        <v>1457</v>
      </c>
      <c r="B1518" s="138">
        <f>'Expenditures 15-22'!K296</f>
        <v>10783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49134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49134</v>
      </c>
      <c r="C1535" s="2" t="s">
        <v>594</v>
      </c>
      <c r="D1535" s="2" t="str">
        <f t="shared" ref="D1535:D1598" si="23">IF(ISBLANK(B1535),"OK",IF(A1535-B1535=0,"OK","Error?"))</f>
        <v>Error?</v>
      </c>
    </row>
    <row r="1536" spans="1:4" x14ac:dyDescent="0.2">
      <c r="A1536" s="5">
        <v>1475</v>
      </c>
      <c r="B1536" s="138">
        <f>'Expenditures 15-22'!E312</f>
        <v>49134</v>
      </c>
      <c r="C1536" s="2" t="s">
        <v>594</v>
      </c>
      <c r="D1536" s="2" t="str">
        <f t="shared" si="23"/>
        <v>Error?</v>
      </c>
    </row>
    <row r="1537" spans="1:4" x14ac:dyDescent="0.2">
      <c r="A1537" s="5">
        <v>1476</v>
      </c>
      <c r="B1537" s="138">
        <f>'Expenditures 15-22'!F301</f>
        <v>559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559</v>
      </c>
      <c r="C1541" s="2" t="s">
        <v>594</v>
      </c>
      <c r="D1541" s="2" t="str">
        <f t="shared" si="23"/>
        <v>Error?</v>
      </c>
    </row>
    <row r="1542" spans="1:4" x14ac:dyDescent="0.2">
      <c r="A1542" s="5">
        <v>1481</v>
      </c>
      <c r="B1542" s="138">
        <f>'Expenditures 15-22'!F312</f>
        <v>559</v>
      </c>
      <c r="C1542" s="2" t="s">
        <v>594</v>
      </c>
      <c r="D1542" s="2" t="str">
        <f t="shared" si="23"/>
        <v>Error?</v>
      </c>
    </row>
    <row r="1543" spans="1:4" x14ac:dyDescent="0.2">
      <c r="A1543" s="5">
        <v>1482</v>
      </c>
      <c r="B1543" s="138">
        <f>'Expenditures 15-22'!G301</f>
        <v>1272067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1272067</v>
      </c>
      <c r="C1547" s="2" t="s">
        <v>594</v>
      </c>
      <c r="D1547" s="2" t="str">
        <f t="shared" si="23"/>
        <v>Error?</v>
      </c>
    </row>
    <row r="1548" spans="1:4" x14ac:dyDescent="0.2">
      <c r="A1548" s="5">
        <v>1487</v>
      </c>
      <c r="B1548" s="138">
        <f>'Expenditures 15-22'!G312</f>
        <v>1272067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1321760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1321760</v>
      </c>
      <c r="C1559" s="2" t="s">
        <v>594</v>
      </c>
      <c r="D1559" s="2" t="str">
        <f t="shared" si="23"/>
        <v>Error?</v>
      </c>
    </row>
    <row r="1560" spans="1:4" x14ac:dyDescent="0.2">
      <c r="A1560" s="5">
        <v>1499</v>
      </c>
      <c r="B1560" s="138">
        <f>'Expenditures 15-22'!K312</f>
        <v>1321760</v>
      </c>
      <c r="C1560" s="2" t="s">
        <v>594</v>
      </c>
      <c r="D1560" s="2" t="str">
        <f t="shared" si="23"/>
        <v>Error?</v>
      </c>
    </row>
    <row r="1561" spans="1:4" x14ac:dyDescent="0.2">
      <c r="A1561" s="5">
        <v>1500</v>
      </c>
      <c r="B1561" s="138">
        <f>'Expenditures 15-22'!K313</f>
        <v>-1318543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107083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215982</v>
      </c>
      <c r="C1630" s="2" t="s">
        <v>594</v>
      </c>
      <c r="D1630" s="2" t="str">
        <f t="shared" si="24"/>
        <v>Error?</v>
      </c>
    </row>
    <row r="1631" spans="1:4" x14ac:dyDescent="0.2">
      <c r="A1631" s="5">
        <v>1570</v>
      </c>
      <c r="B1631" s="138">
        <f>'Acct Summary 7-8'!D79</f>
        <v>249625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301087</v>
      </c>
      <c r="C1644" s="2" t="s">
        <v>594</v>
      </c>
      <c r="D1644" s="2" t="str">
        <f t="shared" si="24"/>
        <v>Error?</v>
      </c>
    </row>
    <row r="1645" spans="1:4" x14ac:dyDescent="0.2">
      <c r="A1645" s="5">
        <v>1584</v>
      </c>
      <c r="B1645" s="138">
        <f>'Acct Summary 7-8'!E79</f>
        <v>78913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96287</v>
      </c>
      <c r="C1658" s="2" t="s">
        <v>594</v>
      </c>
      <c r="D1658" s="2" t="str">
        <f t="shared" si="24"/>
        <v>Error?</v>
      </c>
    </row>
    <row r="1659" spans="1:4" x14ac:dyDescent="0.2">
      <c r="A1659" s="5">
        <v>1598</v>
      </c>
      <c r="B1659" s="138">
        <f>'Acct Summary 7-8'!F79</f>
        <v>264233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315896</v>
      </c>
      <c r="C1672" s="2" t="s">
        <v>594</v>
      </c>
      <c r="D1672" s="2" t="str">
        <f t="shared" si="25"/>
        <v>Error?</v>
      </c>
    </row>
    <row r="1673" spans="1:4" x14ac:dyDescent="0.2">
      <c r="A1673" s="5">
        <v>1612</v>
      </c>
      <c r="B1673" s="138">
        <f>'Acct Summary 7-8'!G79</f>
        <v>49462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60245</v>
      </c>
      <c r="C1686" s="2" t="s">
        <v>594</v>
      </c>
      <c r="D1686" s="2" t="str">
        <f t="shared" si="25"/>
        <v>Error?</v>
      </c>
    </row>
    <row r="1687" spans="1:4" x14ac:dyDescent="0.2">
      <c r="A1687" s="5">
        <v>1626</v>
      </c>
      <c r="B1687" s="138">
        <f>'Acct Summary 7-8'!H79</f>
        <v>2359192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1040649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980214</v>
      </c>
      <c r="C1744" s="2" t="s">
        <v>594</v>
      </c>
      <c r="D1744" s="2" t="str">
        <f t="shared" si="26"/>
        <v>Error?</v>
      </c>
    </row>
    <row r="1745" spans="1:5" x14ac:dyDescent="0.2">
      <c r="A1745" s="5">
        <v>1684</v>
      </c>
      <c r="B1745" s="138">
        <f>'Tax Sched 23'!B5</f>
        <v>183824</v>
      </c>
      <c r="C1745" s="2" t="s">
        <v>594</v>
      </c>
      <c r="D1745" s="2" t="str">
        <f t="shared" si="26"/>
        <v>Error?</v>
      </c>
    </row>
    <row r="1746" spans="1:5" x14ac:dyDescent="0.2">
      <c r="A1746" s="5">
        <v>1685</v>
      </c>
      <c r="B1746" s="138">
        <f>'Tax Sched 23'!B6</f>
        <v>97778</v>
      </c>
      <c r="C1746" s="2" t="s">
        <v>594</v>
      </c>
      <c r="D1746" s="2" t="str">
        <f t="shared" si="26"/>
        <v>Error?</v>
      </c>
    </row>
    <row r="1747" spans="1:5" x14ac:dyDescent="0.2">
      <c r="A1747" s="5">
        <v>1686</v>
      </c>
      <c r="B1747" s="138">
        <f>'Tax Sched 23'!B7</f>
        <v>116692</v>
      </c>
      <c r="C1747" s="2" t="s">
        <v>594</v>
      </c>
      <c r="D1747" s="2" t="str">
        <f t="shared" si="26"/>
        <v>Error?</v>
      </c>
    </row>
    <row r="1748" spans="1:5" x14ac:dyDescent="0.2">
      <c r="A1748" s="5">
        <v>1687</v>
      </c>
      <c r="B1748" s="138">
        <f>'Tax Sched 23'!B8</f>
        <v>62040</v>
      </c>
      <c r="C1748" s="2" t="s">
        <v>594</v>
      </c>
      <c r="D1748" s="2" t="str">
        <f t="shared" si="26"/>
        <v>Error?</v>
      </c>
    </row>
    <row r="1749" spans="1:5" x14ac:dyDescent="0.2">
      <c r="A1749" s="5">
        <v>1688</v>
      </c>
      <c r="B1749" s="138">
        <f>'Tax Sched 23'!B10</f>
        <v>12637</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23309</v>
      </c>
      <c r="C1752" s="2" t="s">
        <v>594</v>
      </c>
      <c r="D1752" s="2" t="str">
        <f t="shared" si="26"/>
        <v>Error?</v>
      </c>
    </row>
    <row r="1753" spans="1:5" x14ac:dyDescent="0.2">
      <c r="A1753" s="5">
        <v>1692</v>
      </c>
      <c r="B1753" s="138">
        <f>'Tax Sched 23'!B12</f>
        <v>10097</v>
      </c>
      <c r="C1753" s="2" t="s">
        <v>594</v>
      </c>
      <c r="D1753" s="2" t="str">
        <f t="shared" si="26"/>
        <v>Error?</v>
      </c>
    </row>
    <row r="1754" spans="1:5" x14ac:dyDescent="0.2">
      <c r="A1754" s="5">
        <v>1693</v>
      </c>
      <c r="B1754" s="138">
        <f>'Tax Sched 23'!B14</f>
        <v>23249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1557225</v>
      </c>
      <c r="C1759" s="2" t="s">
        <v>594</v>
      </c>
      <c r="D1759" s="2" t="str">
        <f t="shared" si="26"/>
        <v>Error?</v>
      </c>
    </row>
    <row r="1760" spans="1:5" x14ac:dyDescent="0.2">
      <c r="A1760" s="5">
        <v>1699</v>
      </c>
      <c r="B1760" s="138">
        <f>'Tax Sched 23'!D4</f>
        <v>980214</v>
      </c>
      <c r="C1760" s="2" t="s">
        <v>594</v>
      </c>
      <c r="D1760" s="2" t="str">
        <f t="shared" si="26"/>
        <v>Error?</v>
      </c>
    </row>
    <row r="1761" spans="1:5" x14ac:dyDescent="0.2">
      <c r="A1761" s="5">
        <v>1700</v>
      </c>
      <c r="B1761" s="138">
        <f>'Tax Sched 23'!D5</f>
        <v>183824</v>
      </c>
      <c r="C1761" s="2" t="s">
        <v>594</v>
      </c>
      <c r="D1761" s="2" t="str">
        <f t="shared" si="26"/>
        <v>Error?</v>
      </c>
    </row>
    <row r="1762" spans="1:5" s="8" customFormat="1" x14ac:dyDescent="0.2">
      <c r="A1762" s="5">
        <v>1701</v>
      </c>
      <c r="B1762" s="138">
        <f>'Tax Sched 23'!D6</f>
        <v>97778</v>
      </c>
      <c r="C1762" s="2" t="s">
        <v>594</v>
      </c>
      <c r="D1762" s="2" t="str">
        <f t="shared" si="26"/>
        <v>Error?</v>
      </c>
      <c r="E1762" s="9"/>
    </row>
    <row r="1763" spans="1:5" x14ac:dyDescent="0.2">
      <c r="A1763" s="5">
        <v>1702</v>
      </c>
      <c r="B1763" s="138">
        <f>'Tax Sched 23'!D7</f>
        <v>116692</v>
      </c>
      <c r="C1763" s="2" t="s">
        <v>594</v>
      </c>
      <c r="D1763" s="2" t="str">
        <f t="shared" si="26"/>
        <v>Error?</v>
      </c>
    </row>
    <row r="1764" spans="1:5" x14ac:dyDescent="0.2">
      <c r="A1764" s="5">
        <v>1703</v>
      </c>
      <c r="B1764" s="138">
        <f>'Tax Sched 23'!D8</f>
        <v>62040</v>
      </c>
      <c r="C1764" s="2" t="s">
        <v>594</v>
      </c>
      <c r="D1764" s="2" t="str">
        <f t="shared" si="26"/>
        <v>Error?</v>
      </c>
    </row>
    <row r="1765" spans="1:5" x14ac:dyDescent="0.2">
      <c r="A1765" s="5">
        <v>1704</v>
      </c>
      <c r="B1765" s="138">
        <f>'Tax Sched 23'!D10</f>
        <v>12637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23309</v>
      </c>
      <c r="C1768" s="2" t="s">
        <v>594</v>
      </c>
      <c r="D1768" s="2" t="str">
        <f t="shared" si="26"/>
        <v>Error?</v>
      </c>
    </row>
    <row r="1769" spans="1:5" x14ac:dyDescent="0.2">
      <c r="A1769" s="5">
        <v>1708</v>
      </c>
      <c r="B1769" s="138">
        <f>'Tax Sched 23'!D12</f>
        <v>10097</v>
      </c>
      <c r="C1769" s="2" t="s">
        <v>594</v>
      </c>
      <c r="D1769" s="2" t="str">
        <f t="shared" si="26"/>
        <v>Error?</v>
      </c>
    </row>
    <row r="1770" spans="1:5" x14ac:dyDescent="0.2">
      <c r="A1770" s="5">
        <v>1709</v>
      </c>
      <c r="B1770" s="138">
        <f>'Tax Sched 23'!D14</f>
        <v>23249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1557225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1005056</v>
      </c>
      <c r="C1792" s="2" t="s">
        <v>594</v>
      </c>
      <c r="D1792" s="2" t="str">
        <f t="shared" si="27"/>
        <v>Error?</v>
      </c>
    </row>
    <row r="1793" spans="1:4" x14ac:dyDescent="0.2">
      <c r="A1793" s="5">
        <v>1732</v>
      </c>
      <c r="B1793" s="138">
        <f>'Tax Sched 23'!F5</f>
        <v>188487</v>
      </c>
      <c r="C1793" s="2" t="s">
        <v>594</v>
      </c>
      <c r="D1793" s="2" t="str">
        <f t="shared" si="27"/>
        <v>Error?</v>
      </c>
    </row>
    <row r="1794" spans="1:4" x14ac:dyDescent="0.2">
      <c r="A1794" s="5">
        <v>1733</v>
      </c>
      <c r="B1794" s="138">
        <f>'Tax Sched 23'!F6</f>
        <v>99687</v>
      </c>
      <c r="C1794" s="2" t="s">
        <v>594</v>
      </c>
      <c r="D1794" s="2" t="str">
        <f t="shared" si="27"/>
        <v>Error?</v>
      </c>
    </row>
    <row r="1795" spans="1:4" x14ac:dyDescent="0.2">
      <c r="A1795" s="5">
        <v>1734</v>
      </c>
      <c r="B1795" s="138">
        <f>'Tax Sched 23'!F7</f>
        <v>119657</v>
      </c>
      <c r="C1795" s="2" t="s">
        <v>594</v>
      </c>
      <c r="D1795" s="2" t="str">
        <f t="shared" si="27"/>
        <v>Error?</v>
      </c>
    </row>
    <row r="1796" spans="1:4" x14ac:dyDescent="0.2">
      <c r="A1796" s="5">
        <v>1735</v>
      </c>
      <c r="B1796" s="138">
        <f>'Tax Sched 23'!F8</f>
        <v>63617</v>
      </c>
      <c r="C1796" s="2" t="s">
        <v>594</v>
      </c>
      <c r="D1796" s="2" t="str">
        <f t="shared" si="27"/>
        <v>Error?</v>
      </c>
    </row>
    <row r="1797" spans="1:4" x14ac:dyDescent="0.2">
      <c r="A1797" s="5">
        <v>1736</v>
      </c>
      <c r="B1797" s="138">
        <f>'Tax Sched 23'!F10</f>
        <v>12959</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23899</v>
      </c>
      <c r="C1800" s="2" t="s">
        <v>594</v>
      </c>
      <c r="D1800" s="2" t="str">
        <f t="shared" si="27"/>
        <v>Error?</v>
      </c>
    </row>
    <row r="1801" spans="1:4" x14ac:dyDescent="0.2">
      <c r="A1801" s="5">
        <v>1740</v>
      </c>
      <c r="B1801" s="138">
        <f>'Tax Sched 23'!F12</f>
        <v>10354</v>
      </c>
      <c r="C1801" s="2" t="s">
        <v>594</v>
      </c>
      <c r="D1801" s="2" t="str">
        <f t="shared" si="27"/>
        <v>Error?</v>
      </c>
    </row>
    <row r="1802" spans="1:4" x14ac:dyDescent="0.2">
      <c r="A1802" s="5">
        <v>1741</v>
      </c>
      <c r="B1802" s="138">
        <f>'Tax Sched 23'!F14</f>
        <v>23842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1596144</v>
      </c>
      <c r="C1807" s="2" t="s">
        <v>594</v>
      </c>
      <c r="D1807" s="2" t="str">
        <f t="shared" si="27"/>
        <v>Error?</v>
      </c>
    </row>
    <row r="1808" spans="1:4" x14ac:dyDescent="0.2">
      <c r="A1808" s="5">
        <v>1747</v>
      </c>
      <c r="B1808" s="138">
        <f>'Tax Sched 23'!E4</f>
        <v>1005056</v>
      </c>
      <c r="D1808" s="2" t="str">
        <f t="shared" si="27"/>
        <v>Error?</v>
      </c>
    </row>
    <row r="1809" spans="1:4" x14ac:dyDescent="0.2">
      <c r="A1809" s="5">
        <v>1748</v>
      </c>
      <c r="B1809" s="138">
        <f>'Tax Sched 23'!E5</f>
        <v>188487</v>
      </c>
      <c r="D1809" s="2" t="str">
        <f t="shared" si="27"/>
        <v>Error?</v>
      </c>
    </row>
    <row r="1810" spans="1:4" x14ac:dyDescent="0.2">
      <c r="A1810" s="5">
        <v>1749</v>
      </c>
      <c r="B1810" s="138">
        <f>'Tax Sched 23'!E6</f>
        <v>99687</v>
      </c>
      <c r="D1810" s="2" t="str">
        <f t="shared" si="27"/>
        <v>Error?</v>
      </c>
    </row>
    <row r="1811" spans="1:4" x14ac:dyDescent="0.2">
      <c r="A1811" s="5">
        <v>1750</v>
      </c>
      <c r="B1811" s="138">
        <f>'Tax Sched 23'!E7</f>
        <v>119657</v>
      </c>
      <c r="D1811" s="2" t="str">
        <f t="shared" si="27"/>
        <v>Error?</v>
      </c>
    </row>
    <row r="1812" spans="1:4" x14ac:dyDescent="0.2">
      <c r="A1812" s="5">
        <v>1751</v>
      </c>
      <c r="B1812" s="138">
        <f>'Tax Sched 23'!E8</f>
        <v>63617</v>
      </c>
      <c r="D1812" s="2" t="str">
        <f t="shared" si="27"/>
        <v>Error?</v>
      </c>
    </row>
    <row r="1813" spans="1:4" x14ac:dyDescent="0.2">
      <c r="A1813" s="5">
        <v>1752</v>
      </c>
      <c r="B1813" s="138">
        <f>'Tax Sched 23'!E10</f>
        <v>12959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23899</v>
      </c>
      <c r="D1816" s="2" t="str">
        <f t="shared" si="27"/>
        <v>Error?</v>
      </c>
    </row>
    <row r="1817" spans="1:4" x14ac:dyDescent="0.2">
      <c r="A1817" s="5">
        <v>1756</v>
      </c>
      <c r="B1817" s="138">
        <f>'Tax Sched 23'!E12</f>
        <v>10354</v>
      </c>
      <c r="D1817" s="2" t="str">
        <f t="shared" si="27"/>
        <v>Error?</v>
      </c>
    </row>
    <row r="1818" spans="1:4" x14ac:dyDescent="0.2">
      <c r="A1818" s="5">
        <v>1757</v>
      </c>
      <c r="B1818" s="138">
        <f>'Tax Sched 23'!E14</f>
        <v>23842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1596144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3040000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23249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70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23319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23319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24902</v>
      </c>
      <c r="D2008" s="2" t="str">
        <f t="shared" si="30"/>
        <v>Error?</v>
      </c>
    </row>
    <row r="2009" spans="1:4" x14ac:dyDescent="0.2">
      <c r="A2009" s="5">
        <v>1948</v>
      </c>
      <c r="B2009" s="138">
        <f>'Cap Outlay Deprec 26'!C8</f>
        <v>5693339</v>
      </c>
      <c r="D2009" s="2" t="str">
        <f t="shared" si="30"/>
        <v>Error?</v>
      </c>
    </row>
    <row r="2010" spans="1:4" x14ac:dyDescent="0.2">
      <c r="A2010" s="5">
        <v>1949</v>
      </c>
      <c r="B2010" s="138">
        <f>'Cap Outlay Deprec 26'!C10</f>
        <v>178390</v>
      </c>
      <c r="D2010" s="2" t="str">
        <f t="shared" si="30"/>
        <v>Error?</v>
      </c>
    </row>
    <row r="2011" spans="1:4" x14ac:dyDescent="0.2">
      <c r="A2011" s="5">
        <v>1950</v>
      </c>
      <c r="B2011" s="138">
        <f>'Cap Outlay Deprec 26'!C12</f>
        <v>1911644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7918374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1122446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15120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2262048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967459</v>
      </c>
      <c r="C2025" s="2" t="s">
        <v>594</v>
      </c>
      <c r="D2025" s="2" t="str">
        <f t="shared" si="30"/>
        <v>Error?</v>
      </c>
    </row>
    <row r="2026" spans="1:4" x14ac:dyDescent="0.2">
      <c r="A2026" s="5">
        <v>1965</v>
      </c>
      <c r="B2026" s="138">
        <f>'Cap Outlay Deprec 26'!F5</f>
        <v>24902</v>
      </c>
      <c r="C2026" s="2" t="s">
        <v>594</v>
      </c>
      <c r="D2026" s="2" t="str">
        <f t="shared" si="30"/>
        <v>Error?</v>
      </c>
    </row>
    <row r="2027" spans="1:4" x14ac:dyDescent="0.2">
      <c r="A2027" s="5">
        <v>1966</v>
      </c>
      <c r="B2027" s="138">
        <f>'Cap Outlay Deprec 26'!F8</f>
        <v>6815785</v>
      </c>
      <c r="C2027" s="2" t="s">
        <v>594</v>
      </c>
      <c r="D2027" s="2" t="str">
        <f t="shared" si="30"/>
        <v>Error?</v>
      </c>
    </row>
    <row r="2028" spans="1:4" x14ac:dyDescent="0.2">
      <c r="A2028" s="5">
        <v>1967</v>
      </c>
      <c r="B2028" s="138">
        <f>'Cap Outlay Deprec 26'!F10</f>
        <v>178390</v>
      </c>
      <c r="C2028" s="2" t="s">
        <v>594</v>
      </c>
      <c r="D2028" s="2" t="str">
        <f t="shared" si="30"/>
        <v>Error?</v>
      </c>
    </row>
    <row r="2029" spans="1:4" x14ac:dyDescent="0.2">
      <c r="A2029" s="5">
        <v>1968</v>
      </c>
      <c r="B2029" s="138">
        <f>'Cap Outlay Deprec 26'!F12</f>
        <v>1926764</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9212963</v>
      </c>
      <c r="C2031" s="2" t="s">
        <v>594</v>
      </c>
      <c r="D2031" s="2" t="str">
        <f t="shared" si="30"/>
        <v>Error?</v>
      </c>
    </row>
    <row r="2032" spans="1:4" x14ac:dyDescent="0.2">
      <c r="A2032" s="10">
        <v>1971</v>
      </c>
      <c r="D2032" s="2" t="str">
        <f t="shared" si="30"/>
        <v>OK</v>
      </c>
    </row>
    <row r="2033" spans="1:4" x14ac:dyDescent="0.2">
      <c r="A2033" s="5">
        <v>1972</v>
      </c>
      <c r="B2033" s="138">
        <f>'Cap Outlay Deprec 26'!H8</f>
        <v>2401244</v>
      </c>
      <c r="D2033" s="2" t="str">
        <f t="shared" si="30"/>
        <v>Error?</v>
      </c>
    </row>
    <row r="2034" spans="1:4" x14ac:dyDescent="0.2">
      <c r="A2034" s="5">
        <v>1973</v>
      </c>
      <c r="B2034" s="138">
        <f>'Cap Outlay Deprec 26'!H10</f>
        <v>114457</v>
      </c>
      <c r="D2034" s="2" t="str">
        <f t="shared" si="30"/>
        <v>Error?</v>
      </c>
    </row>
    <row r="2035" spans="1:4" x14ac:dyDescent="0.2">
      <c r="A2035" s="5">
        <v>1974</v>
      </c>
      <c r="B2035" s="138">
        <f>'Cap Outlay Deprec 26'!H12</f>
        <v>1642931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4158632</v>
      </c>
      <c r="C2037" s="2" t="s">
        <v>594</v>
      </c>
      <c r="D2037" s="2" t="str">
        <f t="shared" si="30"/>
        <v>Error?</v>
      </c>
    </row>
    <row r="2038" spans="1:4" x14ac:dyDescent="0.2">
      <c r="A2038" s="10">
        <v>1977</v>
      </c>
      <c r="D2038" s="2" t="str">
        <f t="shared" si="30"/>
        <v>OK</v>
      </c>
    </row>
    <row r="2039" spans="1:4" x14ac:dyDescent="0.2">
      <c r="A2039" s="5">
        <v>1978</v>
      </c>
      <c r="B2039" s="138">
        <f>'Cap Outlay Deprec 26'!I8</f>
        <v>143460</v>
      </c>
      <c r="D2039" s="2" t="str">
        <f t="shared" si="30"/>
        <v>Error?</v>
      </c>
    </row>
    <row r="2040" spans="1:4" x14ac:dyDescent="0.2">
      <c r="A2040" s="5">
        <v>1979</v>
      </c>
      <c r="B2040" s="138">
        <f>'Cap Outlay Deprec 26'!I10</f>
        <v>6049</v>
      </c>
      <c r="D2040" s="2" t="str">
        <f t="shared" si="30"/>
        <v>Error?</v>
      </c>
    </row>
    <row r="2041" spans="1:4" x14ac:dyDescent="0.2">
      <c r="A2041" s="5">
        <v>1980</v>
      </c>
      <c r="B2041" s="138">
        <f>'Cap Outlay Deprec 26'!I12</f>
        <v>48974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198483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2544704</v>
      </c>
      <c r="C2051" s="2" t="s">
        <v>594</v>
      </c>
      <c r="D2051" s="2" t="str">
        <f t="shared" si="31"/>
        <v>Error?</v>
      </c>
    </row>
    <row r="2052" spans="1:4" x14ac:dyDescent="0.2">
      <c r="A2052" s="5">
        <v>1991</v>
      </c>
      <c r="B2052" s="138">
        <f>'Cap Outlay Deprec 26'!K10</f>
        <v>120506</v>
      </c>
      <c r="C2052" s="2" t="s">
        <v>594</v>
      </c>
      <c r="D2052" s="2" t="str">
        <f t="shared" si="31"/>
        <v>Error?</v>
      </c>
    </row>
    <row r="2053" spans="1:4" x14ac:dyDescent="0.2">
      <c r="A2053" s="5">
        <v>1992</v>
      </c>
      <c r="B2053" s="138">
        <f>'Cap Outlay Deprec 26'!K12</f>
        <v>1691905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4357115</v>
      </c>
      <c r="C2055" s="2" t="s">
        <v>594</v>
      </c>
      <c r="D2055" s="2" t="str">
        <f t="shared" si="31"/>
        <v>Error?</v>
      </c>
    </row>
    <row r="2056" spans="1:4" x14ac:dyDescent="0.2">
      <c r="A2056" s="5">
        <v>1995</v>
      </c>
      <c r="B2056" s="138">
        <f>'Cap Outlay Deprec 26'!L5</f>
        <v>24902</v>
      </c>
      <c r="C2056" s="2" t="s">
        <v>594</v>
      </c>
      <c r="D2056" s="2" t="str">
        <f t="shared" si="31"/>
        <v>Error?</v>
      </c>
    </row>
    <row r="2057" spans="1:4" x14ac:dyDescent="0.2">
      <c r="A2057" s="5">
        <v>1996</v>
      </c>
      <c r="B2057" s="138">
        <f>'Cap Outlay Deprec 26'!L8</f>
        <v>4271081</v>
      </c>
      <c r="C2057" s="2" t="s">
        <v>594</v>
      </c>
      <c r="D2057" s="2" t="str">
        <f t="shared" si="31"/>
        <v>Error?</v>
      </c>
    </row>
    <row r="2058" spans="1:4" x14ac:dyDescent="0.2">
      <c r="A2058" s="5">
        <v>1997</v>
      </c>
      <c r="B2058" s="138">
        <f>'Cap Outlay Deprec 26'!L10</f>
        <v>57884</v>
      </c>
      <c r="C2058" s="2" t="s">
        <v>594</v>
      </c>
      <c r="D2058" s="2" t="str">
        <f t="shared" si="31"/>
        <v>Error?</v>
      </c>
    </row>
    <row r="2059" spans="1:4" x14ac:dyDescent="0.2">
      <c r="A2059" s="5">
        <v>1998</v>
      </c>
      <c r="B2059" s="138">
        <f>'Cap Outlay Deprec 26'!L12</f>
        <v>234859</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4855848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111978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111978</v>
      </c>
      <c r="C2088" s="2" t="s">
        <v>594</v>
      </c>
      <c r="D2088" s="2" t="str">
        <f t="shared" si="31"/>
        <v>Error?</v>
      </c>
    </row>
    <row r="2089" spans="1:4" x14ac:dyDescent="0.2">
      <c r="A2089" s="5">
        <v>2028</v>
      </c>
      <c r="B2089" s="138">
        <f>'Expenditures 15-22'!K92</f>
        <v>105275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297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37030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1040649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1222471</v>
      </c>
      <c r="C2551" s="2" t="s">
        <v>594</v>
      </c>
      <c r="D2551" s="2" t="str">
        <f t="shared" si="38"/>
        <v>Error?</v>
      </c>
    </row>
    <row r="2552" spans="1:4" x14ac:dyDescent="0.2">
      <c r="A2552" s="10">
        <v>2491</v>
      </c>
      <c r="D2552" s="2" t="str">
        <f t="shared" si="38"/>
        <v>OK</v>
      </c>
    </row>
    <row r="2553" spans="1:4" x14ac:dyDescent="0.2">
      <c r="A2553" s="5">
        <v>2492</v>
      </c>
      <c r="B2553" s="138">
        <f>'Acct Summary 7-8'!C6</f>
        <v>1871570</v>
      </c>
      <c r="C2553" s="2" t="s">
        <v>594</v>
      </c>
      <c r="D2553" s="2" t="str">
        <f t="shared" si="38"/>
        <v>Error?</v>
      </c>
    </row>
    <row r="2554" spans="1:4" x14ac:dyDescent="0.2">
      <c r="A2554" s="5">
        <v>2493</v>
      </c>
      <c r="B2554" s="138">
        <f>'Acct Summary 7-8'!C7</f>
        <v>256405</v>
      </c>
      <c r="C2554" s="2" t="s">
        <v>594</v>
      </c>
      <c r="D2554" s="2" t="str">
        <f t="shared" si="38"/>
        <v>Error?</v>
      </c>
    </row>
    <row r="2555" spans="1:4" x14ac:dyDescent="0.2">
      <c r="A2555" s="5">
        <v>2494</v>
      </c>
      <c r="B2555" s="138">
        <f>'Acct Summary 7-8'!C8</f>
        <v>3350446</v>
      </c>
      <c r="C2555" s="2" t="s">
        <v>594</v>
      </c>
      <c r="D2555" s="2" t="str">
        <f t="shared" si="38"/>
        <v>Error?</v>
      </c>
    </row>
    <row r="2556" spans="1:4" x14ac:dyDescent="0.2">
      <c r="A2556" s="5">
        <v>2495</v>
      </c>
      <c r="B2556" s="138">
        <f>'Acct Summary 7-8'!C12</f>
        <v>2100677</v>
      </c>
      <c r="C2556" s="2" t="s">
        <v>594</v>
      </c>
      <c r="D2556" s="2" t="str">
        <f t="shared" si="38"/>
        <v>Error?</v>
      </c>
    </row>
    <row r="2557" spans="1:4" x14ac:dyDescent="0.2">
      <c r="A2557" s="5">
        <v>2496</v>
      </c>
      <c r="B2557" s="138">
        <f>'Acct Summary 7-8'!C13</f>
        <v>918423</v>
      </c>
      <c r="C2557" s="2" t="s">
        <v>594</v>
      </c>
      <c r="D2557" s="2" t="str">
        <f t="shared" si="38"/>
        <v>Error?</v>
      </c>
    </row>
    <row r="2558" spans="1:4" x14ac:dyDescent="0.2">
      <c r="A2558" s="5">
        <v>2497</v>
      </c>
      <c r="B2558" s="138">
        <f>'Acct Summary 7-8'!C14</f>
        <v>5194</v>
      </c>
      <c r="C2558" s="2" t="s">
        <v>594</v>
      </c>
      <c r="D2558" s="2" t="str">
        <f t="shared" si="38"/>
        <v>Error?</v>
      </c>
    </row>
    <row r="2559" spans="1:4" x14ac:dyDescent="0.2">
      <c r="A2559" s="5">
        <v>2498</v>
      </c>
      <c r="B2559" s="138">
        <f>'Acct Summary 7-8'!C15</f>
        <v>217253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3241547</v>
      </c>
      <c r="C2561" s="2" t="s">
        <v>594</v>
      </c>
      <c r="D2561" s="2" t="str">
        <f t="shared" si="39"/>
        <v>Error?</v>
      </c>
    </row>
    <row r="2562" spans="1:4" x14ac:dyDescent="0.2">
      <c r="A2562" s="5">
        <v>2501</v>
      </c>
      <c r="B2562" s="138">
        <f>'Acct Summary 7-8'!C20</f>
        <v>108899</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195207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195207</v>
      </c>
      <c r="C2568" s="2" t="s">
        <v>594</v>
      </c>
      <c r="D2568" s="2" t="str">
        <f t="shared" si="39"/>
        <v>Error?</v>
      </c>
    </row>
    <row r="2569" spans="1:4" x14ac:dyDescent="0.2">
      <c r="A2569" s="5">
        <v>2508</v>
      </c>
      <c r="B2569" s="138">
        <f>'Acct Summary 7-8'!D13</f>
        <v>143745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143745</v>
      </c>
      <c r="C2573" s="2" t="s">
        <v>594</v>
      </c>
      <c r="D2573" s="2" t="str">
        <f t="shared" si="39"/>
        <v>Error?</v>
      </c>
    </row>
    <row r="2574" spans="1:4" x14ac:dyDescent="0.2">
      <c r="A2574" s="5">
        <v>2513</v>
      </c>
      <c r="B2574" s="138">
        <f>'Acct Summary 7-8'!D20</f>
        <v>51462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121615</v>
      </c>
      <c r="C2591" s="2" t="s">
        <v>594</v>
      </c>
      <c r="D2591" s="2" t="str">
        <f t="shared" si="39"/>
        <v>Error?</v>
      </c>
    </row>
    <row r="2592" spans="1:4" x14ac:dyDescent="0.2">
      <c r="A2592" s="10">
        <v>2531</v>
      </c>
      <c r="D2592" s="2" t="str">
        <f t="shared" si="39"/>
        <v>OK</v>
      </c>
    </row>
    <row r="2593" spans="1:4" x14ac:dyDescent="0.2">
      <c r="A2593" s="5">
        <v>2532</v>
      </c>
      <c r="B2593" s="138">
        <f>'Acct Summary 7-8'!F6</f>
        <v>131220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252835</v>
      </c>
      <c r="C2595" s="2" t="s">
        <v>594</v>
      </c>
      <c r="D2595" s="2" t="str">
        <f t="shared" si="39"/>
        <v>Error?</v>
      </c>
    </row>
    <row r="2596" spans="1:4" x14ac:dyDescent="0.2">
      <c r="A2596" s="5">
        <v>2535</v>
      </c>
      <c r="B2596" s="138">
        <f>'Acct Summary 7-8'!F13</f>
        <v>201172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201172</v>
      </c>
      <c r="C2600" s="2" t="s">
        <v>594</v>
      </c>
      <c r="D2600" s="2" t="str">
        <f t="shared" si="39"/>
        <v>Error?</v>
      </c>
    </row>
    <row r="2601" spans="1:4" x14ac:dyDescent="0.2">
      <c r="A2601" s="5">
        <v>2540</v>
      </c>
      <c r="B2601" s="138">
        <f>'Acct Summary 7-8'!F20</f>
        <v>51663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116254</v>
      </c>
      <c r="C2603" s="2" t="s">
        <v>594</v>
      </c>
      <c r="D2603" s="2" t="str">
        <f t="shared" si="39"/>
        <v>Error?</v>
      </c>
    </row>
    <row r="2604" spans="1:4" x14ac:dyDescent="0.2">
      <c r="A2604" s="5">
        <v>2543</v>
      </c>
      <c r="B2604" s="138">
        <f>'Acct Summary 7-8'!G6</f>
        <v>17000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133254</v>
      </c>
      <c r="C2606" s="2" t="s">
        <v>594</v>
      </c>
      <c r="D2606" s="2" t="str">
        <f t="shared" si="39"/>
        <v>Error?</v>
      </c>
    </row>
    <row r="2607" spans="1:4" x14ac:dyDescent="0.2">
      <c r="A2607" s="5">
        <v>2546</v>
      </c>
      <c r="B2607" s="138">
        <f>'Acct Summary 7-8'!G12</f>
        <v>51388</v>
      </c>
      <c r="C2607" s="2" t="s">
        <v>594</v>
      </c>
      <c r="D2607" s="2" t="str">
        <f t="shared" si="39"/>
        <v>Error?</v>
      </c>
    </row>
    <row r="2608" spans="1:4" x14ac:dyDescent="0.2">
      <c r="A2608" s="5">
        <v>2547</v>
      </c>
      <c r="B2608" s="138">
        <f>'Acct Summary 7-8'!G13</f>
        <v>71033</v>
      </c>
      <c r="C2608" s="2" t="s">
        <v>594</v>
      </c>
      <c r="D2608" s="2" t="str">
        <f t="shared" si="39"/>
        <v>Error?</v>
      </c>
    </row>
    <row r="2609" spans="1:4" x14ac:dyDescent="0.2">
      <c r="A2609" s="5">
        <v>2548</v>
      </c>
      <c r="B2609" s="138">
        <f>'Acct Summary 7-8'!G14</f>
        <v>50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122471</v>
      </c>
      <c r="C2612" s="2" t="s">
        <v>594</v>
      </c>
      <c r="D2612" s="2" t="str">
        <f t="shared" si="39"/>
        <v>Error?</v>
      </c>
    </row>
    <row r="2613" spans="1:4" x14ac:dyDescent="0.2">
      <c r="A2613" s="5">
        <v>2552</v>
      </c>
      <c r="B2613" s="138">
        <f>'Acct Summary 7-8'!G20</f>
        <v>10783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399444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399444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382070</v>
      </c>
      <c r="C2634" s="2" t="s">
        <v>594</v>
      </c>
      <c r="D2634" s="2" t="str">
        <f t="shared" si="40"/>
        <v>Error?</v>
      </c>
    </row>
    <row r="2635" spans="1:4" x14ac:dyDescent="0.2">
      <c r="A2635" s="5">
        <v>2574</v>
      </c>
      <c r="B2635" s="138">
        <f>'Acct Summary 7-8'!E17</f>
        <v>382070</v>
      </c>
      <c r="C2635" s="2" t="s">
        <v>594</v>
      </c>
      <c r="D2635" s="2" t="str">
        <f t="shared" si="40"/>
        <v>Error?</v>
      </c>
    </row>
    <row r="2636" spans="1:4" x14ac:dyDescent="0.2">
      <c r="A2636" s="5">
        <v>2575</v>
      </c>
      <c r="B2636" s="138">
        <f>'Acct Summary 7-8'!E20</f>
        <v>17374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3217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3217</v>
      </c>
      <c r="C2658" s="2" t="s">
        <v>594</v>
      </c>
      <c r="D2658" s="2" t="str">
        <f t="shared" si="40"/>
        <v>Error?</v>
      </c>
    </row>
    <row r="2659" spans="1:4" x14ac:dyDescent="0.2">
      <c r="A2659" s="5">
        <v>2598</v>
      </c>
      <c r="B2659" s="138">
        <f>'Acct Summary 7-8'!H13</f>
        <v>1321760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1321760</v>
      </c>
      <c r="C2661" s="2" t="s">
        <v>594</v>
      </c>
      <c r="D2661" s="2" t="str">
        <f t="shared" si="40"/>
        <v>Error?</v>
      </c>
    </row>
    <row r="2662" spans="1:4" x14ac:dyDescent="0.2">
      <c r="A2662" s="5">
        <v>2601</v>
      </c>
      <c r="B2662" s="138">
        <f>'Acct Summary 7-8'!H20</f>
        <v>-1318543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267122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370537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127681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370537</v>
      </c>
      <c r="D2912" s="2" t="str">
        <f t="shared" si="44"/>
        <v>Error?</v>
      </c>
    </row>
    <row r="2913" spans="1:4" x14ac:dyDescent="0.2">
      <c r="A2913" s="5">
        <v>2852</v>
      </c>
      <c r="B2913" s="138">
        <f>'Assets-Liab 5-6'!I41</f>
        <v>370537</v>
      </c>
      <c r="C2913" s="2" t="s">
        <v>594</v>
      </c>
      <c r="D2913" s="2" t="str">
        <f t="shared" si="44"/>
        <v>Error?</v>
      </c>
    </row>
    <row r="2914" spans="1:4" x14ac:dyDescent="0.2">
      <c r="A2914" s="5">
        <v>2853</v>
      </c>
      <c r="B2914" s="138">
        <f>'Assets-Liab 5-6'!L33</f>
        <v>127681</v>
      </c>
      <c r="D2914" s="2" t="str">
        <f t="shared" si="44"/>
        <v>Error?</v>
      </c>
    </row>
    <row r="2915" spans="1:4" x14ac:dyDescent="0.2">
      <c r="A2915" s="10">
        <v>2854</v>
      </c>
      <c r="D2915" s="2" t="str">
        <f t="shared" si="44"/>
        <v>OK</v>
      </c>
    </row>
    <row r="2916" spans="1:4" x14ac:dyDescent="0.2">
      <c r="A2916" s="5">
        <v>2855</v>
      </c>
      <c r="B2916" s="138">
        <f>'Assets-Liab 5-6'!L34</f>
        <v>127681</v>
      </c>
      <c r="C2916" s="2" t="s">
        <v>594</v>
      </c>
      <c r="D2916" s="2" t="str">
        <f t="shared" si="44"/>
        <v>Error?</v>
      </c>
    </row>
    <row r="2917" spans="1:4" x14ac:dyDescent="0.2">
      <c r="A2917" s="5">
        <v>2856</v>
      </c>
      <c r="B2917" s="138">
        <f>'Assets-Liab 5-6'!L41</f>
        <v>127681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111978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111978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57130</v>
      </c>
      <c r="D3055" s="2" t="str">
        <f t="shared" si="46"/>
        <v>Error?</v>
      </c>
    </row>
    <row r="3056" spans="1:4" x14ac:dyDescent="0.2">
      <c r="A3056" s="5">
        <v>2995</v>
      </c>
      <c r="B3056" s="138">
        <f>'Expenditures 15-22'!D10</f>
        <v>15965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306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73401</v>
      </c>
      <c r="C3062" s="2" t="s">
        <v>594</v>
      </c>
      <c r="D3062" s="2" t="str">
        <f t="shared" si="46"/>
        <v>Error?</v>
      </c>
    </row>
    <row r="3063" spans="1:4" x14ac:dyDescent="0.2">
      <c r="A3063" s="10">
        <v>3002</v>
      </c>
      <c r="D3063" s="2" t="str">
        <f t="shared" si="46"/>
        <v>OK</v>
      </c>
    </row>
    <row r="3064" spans="1:4" x14ac:dyDescent="0.2">
      <c r="A3064" s="5">
        <v>3003</v>
      </c>
      <c r="B3064" s="138">
        <f>'Expenditures 15-22'!D219</f>
        <v>829</v>
      </c>
      <c r="D3064" s="2" t="str">
        <f t="shared" si="46"/>
        <v>Error?</v>
      </c>
    </row>
    <row r="3065" spans="1:4" x14ac:dyDescent="0.2">
      <c r="A3065" s="5">
        <v>3004</v>
      </c>
      <c r="B3065" s="138">
        <f>'Expenditures 15-22'!K219</f>
        <v>829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13390</v>
      </c>
      <c r="C3225" s="2" t="s">
        <v>594</v>
      </c>
      <c r="D3225" s="2" t="str">
        <f t="shared" si="49"/>
        <v>Error?</v>
      </c>
    </row>
    <row r="3226" spans="1:4" x14ac:dyDescent="0.2">
      <c r="A3226" s="5">
        <v>3165</v>
      </c>
      <c r="B3226" s="138">
        <f>'Acct Summary 7-8'!I8</f>
        <v>13390</v>
      </c>
      <c r="C3226" s="2" t="s">
        <v>594</v>
      </c>
      <c r="D3226" s="2" t="str">
        <f t="shared" si="49"/>
        <v>Error?</v>
      </c>
    </row>
    <row r="3227" spans="1:4" x14ac:dyDescent="0.2">
      <c r="A3227" s="5">
        <v>3166</v>
      </c>
      <c r="B3227" s="138">
        <f>'Acct Summary 7-8'!I20</f>
        <v>13390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108899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51462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51663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10783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17374</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-1318543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13390</v>
      </c>
      <c r="C3320" s="2" t="s">
        <v>594</v>
      </c>
      <c r="D3320" s="2" t="str">
        <f t="shared" si="50"/>
        <v>Error?</v>
      </c>
    </row>
    <row r="3321" spans="1:4" x14ac:dyDescent="0.2">
      <c r="A3321" s="5">
        <v>3260</v>
      </c>
      <c r="B3321" s="138">
        <f>'Acct Summary 7-8'!I79</f>
        <v>357147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370537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232377</v>
      </c>
      <c r="D3366" s="2" t="str">
        <f t="shared" si="51"/>
        <v>Error?</v>
      </c>
    </row>
    <row r="3367" spans="1:4" x14ac:dyDescent="0.2">
      <c r="A3367" s="5">
        <v>3306</v>
      </c>
      <c r="B3367" s="138">
        <f>'Expenditures 15-22'!C19</f>
        <v>110</v>
      </c>
      <c r="D3367" s="2" t="str">
        <f t="shared" si="51"/>
        <v>Error?</v>
      </c>
    </row>
    <row r="3368" spans="1:4" x14ac:dyDescent="0.2">
      <c r="A3368" s="5">
        <v>3307</v>
      </c>
      <c r="B3368" s="138">
        <f>'Expenditures 15-22'!D8</f>
        <v>20331</v>
      </c>
      <c r="D3368" s="2" t="str">
        <f t="shared" si="51"/>
        <v>Error?</v>
      </c>
    </row>
    <row r="3369" spans="1:4" x14ac:dyDescent="0.2">
      <c r="A3369" s="5">
        <v>3308</v>
      </c>
      <c r="B3369" s="138">
        <f>'Expenditures 15-22'!D19</f>
        <v>2</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972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253680</v>
      </c>
      <c r="C3380" s="2" t="s">
        <v>594</v>
      </c>
      <c r="D3380" s="2" t="str">
        <f t="shared" si="51"/>
        <v>Error?</v>
      </c>
    </row>
    <row r="3381" spans="1:4" x14ac:dyDescent="0.2">
      <c r="A3381" s="5">
        <v>3320</v>
      </c>
      <c r="B3381" s="138">
        <f>'Expenditures 15-22'!K19</f>
        <v>112</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28387</v>
      </c>
      <c r="D3387" s="2" t="str">
        <f t="shared" si="51"/>
        <v>Error?</v>
      </c>
    </row>
    <row r="3388" spans="1:4" x14ac:dyDescent="0.2">
      <c r="A3388" s="5">
        <v>3327</v>
      </c>
      <c r="B3388" s="138">
        <f>'Expenditures 15-22'!D217</f>
        <v>17945</v>
      </c>
      <c r="D3388" s="2" t="str">
        <f t="shared" si="51"/>
        <v>Error?</v>
      </c>
    </row>
    <row r="3389" spans="1:4" x14ac:dyDescent="0.2">
      <c r="A3389" s="5">
        <v>3328</v>
      </c>
      <c r="B3389" s="138">
        <f>'Expenditures 15-22'!D228</f>
        <v>2</v>
      </c>
      <c r="D3389" s="2" t="str">
        <f t="shared" si="51"/>
        <v>Error?</v>
      </c>
    </row>
    <row r="3390" spans="1:4" x14ac:dyDescent="0.2">
      <c r="A3390" s="5">
        <v>3329</v>
      </c>
      <c r="B3390" s="138">
        <f>'Expenditures 15-22'!K215</f>
        <v>28387</v>
      </c>
      <c r="C3390" s="2" t="s">
        <v>594</v>
      </c>
      <c r="D3390" s="2" t="str">
        <f t="shared" si="51"/>
        <v>Error?</v>
      </c>
    </row>
    <row r="3391" spans="1:4" x14ac:dyDescent="0.2">
      <c r="A3391" s="5">
        <v>3330</v>
      </c>
      <c r="B3391" s="138">
        <f>'Expenditures 15-22'!K217</f>
        <v>17945</v>
      </c>
      <c r="C3391" s="2" t="s">
        <v>594</v>
      </c>
      <c r="D3391" s="2" t="str">
        <f t="shared" ref="D3391:D3454" si="52">IF(ISBLANK(B3391),"OK",IF(A3391-B3391=0,"OK","Error?"))</f>
        <v>Error?</v>
      </c>
    </row>
    <row r="3392" spans="1:4" x14ac:dyDescent="0.2">
      <c r="A3392" s="5">
        <v>3331</v>
      </c>
      <c r="B3392" s="138">
        <f>'Expenditures 15-22'!K228</f>
        <v>2</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220316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301087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96287</v>
      </c>
      <c r="D3417" s="2" t="str">
        <f t="shared" si="52"/>
        <v>Error?</v>
      </c>
    </row>
    <row r="3418" spans="1:4" x14ac:dyDescent="0.2">
      <c r="A3418" s="10">
        <v>3357</v>
      </c>
      <c r="D3418" s="2" t="str">
        <f t="shared" si="52"/>
        <v>OK</v>
      </c>
    </row>
    <row r="3419" spans="1:4" x14ac:dyDescent="0.2">
      <c r="A3419" s="5">
        <v>3358</v>
      </c>
      <c r="B3419" s="138">
        <f>'Assets-Liab 5-6'!F4</f>
        <v>315896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60245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1040649</v>
      </c>
      <c r="D3425" s="2" t="str">
        <f t="shared" si="52"/>
        <v>Error?</v>
      </c>
    </row>
    <row r="3426" spans="1:4" x14ac:dyDescent="0.2">
      <c r="A3426" s="10">
        <v>3365</v>
      </c>
      <c r="D3426" s="2" t="str">
        <f t="shared" si="52"/>
        <v>OK</v>
      </c>
    </row>
    <row r="3427" spans="1:4" x14ac:dyDescent="0.2">
      <c r="A3427" s="5">
        <v>3366</v>
      </c>
      <c r="B3427" s="138">
        <f>'Assets-Liab 5-6'!I4</f>
        <v>370537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127681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47385</v>
      </c>
      <c r="C3446" s="2" t="s">
        <v>594</v>
      </c>
      <c r="D3446" s="2" t="str">
        <f t="shared" si="52"/>
        <v>Error?</v>
      </c>
    </row>
    <row r="3447" spans="1:4" x14ac:dyDescent="0.2">
      <c r="A3447" s="5">
        <v>3386</v>
      </c>
      <c r="B3447" s="138">
        <f>'Tax Sched 23'!D16</f>
        <v>47385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48586</v>
      </c>
      <c r="C3449" s="2" t="s">
        <v>594</v>
      </c>
      <c r="D3449" s="2" t="str">
        <f t="shared" si="52"/>
        <v>Error?</v>
      </c>
    </row>
    <row r="3450" spans="1:4" x14ac:dyDescent="0.2">
      <c r="A3450" s="5">
        <v>3389</v>
      </c>
      <c r="B3450" s="138">
        <f>'Tax Sched 23'!E16</f>
        <v>48586</v>
      </c>
      <c r="D3450" s="2" t="str">
        <f t="shared" si="52"/>
        <v>Error?</v>
      </c>
    </row>
    <row r="3451" spans="1:4" x14ac:dyDescent="0.2">
      <c r="A3451" s="5">
        <v>3390</v>
      </c>
      <c r="B3451" s="138">
        <f>'Cap Outlay Deprec 26'!C15</f>
        <v>110099</v>
      </c>
      <c r="D3451" s="2" t="str">
        <f t="shared" si="52"/>
        <v>Error?</v>
      </c>
    </row>
    <row r="3452" spans="1:4" x14ac:dyDescent="0.2">
      <c r="A3452" s="5">
        <v>3391</v>
      </c>
      <c r="B3452" s="138">
        <f>'Cap Outlay Deprec 26'!D15</f>
        <v>1124482</v>
      </c>
      <c r="D3452" s="2" t="str">
        <f t="shared" si="52"/>
        <v>Error?</v>
      </c>
    </row>
    <row r="3453" spans="1:4" x14ac:dyDescent="0.2">
      <c r="A3453" s="5">
        <v>3392</v>
      </c>
      <c r="B3453" s="138">
        <f>'Cap Outlay Deprec 26'!E15</f>
        <v>967459</v>
      </c>
      <c r="D3453" s="2" t="str">
        <f t="shared" si="52"/>
        <v>Error?</v>
      </c>
    </row>
    <row r="3454" spans="1:4" x14ac:dyDescent="0.2">
      <c r="A3454" s="5">
        <v>3393</v>
      </c>
      <c r="B3454" s="138">
        <f>'Cap Outlay Deprec 26'!F15</f>
        <v>267122</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267122</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66647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66647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66647</v>
      </c>
      <c r="D3567" s="2" t="str">
        <f t="shared" si="54"/>
        <v>Error?</v>
      </c>
    </row>
    <row r="3568" spans="1:4" x14ac:dyDescent="0.2">
      <c r="A3568" s="5">
        <v>3507</v>
      </c>
      <c r="B3568" s="138">
        <f>'Assets-Liab 5-6'!K41</f>
        <v>66647</v>
      </c>
      <c r="C3568" s="2" t="s">
        <v>594</v>
      </c>
      <c r="D3568" s="2" t="str">
        <f t="shared" si="54"/>
        <v>Error?</v>
      </c>
    </row>
    <row r="3569" spans="1:4" x14ac:dyDescent="0.2">
      <c r="A3569" s="5">
        <v>3508</v>
      </c>
      <c r="B3569" s="138">
        <f>'Acct Summary 7-8'!K4</f>
        <v>10243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10243</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10243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10243</v>
      </c>
      <c r="C3588" s="2" t="s">
        <v>594</v>
      </c>
      <c r="D3588" s="2" t="str">
        <f t="shared" si="55"/>
        <v>Error?</v>
      </c>
    </row>
    <row r="3589" spans="1:4" x14ac:dyDescent="0.2">
      <c r="A3589" s="5">
        <v>3528</v>
      </c>
      <c r="B3589" s="138">
        <f>'Acct Summary 7-8'!K79</f>
        <v>56404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66647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10243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48818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1340461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4690907</v>
      </c>
      <c r="C4122" s="2" t="s">
        <v>594</v>
      </c>
      <c r="D4122" s="2" t="str">
        <f t="shared" si="63"/>
        <v>Error?</v>
      </c>
    </row>
    <row r="4123" spans="1:4" x14ac:dyDescent="0.2">
      <c r="A4123" s="5">
        <v>4062</v>
      </c>
      <c r="B4123" s="138">
        <f>'Acct Summary 7-8'!D10</f>
        <v>195207</v>
      </c>
      <c r="C4123" s="2" t="s">
        <v>594</v>
      </c>
      <c r="D4123" s="2" t="str">
        <f t="shared" si="63"/>
        <v>Error?</v>
      </c>
    </row>
    <row r="4124" spans="1:4" x14ac:dyDescent="0.2">
      <c r="A4124" s="5">
        <v>4063</v>
      </c>
      <c r="B4124" s="138">
        <f>'Acct Summary 7-8'!E10</f>
        <v>399444</v>
      </c>
      <c r="C4124" s="2" t="s">
        <v>594</v>
      </c>
      <c r="D4124" s="2" t="str">
        <f t="shared" si="63"/>
        <v>Error?</v>
      </c>
    </row>
    <row r="4125" spans="1:4" x14ac:dyDescent="0.2">
      <c r="A4125" s="5">
        <v>4064</v>
      </c>
      <c r="B4125" s="138">
        <f>'Acct Summary 7-8'!F10</f>
        <v>252835</v>
      </c>
      <c r="C4125" s="2" t="s">
        <v>594</v>
      </c>
      <c r="D4125" s="2" t="str">
        <f t="shared" si="63"/>
        <v>Error?</v>
      </c>
    </row>
    <row r="4126" spans="1:4" x14ac:dyDescent="0.2">
      <c r="A4126" s="5">
        <v>4065</v>
      </c>
      <c r="B4126" s="138">
        <f>'Acct Summary 7-8'!G10</f>
        <v>133254</v>
      </c>
      <c r="C4126" s="2" t="s">
        <v>594</v>
      </c>
      <c r="D4126" s="2" t="str">
        <f t="shared" si="63"/>
        <v>Error?</v>
      </c>
    </row>
    <row r="4127" spans="1:4" x14ac:dyDescent="0.2">
      <c r="A4127" s="5">
        <v>4066</v>
      </c>
      <c r="B4127" s="138">
        <f>'Acct Summary 7-8'!H10</f>
        <v>3217</v>
      </c>
      <c r="C4127" s="2" t="s">
        <v>594</v>
      </c>
      <c r="D4127" s="2" t="str">
        <f t="shared" si="63"/>
        <v>Error?</v>
      </c>
    </row>
    <row r="4128" spans="1:4" x14ac:dyDescent="0.2">
      <c r="A4128" s="5">
        <v>4067</v>
      </c>
      <c r="B4128" s="138">
        <f>'Acct Summary 7-8'!I10</f>
        <v>13390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10243</v>
      </c>
      <c r="C4130" s="2" t="s">
        <v>594</v>
      </c>
      <c r="D4130" s="2" t="str">
        <f t="shared" si="63"/>
        <v>Error?</v>
      </c>
    </row>
    <row r="4131" spans="1:4" x14ac:dyDescent="0.2">
      <c r="A4131" s="5">
        <v>4070</v>
      </c>
      <c r="B4131" s="138">
        <f>'Acct Summary 7-8'!C18</f>
        <v>1340461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4582008</v>
      </c>
      <c r="C4136" s="2" t="s">
        <v>594</v>
      </c>
      <c r="D4136" s="2" t="str">
        <f t="shared" si="63"/>
        <v>Error?</v>
      </c>
    </row>
    <row r="4137" spans="1:4" x14ac:dyDescent="0.2">
      <c r="A4137" s="5">
        <v>4076</v>
      </c>
      <c r="B4137" s="138">
        <f>'Acct Summary 7-8'!D19</f>
        <v>143745</v>
      </c>
      <c r="C4137" s="2" t="s">
        <v>594</v>
      </c>
      <c r="D4137" s="2" t="str">
        <f t="shared" si="63"/>
        <v>Error?</v>
      </c>
    </row>
    <row r="4138" spans="1:4" x14ac:dyDescent="0.2">
      <c r="A4138" s="5">
        <v>4077</v>
      </c>
      <c r="B4138" s="138">
        <f>'Acct Summary 7-8'!E19</f>
        <v>382070</v>
      </c>
      <c r="C4138" s="2" t="s">
        <v>594</v>
      </c>
      <c r="D4138" s="2" t="str">
        <f t="shared" si="63"/>
        <v>Error?</v>
      </c>
    </row>
    <row r="4139" spans="1:4" x14ac:dyDescent="0.2">
      <c r="A4139" s="5">
        <v>4078</v>
      </c>
      <c r="B4139" s="138">
        <f>'Acct Summary 7-8'!F19</f>
        <v>201172</v>
      </c>
      <c r="C4139" s="2" t="s">
        <v>594</v>
      </c>
      <c r="D4139" s="2" t="str">
        <f t="shared" si="63"/>
        <v>Error?</v>
      </c>
    </row>
    <row r="4140" spans="1:4" x14ac:dyDescent="0.2">
      <c r="A4140" s="5">
        <v>4079</v>
      </c>
      <c r="B4140" s="138">
        <f>'Acct Summary 7-8'!G19</f>
        <v>122471</v>
      </c>
      <c r="C4140" s="2" t="s">
        <v>594</v>
      </c>
      <c r="D4140" s="2" t="str">
        <f t="shared" si="63"/>
        <v>Error?</v>
      </c>
    </row>
    <row r="4141" spans="1:4" x14ac:dyDescent="0.2">
      <c r="A4141" s="5">
        <v>4080</v>
      </c>
      <c r="B4141" s="138">
        <f>'Acct Summary 7-8'!H19</f>
        <v>1321760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2770000</v>
      </c>
      <c r="C4171" s="2" t="s">
        <v>594</v>
      </c>
      <c r="D4171" s="2" t="str">
        <f t="shared" si="64"/>
        <v>Error?</v>
      </c>
    </row>
    <row r="4172" spans="1:4" x14ac:dyDescent="0.2">
      <c r="A4172" s="5">
        <v>4111</v>
      </c>
      <c r="B4172" s="138">
        <f>'Short-Term Long-Term Debt 24'!J49</f>
        <v>2673713</v>
      </c>
      <c r="C4172" s="2" t="s">
        <v>594</v>
      </c>
      <c r="D4172" s="2" t="str">
        <f t="shared" si="64"/>
        <v>Error?</v>
      </c>
    </row>
    <row r="4173" spans="1:4" x14ac:dyDescent="0.2">
      <c r="A4173" s="5">
        <v>4112</v>
      </c>
      <c r="B4173" s="138">
        <f>'Short-Term Long-Term Debt 24'!H49</f>
        <v>270000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2450.0500000000002</v>
      </c>
      <c r="C4265" s="2" t="s">
        <v>594</v>
      </c>
      <c r="D4265" s="2" t="str">
        <f t="shared" si="65"/>
        <v>Error?</v>
      </c>
      <c r="E4265" s="128"/>
    </row>
    <row r="4266" spans="1:5" x14ac:dyDescent="0.2">
      <c r="A4266" s="12">
        <v>4205</v>
      </c>
      <c r="B4266" s="138">
        <f>('FP Info 3'!F10)*100000</f>
        <v>459.47999999999996</v>
      </c>
      <c r="C4266" s="2" t="s">
        <v>594</v>
      </c>
      <c r="D4266" s="2" t="str">
        <f t="shared" si="65"/>
        <v>Error?</v>
      </c>
      <c r="E4266" s="128"/>
    </row>
    <row r="4267" spans="1:5" x14ac:dyDescent="0.2">
      <c r="A4267" s="12">
        <v>4206</v>
      </c>
      <c r="B4267" s="138">
        <f>('FP Info 3'!H10)*100000</f>
        <v>292.69</v>
      </c>
      <c r="C4267" s="2" t="s">
        <v>594</v>
      </c>
      <c r="D4267" s="2" t="str">
        <f t="shared" si="65"/>
        <v>Error?</v>
      </c>
      <c r="E4267" s="128"/>
    </row>
    <row r="4268" spans="1:5" x14ac:dyDescent="0.2">
      <c r="A4268" s="12">
        <v>4207</v>
      </c>
      <c r="B4268" s="138">
        <f>('FP Info 3'!J10)*100000</f>
        <v>3202</v>
      </c>
      <c r="C4268" s="2" t="s">
        <v>594</v>
      </c>
      <c r="D4268" s="2" t="str">
        <f t="shared" si="65"/>
        <v>Error?</v>
      </c>
    </row>
    <row r="4269" spans="1:5" x14ac:dyDescent="0.2">
      <c r="A4269" s="12">
        <v>4208</v>
      </c>
      <c r="B4269" s="138">
        <f>'FP Info 3'!J16</f>
        <v>1203502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4047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4264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12426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31.589999999999996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21733</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41021845</v>
      </c>
      <c r="D4995" s="2" t="str">
        <f t="shared" si="77"/>
        <v>Error?</v>
      </c>
    </row>
    <row r="4996" spans="1:4" x14ac:dyDescent="0.2">
      <c r="A4996" s="12">
        <v>4935</v>
      </c>
      <c r="B4996" s="138">
        <f>'FP Info 3'!H31</f>
        <v>5661014.6100000003</v>
      </c>
      <c r="D4996" s="2" t="str">
        <f t="shared" si="77"/>
        <v>Error?</v>
      </c>
    </row>
    <row r="4997" spans="1:4" x14ac:dyDescent="0.2">
      <c r="A4997" s="12">
        <v>4936</v>
      </c>
      <c r="B4997" s="138">
        <f>'FP Info 3'!H37</f>
        <v>2770000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980214</v>
      </c>
      <c r="D5061" s="2" t="str">
        <f t="shared" si="78"/>
        <v>Error?</v>
      </c>
    </row>
    <row r="5062" spans="1:4" x14ac:dyDescent="0.2">
      <c r="A5062" s="10">
        <v>5001</v>
      </c>
      <c r="D5062" s="2" t="str">
        <f t="shared" si="78"/>
        <v>OK</v>
      </c>
    </row>
    <row r="5063" spans="1:4" x14ac:dyDescent="0.2">
      <c r="A5063" s="5">
        <v>5002</v>
      </c>
      <c r="B5063" s="138">
        <f>'Revenues 9-14'!C7</f>
        <v>23249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1003463</v>
      </c>
      <c r="C5066" s="2" t="s">
        <v>594</v>
      </c>
      <c r="D5066" s="2" t="str">
        <f t="shared" si="78"/>
        <v>Error?</v>
      </c>
    </row>
    <row r="5067" spans="1:4" x14ac:dyDescent="0.2">
      <c r="A5067" s="5">
        <v>5006</v>
      </c>
      <c r="B5067" s="138">
        <f>'Revenues 9-14'!C14</f>
        <v>3027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42794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45821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427</v>
      </c>
      <c r="D5088" s="2" t="str">
        <f t="shared" si="78"/>
        <v>Error?</v>
      </c>
    </row>
    <row r="5089" spans="1:4" x14ac:dyDescent="0.2">
      <c r="A5089" s="5">
        <v>5028</v>
      </c>
      <c r="B5089" s="138">
        <f>'Revenues 9-14'!C66</f>
        <v>235</v>
      </c>
      <c r="D5089" s="2" t="str">
        <f t="shared" si="78"/>
        <v>Error?</v>
      </c>
    </row>
    <row r="5090" spans="1:4" x14ac:dyDescent="0.2">
      <c r="A5090" s="5">
        <v>5029</v>
      </c>
      <c r="B5090" s="138">
        <f>'Revenues 9-14'!C67</f>
        <v>662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3764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51720</v>
      </c>
      <c r="C5096" s="2" t="s">
        <v>594</v>
      </c>
      <c r="D5096" s="2" t="str">
        <f t="shared" si="78"/>
        <v>Error?</v>
      </c>
    </row>
    <row r="5097" spans="1:4" x14ac:dyDescent="0.2">
      <c r="A5097" s="5">
        <v>5036</v>
      </c>
      <c r="B5097" s="138">
        <f>'Revenues 9-14'!C77</f>
        <v>18969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16950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1732</v>
      </c>
      <c r="D5101" s="2" t="str">
        <f t="shared" si="78"/>
        <v>Error?</v>
      </c>
    </row>
    <row r="5102" spans="1:4" x14ac:dyDescent="0.2">
      <c r="A5102" s="5">
        <v>5041</v>
      </c>
      <c r="B5102" s="138">
        <f>'Revenues 9-14'!C82</f>
        <v>37651</v>
      </c>
      <c r="C5102" s="2" t="s">
        <v>594</v>
      </c>
      <c r="D5102" s="2" t="str">
        <f t="shared" si="78"/>
        <v>Error?</v>
      </c>
    </row>
    <row r="5103" spans="1:4" x14ac:dyDescent="0.2">
      <c r="A5103" s="5">
        <v>5042</v>
      </c>
      <c r="B5103" s="138">
        <f>'Revenues 9-14'!C84</f>
        <v>15310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15310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33171</v>
      </c>
      <c r="D5115" s="2" t="str">
        <f t="shared" si="78"/>
        <v>Error?</v>
      </c>
    </row>
    <row r="5116" spans="1:4" x14ac:dyDescent="0.2">
      <c r="A5116" s="5">
        <v>5055</v>
      </c>
      <c r="B5116" s="138">
        <f>'Revenues 9-14'!C99</f>
        <v>2758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19438</v>
      </c>
      <c r="D5118" s="2" t="str">
        <f t="shared" si="78"/>
        <v>Error?</v>
      </c>
    </row>
    <row r="5119" spans="1:4" x14ac:dyDescent="0.2">
      <c r="A5119" s="5">
        <v>5058</v>
      </c>
      <c r="B5119" s="138">
        <f>'Revenues 9-14'!C107</f>
        <v>8802</v>
      </c>
      <c r="D5119" s="2" t="str">
        <f t="shared" ref="D5119:D5182" si="79">IF(ISBLANK(B5119),"OK",IF(A5119-B5119=0,"OK","Error?"))</f>
        <v>Error?</v>
      </c>
    </row>
    <row r="5120" spans="1:4" x14ac:dyDescent="0.2">
      <c r="A5120" s="5">
        <v>5059</v>
      </c>
      <c r="B5120" s="138">
        <f>'Revenues 9-14'!C108</f>
        <v>67844</v>
      </c>
      <c r="C5120" s="2" t="s">
        <v>594</v>
      </c>
      <c r="D5120" s="2" t="str">
        <f t="shared" si="79"/>
        <v>Error?</v>
      </c>
    </row>
    <row r="5121" spans="1:4" x14ac:dyDescent="0.2">
      <c r="A5121" s="5">
        <v>5060</v>
      </c>
      <c r="B5121" s="138">
        <f>'Revenues 9-14'!C109</f>
        <v>1222471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1742508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1742508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29196</v>
      </c>
      <c r="D5134" s="2" t="str">
        <f t="shared" si="79"/>
        <v>Error?</v>
      </c>
    </row>
    <row r="5135" spans="1:4" x14ac:dyDescent="0.2">
      <c r="A5135" s="5">
        <v>5074</v>
      </c>
      <c r="B5135" s="138">
        <f>'Revenues 9-14'!C126</f>
        <v>35668</v>
      </c>
      <c r="D5135" s="2" t="str">
        <f t="shared" si="79"/>
        <v>Error?</v>
      </c>
    </row>
    <row r="5136" spans="1:4" x14ac:dyDescent="0.2">
      <c r="A5136" s="10">
        <v>5075</v>
      </c>
      <c r="D5136" s="2" t="str">
        <f t="shared" si="79"/>
        <v>OK</v>
      </c>
    </row>
    <row r="5137" spans="1:4" x14ac:dyDescent="0.2">
      <c r="A5137" s="5">
        <v>5076</v>
      </c>
      <c r="B5137" s="138">
        <f>'Revenues 9-14'!C127</f>
        <v>47640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252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112756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2124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6888</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1150</v>
      </c>
      <c r="D5167" s="2" t="str">
        <f t="shared" si="79"/>
        <v>Error?</v>
      </c>
    </row>
    <row r="5168" spans="1:4" x14ac:dyDescent="0.2">
      <c r="A5168" s="5">
        <v>5107</v>
      </c>
      <c r="B5168" s="138">
        <f>'Revenues 9-14'!C147</f>
        <v>8268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129062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1871570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21733</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68135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15012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83147</v>
      </c>
      <c r="C5246" s="2" t="s">
        <v>594</v>
      </c>
      <c r="D5246" s="2" t="str">
        <f t="shared" si="80"/>
        <v>Error?</v>
      </c>
    </row>
    <row r="5247" spans="1:4" x14ac:dyDescent="0.2">
      <c r="A5247" s="5">
        <v>5186</v>
      </c>
      <c r="B5247" s="138">
        <f>'Revenues 9-14'!C203</f>
        <v>55486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55486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70421</v>
      </c>
      <c r="D5278" s="2" t="str">
        <f t="shared" si="81"/>
        <v>Error?</v>
      </c>
    </row>
    <row r="5279" spans="1:4" x14ac:dyDescent="0.2">
      <c r="A5279" s="5">
        <v>5218</v>
      </c>
      <c r="B5279" s="138">
        <f>'Revenues 9-14'!C221</f>
        <v>3332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73753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1549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1549</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234672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256405</v>
      </c>
      <c r="C5326" s="2" t="s">
        <v>594</v>
      </c>
      <c r="D5326" s="2" t="str">
        <f t="shared" si="82"/>
        <v>Error?</v>
      </c>
    </row>
    <row r="5327" spans="1:4" x14ac:dyDescent="0.2">
      <c r="A5327" s="5">
        <v>5266</v>
      </c>
      <c r="B5327" s="138">
        <f>'Revenues 9-14'!C275</f>
        <v>3350446</v>
      </c>
      <c r="C5327" s="2" t="s">
        <v>594</v>
      </c>
      <c r="D5327" s="2" t="str">
        <f t="shared" si="82"/>
        <v>Error?</v>
      </c>
    </row>
    <row r="5328" spans="1:4" x14ac:dyDescent="0.2">
      <c r="A5328" s="5">
        <v>5267</v>
      </c>
      <c r="B5328" s="138">
        <f>'Revenues 9-14'!D5</f>
        <v>183824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183824</v>
      </c>
      <c r="C5334" s="2" t="s">
        <v>594</v>
      </c>
      <c r="D5334" s="2" t="str">
        <f t="shared" si="82"/>
        <v>Error?</v>
      </c>
    </row>
    <row r="5335" spans="1:4" x14ac:dyDescent="0.2">
      <c r="A5335" s="5">
        <v>5274</v>
      </c>
      <c r="B5335" s="138">
        <f>'Revenues 9-14'!D14</f>
        <v>555</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10270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10825</v>
      </c>
      <c r="C5339" s="2" t="s">
        <v>594</v>
      </c>
      <c r="D5339" s="2" t="str">
        <f t="shared" si="82"/>
        <v>Error?</v>
      </c>
    </row>
    <row r="5340" spans="1:4" x14ac:dyDescent="0.2">
      <c r="A5340" s="5">
        <v>5279</v>
      </c>
      <c r="B5340" s="138">
        <f>'Revenues 9-14'!D65</f>
        <v>558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558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195207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195207</v>
      </c>
      <c r="C5508" s="2" t="s">
        <v>594</v>
      </c>
      <c r="D5508" s="2" t="str">
        <f t="shared" si="85"/>
        <v>Error?</v>
      </c>
    </row>
    <row r="5509" spans="1:4" x14ac:dyDescent="0.2">
      <c r="A5509" s="5">
        <v>5448</v>
      </c>
      <c r="B5509" s="138">
        <f>'Revenues 9-14'!E5</f>
        <v>97778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97778</v>
      </c>
      <c r="C5513" s="2" t="s">
        <v>594</v>
      </c>
      <c r="D5513" s="2" t="str">
        <f t="shared" si="85"/>
        <v>Error?</v>
      </c>
    </row>
    <row r="5514" spans="1:4" x14ac:dyDescent="0.2">
      <c r="A5514" s="5">
        <v>5453</v>
      </c>
      <c r="B5514" s="138">
        <f>'Revenues 9-14'!E14</f>
        <v>295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295</v>
      </c>
      <c r="C5518" s="2" t="s">
        <v>594</v>
      </c>
      <c r="D5518" s="2" t="str">
        <f t="shared" si="85"/>
        <v>Error?</v>
      </c>
    </row>
    <row r="5519" spans="1:4" x14ac:dyDescent="0.2">
      <c r="A5519" s="5">
        <v>5458</v>
      </c>
      <c r="B5519" s="138">
        <f>'Revenues 9-14'!E65</f>
        <v>57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301314</v>
      </c>
      <c r="C5526" s="2" t="s">
        <v>594</v>
      </c>
      <c r="D5526" s="2" t="str">
        <f t="shared" si="85"/>
        <v>Error?</v>
      </c>
    </row>
    <row r="5527" spans="1:4" x14ac:dyDescent="0.2">
      <c r="A5527" s="5">
        <v>5466</v>
      </c>
      <c r="B5527" s="138">
        <f>'Revenues 9-14'!E109</f>
        <v>399444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399444</v>
      </c>
      <c r="C5552" s="2" t="s">
        <v>594</v>
      </c>
      <c r="D5552" s="2" t="str">
        <f t="shared" si="85"/>
        <v>Error?</v>
      </c>
    </row>
    <row r="5553" spans="1:4" x14ac:dyDescent="0.2">
      <c r="A5553" s="5">
        <v>5492</v>
      </c>
      <c r="B5553" s="138">
        <f>'Revenues 9-14'!F5</f>
        <v>116692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116692</v>
      </c>
      <c r="C5557" s="2" t="s">
        <v>594</v>
      </c>
      <c r="D5557" s="2" t="str">
        <f t="shared" si="85"/>
        <v>Error?</v>
      </c>
    </row>
    <row r="5558" spans="1:4" x14ac:dyDescent="0.2">
      <c r="A5558" s="5">
        <v>5497</v>
      </c>
      <c r="B5558" s="138">
        <f>'Revenues 9-14'!F14</f>
        <v>352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3994</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4346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577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577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121615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73941</v>
      </c>
      <c r="D5615" s="2" t="str">
        <f t="shared" si="86"/>
        <v>Error?</v>
      </c>
    </row>
    <row r="5616" spans="1:4" x14ac:dyDescent="0.2">
      <c r="A5616" s="10">
        <v>5555</v>
      </c>
      <c r="D5616" s="2" t="str">
        <f t="shared" si="86"/>
        <v>OK</v>
      </c>
    </row>
    <row r="5617" spans="1:4" x14ac:dyDescent="0.2">
      <c r="A5617" s="5">
        <v>5556</v>
      </c>
      <c r="B5617" s="138">
        <f>'Revenues 9-14'!F152</f>
        <v>57279</v>
      </c>
      <c r="D5617" s="2" t="str">
        <f t="shared" si="86"/>
        <v>Error?</v>
      </c>
    </row>
    <row r="5618" spans="1:4" x14ac:dyDescent="0.2">
      <c r="A5618" s="5">
        <v>5557</v>
      </c>
      <c r="B5618" s="138">
        <f>'Revenues 9-14'!F154</f>
        <v>131220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131220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131220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252835</v>
      </c>
      <c r="C5720" s="2" t="s">
        <v>594</v>
      </c>
      <c r="D5720" s="2" t="str">
        <f t="shared" si="88"/>
        <v>Error?</v>
      </c>
    </row>
    <row r="5721" spans="1:4" x14ac:dyDescent="0.2">
      <c r="A5721" s="5">
        <v>5660</v>
      </c>
      <c r="B5721" s="138">
        <f>'Revenues 9-14'!G5</f>
        <v>62040</v>
      </c>
      <c r="D5721" s="2" t="str">
        <f t="shared" si="88"/>
        <v>Error?</v>
      </c>
    </row>
    <row r="5722" spans="1:4" x14ac:dyDescent="0.2">
      <c r="A5722" s="5">
        <v>5661</v>
      </c>
      <c r="B5722" s="138">
        <f>'Revenues 9-14'!G7</f>
        <v>0</v>
      </c>
      <c r="D5722" s="2" t="str">
        <f t="shared" si="88"/>
        <v>Error?</v>
      </c>
    </row>
    <row r="5723" spans="1:4" x14ac:dyDescent="0.2">
      <c r="A5723" s="5">
        <v>5662</v>
      </c>
      <c r="B5723" s="138">
        <f>'Revenues 9-14'!G8</f>
        <v>47385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109425</v>
      </c>
      <c r="C5725" s="2" t="s">
        <v>594</v>
      </c>
      <c r="D5725" s="2" t="str">
        <f t="shared" si="88"/>
        <v>Error?</v>
      </c>
    </row>
    <row r="5726" spans="1:4" x14ac:dyDescent="0.2">
      <c r="A5726" s="5">
        <v>5665</v>
      </c>
      <c r="B5726" s="138">
        <f>'Revenues 9-14'!G14</f>
        <v>330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6388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6718</v>
      </c>
      <c r="C5730" s="2" t="s">
        <v>594</v>
      </c>
      <c r="D5730" s="2" t="str">
        <f t="shared" si="88"/>
        <v>Error?</v>
      </c>
    </row>
    <row r="5731" spans="1:4" x14ac:dyDescent="0.2">
      <c r="A5731" s="5">
        <v>5670</v>
      </c>
      <c r="B5731" s="138">
        <f>'Revenues 9-14'!G65</f>
        <v>111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17000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17000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17000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133254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3217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3217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3217</v>
      </c>
      <c r="C5915" s="2" t="s">
        <v>594</v>
      </c>
      <c r="D5915" s="2" t="str">
        <f t="shared" si="91"/>
        <v>Error?</v>
      </c>
    </row>
    <row r="5916" spans="1:4" x14ac:dyDescent="0.2">
      <c r="A5916" s="5">
        <v>5855</v>
      </c>
      <c r="B5916" s="138">
        <f>'Revenues 9-14'!I5</f>
        <v>12637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12637</v>
      </c>
      <c r="C5918" s="2" t="s">
        <v>594</v>
      </c>
      <c r="D5918" s="2" t="str">
        <f t="shared" si="91"/>
        <v>Error?</v>
      </c>
    </row>
    <row r="5919" spans="1:4" x14ac:dyDescent="0.2">
      <c r="A5919" s="5">
        <v>5858</v>
      </c>
      <c r="B5919" s="138">
        <f>'Revenues 9-14'!I14</f>
        <v>38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38</v>
      </c>
      <c r="C5923" s="2" t="s">
        <v>594</v>
      </c>
      <c r="D5923" s="2" t="str">
        <f t="shared" si="91"/>
        <v>Error?</v>
      </c>
    </row>
    <row r="5924" spans="1:4" x14ac:dyDescent="0.2">
      <c r="A5924" s="5">
        <v>5863</v>
      </c>
      <c r="B5924" s="138">
        <f>'Revenues 9-14'!I65</f>
        <v>715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715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13390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10097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10097</v>
      </c>
      <c r="C5987" s="2" t="s">
        <v>594</v>
      </c>
      <c r="D5987" s="2" t="str">
        <f t="shared" si="92"/>
        <v>Error?</v>
      </c>
    </row>
    <row r="5988" spans="1:4" x14ac:dyDescent="0.2">
      <c r="A5988" s="5">
        <v>5927</v>
      </c>
      <c r="B5988" s="138">
        <f>'Revenues 9-14'!K14</f>
        <v>30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30</v>
      </c>
      <c r="C5992" s="2" t="s">
        <v>594</v>
      </c>
      <c r="D5992" s="2" t="str">
        <f t="shared" si="92"/>
        <v>Error?</v>
      </c>
    </row>
    <row r="5993" spans="1:4" x14ac:dyDescent="0.2">
      <c r="A5993" s="5">
        <v>5932</v>
      </c>
      <c r="B5993" s="138">
        <f>'Revenues 9-14'!K65</f>
        <v>116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10243</v>
      </c>
      <c r="C6023" s="2" t="s">
        <v>594</v>
      </c>
      <c r="D6023" s="2" t="str">
        <f t="shared" si="93"/>
        <v>Error?</v>
      </c>
    </row>
    <row r="6024" spans="1:5" x14ac:dyDescent="0.2">
      <c r="A6024" s="5">
        <v>5963</v>
      </c>
      <c r="B6024" s="138">
        <f>'Revenues 9-14'!G109</f>
        <v>116254</v>
      </c>
      <c r="C6024" s="2" t="s">
        <v>594</v>
      </c>
      <c r="D6024" s="2" t="str">
        <f t="shared" si="93"/>
        <v>Error?</v>
      </c>
    </row>
    <row r="6025" spans="1:5" x14ac:dyDescent="0.2">
      <c r="A6025" s="5">
        <v>5964</v>
      </c>
      <c r="B6025" s="138">
        <f>'Revenues 9-14'!H109</f>
        <v>3217</v>
      </c>
      <c r="C6025" s="2" t="s">
        <v>594</v>
      </c>
      <c r="D6025" s="2" t="str">
        <f t="shared" si="93"/>
        <v>Error?</v>
      </c>
    </row>
    <row r="6026" spans="1:5" x14ac:dyDescent="0.2">
      <c r="A6026" s="5">
        <v>5965</v>
      </c>
      <c r="B6026" s="138">
        <f>'Revenues 9-14'!I109</f>
        <v>13390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10243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47956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14411</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407.98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23380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23380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23380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23380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23380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108899</v>
      </c>
      <c r="D6267" s="2" t="str">
        <f t="shared" si="96"/>
        <v>Error?</v>
      </c>
      <c r="E6267" s="2" t="s">
        <v>199</v>
      </c>
    </row>
    <row r="6268" spans="1:5" x14ac:dyDescent="0.2">
      <c r="A6268">
        <v>6207</v>
      </c>
      <c r="B6268" s="138">
        <f>'Acct Summary 7-8'!D82</f>
        <v>51462</v>
      </c>
      <c r="D6268" s="2" t="str">
        <f t="shared" si="96"/>
        <v>Error?</v>
      </c>
      <c r="E6268" s="2" t="s">
        <v>199</v>
      </c>
    </row>
    <row r="6269" spans="1:5" x14ac:dyDescent="0.2">
      <c r="A6269">
        <v>6208</v>
      </c>
      <c r="B6269" s="138">
        <f>'Acct Summary 7-8'!E82</f>
        <v>17374</v>
      </c>
      <c r="D6269" s="2" t="str">
        <f t="shared" si="96"/>
        <v>Error?</v>
      </c>
      <c r="E6269" s="2" t="s">
        <v>199</v>
      </c>
    </row>
    <row r="6270" spans="1:5" x14ac:dyDescent="0.2">
      <c r="A6270">
        <v>6209</v>
      </c>
      <c r="B6270" s="138">
        <f>'Acct Summary 7-8'!F82</f>
        <v>51663</v>
      </c>
      <c r="D6270" s="2" t="str">
        <f t="shared" si="96"/>
        <v>Error?</v>
      </c>
      <c r="E6270" s="2" t="s">
        <v>199</v>
      </c>
    </row>
    <row r="6271" spans="1:5" x14ac:dyDescent="0.2">
      <c r="A6271">
        <v>6210</v>
      </c>
      <c r="B6271" s="138">
        <f>'Acct Summary 7-8'!G82</f>
        <v>10783</v>
      </c>
      <c r="D6271" s="2" t="str">
        <f t="shared" ref="D6271:D6334" si="97">IF(ISBLANK(B6271),"OK",IF(A6271-B6271=0,"OK","Error?"))</f>
        <v>Error?</v>
      </c>
      <c r="E6271" s="2" t="s">
        <v>199</v>
      </c>
    </row>
    <row r="6272" spans="1:5" x14ac:dyDescent="0.2">
      <c r="A6272">
        <v>6211</v>
      </c>
      <c r="B6272" s="138">
        <f>'Acct Summary 7-8'!H82</f>
        <v>-1318543</v>
      </c>
      <c r="D6272" s="2" t="str">
        <f t="shared" si="97"/>
        <v>Error?</v>
      </c>
      <c r="E6272" s="2" t="s">
        <v>199</v>
      </c>
    </row>
    <row r="6273" spans="1:5" x14ac:dyDescent="0.2">
      <c r="A6273">
        <v>6212</v>
      </c>
      <c r="B6273" s="138">
        <f>'Acct Summary 7-8'!I82</f>
        <v>13390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10243</v>
      </c>
      <c r="D6275" s="2" t="str">
        <f t="shared" si="97"/>
        <v>Error?</v>
      </c>
      <c r="E6275" s="2" t="s">
        <v>199</v>
      </c>
    </row>
    <row r="6276" spans="1:5" x14ac:dyDescent="0.2">
      <c r="A6276">
        <v>6215</v>
      </c>
      <c r="B6276" s="138">
        <f>'Acct Summary 7-8'!C83</f>
        <v>0.50420405404154045</v>
      </c>
      <c r="D6276" s="2" t="str">
        <f t="shared" si="97"/>
        <v>Error?</v>
      </c>
      <c r="E6276" s="2" t="s">
        <v>199</v>
      </c>
    </row>
    <row r="6277" spans="1:5" x14ac:dyDescent="0.2">
      <c r="A6277">
        <v>6216</v>
      </c>
      <c r="B6277" s="138">
        <f>'Acct Summary 7-8'!D83</f>
        <v>0.17092069733997151</v>
      </c>
      <c r="D6277" s="2" t="str">
        <f t="shared" si="97"/>
        <v>Error?</v>
      </c>
      <c r="E6277" s="2" t="s">
        <v>199</v>
      </c>
    </row>
    <row r="6278" spans="1:5" x14ac:dyDescent="0.2">
      <c r="A6278">
        <v>6217</v>
      </c>
      <c r="B6278" s="138">
        <f>'Acct Summary 7-8'!E83</f>
        <v>0.18043972706595907</v>
      </c>
      <c r="D6278" s="2" t="str">
        <f t="shared" si="97"/>
        <v>Error?</v>
      </c>
      <c r="E6278" s="2" t="s">
        <v>199</v>
      </c>
    </row>
    <row r="6279" spans="1:5" x14ac:dyDescent="0.2">
      <c r="A6279">
        <v>6218</v>
      </c>
      <c r="B6279" s="138">
        <f>'Acct Summary 7-8'!F83</f>
        <v>0.1635443310456606</v>
      </c>
      <c r="D6279" s="2" t="str">
        <f t="shared" si="97"/>
        <v>Error?</v>
      </c>
      <c r="E6279" s="2" t="s">
        <v>199</v>
      </c>
    </row>
    <row r="6280" spans="1:5" x14ac:dyDescent="0.2">
      <c r="A6280">
        <v>6219</v>
      </c>
      <c r="B6280" s="138">
        <f>'Acct Summary 7-8'!G83</f>
        <v>0.1789858079508673</v>
      </c>
      <c r="D6280" s="2" t="str">
        <f t="shared" si="97"/>
        <v>Error?</v>
      </c>
      <c r="E6280" s="2" t="s">
        <v>199</v>
      </c>
    </row>
    <row r="6281" spans="1:5" x14ac:dyDescent="0.2">
      <c r="A6281">
        <v>6220</v>
      </c>
      <c r="B6281" s="138">
        <f>'Acct Summary 7-8'!H83</f>
        <v>-1.2670391265450696</v>
      </c>
      <c r="D6281" s="2" t="str">
        <f t="shared" si="97"/>
        <v>Error?</v>
      </c>
      <c r="E6281" s="2" t="s">
        <v>199</v>
      </c>
    </row>
    <row r="6282" spans="1:5" x14ac:dyDescent="0.2">
      <c r="A6282">
        <v>6221</v>
      </c>
      <c r="B6282" s="138">
        <f>'Acct Summary 7-8'!I83</f>
        <v>3.6136742079738327E-2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0.15369033864990173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23309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23309</v>
      </c>
      <c r="D6301" s="2" t="str">
        <f t="shared" si="97"/>
        <v>Error?</v>
      </c>
      <c r="E6301" s="2" t="s">
        <v>199</v>
      </c>
    </row>
    <row r="6302" spans="1:5" x14ac:dyDescent="0.2">
      <c r="A6302">
        <v>6241</v>
      </c>
      <c r="B6302" s="138">
        <f>'Revenues 9-14'!J14</f>
        <v>70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70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3675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23380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4764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57811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31231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105275</v>
      </c>
      <c r="D6983" s="2" t="str">
        <f t="shared" si="108"/>
        <v>Error?</v>
      </c>
    </row>
    <row r="6984" spans="1:4" x14ac:dyDescent="0.2">
      <c r="A6984">
        <v>6923</v>
      </c>
      <c r="B6984" s="138">
        <f>'Expenditures 15-22'!K86</f>
        <v>105275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105275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23380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23380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763</v>
      </c>
      <c r="D7075" s="2" t="str">
        <f t="shared" si="109"/>
        <v>Error?</v>
      </c>
    </row>
    <row r="7076" spans="1:4" x14ac:dyDescent="0.2">
      <c r="A7076">
        <v>7015</v>
      </c>
      <c r="B7076" s="138">
        <f>'Expenditures 15-22'!K218</f>
        <v>763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422</v>
      </c>
      <c r="D7079" s="2" t="str">
        <f t="shared" si="109"/>
        <v>Error?</v>
      </c>
    </row>
    <row r="7080" spans="1:4" x14ac:dyDescent="0.2">
      <c r="A7080">
        <v>7019</v>
      </c>
      <c r="B7080" s="138">
        <f>'Expenditures 15-22'!K226</f>
        <v>422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23380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23380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23380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23380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23380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23380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53352</v>
      </c>
      <c r="D7251" s="2" t="str">
        <f t="shared" si="112"/>
        <v>Error?</v>
      </c>
    </row>
    <row r="7252" spans="1:4" x14ac:dyDescent="0.2">
      <c r="A7252">
        <f t="shared" si="113"/>
        <v>7191</v>
      </c>
      <c r="B7252" s="138">
        <f>'Expenditures 15-22'!D9</f>
        <v>1179</v>
      </c>
      <c r="D7252" s="2" t="str">
        <f t="shared" si="112"/>
        <v>Error?</v>
      </c>
    </row>
    <row r="7253" spans="1:4" x14ac:dyDescent="0.2">
      <c r="A7253">
        <f t="shared" si="113"/>
        <v>7192</v>
      </c>
      <c r="B7253" s="138">
        <f>'Expenditures 15-22'!E9</f>
        <v>300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2980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29078</v>
      </c>
      <c r="D7263" s="2" t="str">
        <f t="shared" si="112"/>
        <v>Error?</v>
      </c>
    </row>
    <row r="7264" spans="1:4" x14ac:dyDescent="0.2">
      <c r="A7264">
        <f t="shared" si="113"/>
        <v>7203</v>
      </c>
      <c r="B7264" s="138">
        <f>'Expenditures 15-22'!D17</f>
        <v>643</v>
      </c>
      <c r="D7264" s="2" t="str">
        <f t="shared" si="112"/>
        <v>Error?</v>
      </c>
    </row>
    <row r="7265" spans="1:5" x14ac:dyDescent="0.2">
      <c r="A7265">
        <f t="shared" si="113"/>
        <v>7204</v>
      </c>
      <c r="B7265" s="138">
        <f>'Expenditures 15-22'!E17</f>
        <v>642</v>
      </c>
      <c r="D7265" s="2" t="str">
        <f t="shared" si="112"/>
        <v>Error?</v>
      </c>
    </row>
    <row r="7266" spans="1:5" x14ac:dyDescent="0.2">
      <c r="A7266">
        <f t="shared" si="113"/>
        <v>7205</v>
      </c>
      <c r="B7266" s="138">
        <f>'Expenditures 15-22'!F17</f>
        <v>868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198483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428653</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14</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3675</v>
      </c>
      <c r="D7712" s="2" t="str">
        <f t="shared" si="126"/>
        <v>Error?</v>
      </c>
      <c r="E7712" s="2" t="s">
        <v>881</v>
      </c>
    </row>
    <row r="7713" spans="1:6" x14ac:dyDescent="0.2">
      <c r="A7713">
        <v>7652</v>
      </c>
      <c r="B7713" s="138">
        <f>'Rest Tax Levies-Tort Im 25'!J8</f>
        <v>301314</v>
      </c>
      <c r="D7713" s="2" t="str">
        <f t="shared" si="126"/>
        <v>Error?</v>
      </c>
      <c r="E7713" s="2" t="s">
        <v>881</v>
      </c>
    </row>
    <row r="7714" spans="1:6" x14ac:dyDescent="0.2">
      <c r="A7714">
        <v>7653</v>
      </c>
      <c r="B7714" s="138">
        <f>'Rest Tax Levies-Tort Im 25'!K9</f>
        <v>8268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301328</v>
      </c>
      <c r="D7718" s="2" t="str">
        <f t="shared" si="126"/>
        <v>Error?</v>
      </c>
      <c r="E7718" s="2" t="s">
        <v>881</v>
      </c>
    </row>
    <row r="7719" spans="1:6" x14ac:dyDescent="0.2">
      <c r="A7719">
        <v>7658</v>
      </c>
      <c r="B7719" s="138">
        <f>'Rest Tax Levies-Tort Im 25'!K12</f>
        <v>11943</v>
      </c>
      <c r="D7719" s="2" t="str">
        <f t="shared" si="126"/>
        <v>Error?</v>
      </c>
      <c r="E7719" s="2" t="s">
        <v>881</v>
      </c>
    </row>
    <row r="7720" spans="1:6" x14ac:dyDescent="0.2">
      <c r="A7720">
        <v>7659</v>
      </c>
      <c r="B7720" s="138">
        <f>'Rest Tax Levies-Tort Im 25'!H14</f>
        <v>23319</v>
      </c>
      <c r="D7720" s="2" t="str">
        <f t="shared" si="126"/>
        <v>Error?</v>
      </c>
      <c r="E7720" s="2" t="s">
        <v>881</v>
      </c>
    </row>
    <row r="7721" spans="1:6" x14ac:dyDescent="0.2">
      <c r="A7721">
        <v>7660</v>
      </c>
      <c r="B7721" s="138">
        <f>'Rest Tax Levies-Tort Im 25'!K14</f>
        <v>11943</v>
      </c>
      <c r="D7721" s="2" t="str">
        <f t="shared" si="126"/>
        <v>Error?</v>
      </c>
      <c r="E7721" s="2" t="s">
        <v>881</v>
      </c>
    </row>
    <row r="7722" spans="1:6" x14ac:dyDescent="0.2">
      <c r="A7722">
        <v>7661</v>
      </c>
      <c r="B7722" s="138">
        <f>'Rest Tax Levies-Tort Im 25'!J15</f>
        <v>7532</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103263</v>
      </c>
      <c r="D7724" s="2" t="str">
        <f t="shared" si="126"/>
        <v>Error?</v>
      </c>
      <c r="E7724" s="2" t="s">
        <v>881</v>
      </c>
      <c r="F7724" s="2"/>
    </row>
    <row r="7725" spans="1:6" x14ac:dyDescent="0.2">
      <c r="A7725">
        <v>7664</v>
      </c>
      <c r="B7725" s="138">
        <f>'Rest Tax Levies-Tort Im 25'!J19</f>
        <v>185000</v>
      </c>
      <c r="D7725" s="2" t="str">
        <f t="shared" si="126"/>
        <v>Error?</v>
      </c>
      <c r="E7725" s="2" t="s">
        <v>881</v>
      </c>
    </row>
    <row r="7726" spans="1:6" x14ac:dyDescent="0.2">
      <c r="A7726">
        <v>7665</v>
      </c>
      <c r="B7726" s="138">
        <f>'Rest Tax Levies-Tort Im 25'!J20</f>
        <v>350</v>
      </c>
      <c r="D7726" s="2" t="str">
        <f t="shared" si="126"/>
        <v>Error?</v>
      </c>
      <c r="E7726" s="2" t="s">
        <v>881</v>
      </c>
    </row>
    <row r="7727" spans="1:6" x14ac:dyDescent="0.2">
      <c r="A7727">
        <v>7666</v>
      </c>
      <c r="B7727" s="138">
        <f>'Rest Tax Levies-Tort Im 25'!J21</f>
        <v>288613</v>
      </c>
      <c r="D7727" s="2" t="str">
        <f t="shared" si="126"/>
        <v>Error?</v>
      </c>
      <c r="E7727" s="2" t="s">
        <v>881</v>
      </c>
    </row>
    <row r="7728" spans="1:6" x14ac:dyDescent="0.2">
      <c r="A7728">
        <v>7667</v>
      </c>
      <c r="B7728" s="138">
        <f>'Revenues 9-14'!E103</f>
        <v>301314</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296145</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433836</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433836</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263327</v>
      </c>
      <c r="D7797" s="2" t="str">
        <f t="shared" si="127"/>
        <v>Error?</v>
      </c>
      <c r="E7797" s="4" t="s">
        <v>2020</v>
      </c>
    </row>
    <row r="7798" spans="1:5" x14ac:dyDescent="0.2">
      <c r="A7798">
        <v>7737</v>
      </c>
      <c r="B7798" s="138">
        <f>'Contracts Paid in CY 29'!F141</f>
        <v>97360</v>
      </c>
      <c r="D7798" s="2" t="str">
        <f t="shared" si="127"/>
        <v>Error?</v>
      </c>
      <c r="E7798" s="4" t="s">
        <v>2020</v>
      </c>
    </row>
    <row r="7799" spans="1:5" x14ac:dyDescent="0.2">
      <c r="A7799">
        <v>7738</v>
      </c>
      <c r="B7799" s="138">
        <f>'Contracts Paid in CY 29'!G141</f>
        <v>165967</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zoomScale="110" zoomScaleNormal="110" workbookViewId="0">
      <selection activeCell="A7" sqref="A7:D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3" t="s">
        <v>1253</v>
      </c>
      <c r="B2" s="2413"/>
      <c r="C2" s="2413"/>
      <c r="D2" s="2413"/>
      <c r="E2" s="2413"/>
      <c r="F2" s="2413"/>
      <c r="G2" s="2413"/>
      <c r="H2" s="2413"/>
      <c r="I2" s="2413"/>
      <c r="J2" s="2413"/>
      <c r="K2" s="2413"/>
      <c r="L2" s="2413"/>
    </row>
    <row r="3" spans="1:29" ht="13.5" customHeight="1" x14ac:dyDescent="0.2">
      <c r="A3" s="2444" t="s">
        <v>1252</v>
      </c>
      <c r="B3" s="2444"/>
      <c r="C3" s="2444"/>
      <c r="D3" s="2444"/>
      <c r="E3" s="2444"/>
      <c r="F3" s="2444"/>
      <c r="G3" s="2444"/>
      <c r="H3" s="2444"/>
      <c r="I3" s="2444"/>
      <c r="J3" s="2444"/>
      <c r="K3" s="2444"/>
      <c r="L3" s="2444"/>
    </row>
    <row r="4" spans="1:29" ht="13.5" customHeight="1" x14ac:dyDescent="0.2">
      <c r="A4" s="2413" t="s">
        <v>1799</v>
      </c>
      <c r="B4" s="2434"/>
      <c r="C4" s="2434"/>
      <c r="D4" s="2434"/>
      <c r="E4" s="2434"/>
      <c r="F4" s="2434"/>
      <c r="G4" s="2434"/>
      <c r="H4" s="2434"/>
      <c r="I4" s="2434"/>
      <c r="J4" s="2434"/>
      <c r="K4" s="2434"/>
      <c r="L4" s="243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35" t="str">
        <f>COVER!A17</f>
        <v>Steeleville CUSD 138</v>
      </c>
      <c r="B7" s="2436"/>
      <c r="C7" s="2436"/>
      <c r="D7" s="2437"/>
      <c r="E7" s="2438">
        <f>COVER!A13</f>
        <v>45079138026</v>
      </c>
      <c r="F7" s="2439"/>
      <c r="G7" s="2445" t="str">
        <f>COVER!T23</f>
        <v>065-014460</v>
      </c>
      <c r="H7" s="2446"/>
      <c r="I7" s="2446"/>
      <c r="J7" s="2446"/>
      <c r="K7" s="2446"/>
      <c r="L7" s="2447"/>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48"/>
      <c r="B9" s="2449"/>
      <c r="C9" s="2449"/>
      <c r="D9" s="2449"/>
      <c r="E9" s="2449"/>
      <c r="F9" s="2450"/>
      <c r="G9" s="2419" t="str">
        <f>COVER!T13</f>
        <v>SCHEFFEL BOYLE</v>
      </c>
      <c r="H9" s="2451"/>
      <c r="I9" s="2451"/>
      <c r="J9" s="2451"/>
      <c r="K9" s="2451"/>
      <c r="L9" s="2452"/>
    </row>
    <row r="10" spans="1:29" ht="13.5" customHeight="1" x14ac:dyDescent="0.2">
      <c r="A10" s="2425" t="str">
        <f>COVER!A38</f>
        <v>DR. STEPHANIE L. MULHOLLAND</v>
      </c>
      <c r="B10" s="2426"/>
      <c r="C10" s="2426"/>
      <c r="D10" s="2426"/>
      <c r="E10" s="2426"/>
      <c r="F10" s="2427"/>
      <c r="G10" s="2419" t="str">
        <f>COVER!T17</f>
        <v>7 HILL CASTLE LANE</v>
      </c>
      <c r="H10" s="2420"/>
      <c r="I10" s="2420"/>
      <c r="J10" s="2420"/>
      <c r="K10" s="2420"/>
      <c r="L10" s="2421"/>
    </row>
    <row r="11" spans="1:29" ht="13.5" customHeight="1" x14ac:dyDescent="0.2">
      <c r="A11" s="1184" t="s">
        <v>1599</v>
      </c>
      <c r="B11" s="1185"/>
      <c r="C11" s="1186"/>
      <c r="D11" s="1191"/>
      <c r="E11" s="1186"/>
      <c r="F11" s="1190"/>
      <c r="G11" s="2419" t="str">
        <f>COVER!T19</f>
        <v>COLUMBIA</v>
      </c>
      <c r="H11" s="2420"/>
      <c r="I11" s="2420"/>
      <c r="J11" s="2420"/>
      <c r="K11" s="2420"/>
      <c r="L11" s="2421"/>
    </row>
    <row r="12" spans="1:29" ht="13.5" customHeight="1" x14ac:dyDescent="0.2">
      <c r="A12" s="2428" t="s">
        <v>1598</v>
      </c>
      <c r="B12" s="2429"/>
      <c r="C12" s="2429"/>
      <c r="D12" s="2429"/>
      <c r="E12" s="2429"/>
      <c r="F12" s="2430"/>
      <c r="G12" s="2422"/>
      <c r="H12" s="2423"/>
      <c r="I12" s="2423"/>
      <c r="J12" s="2423"/>
      <c r="K12" s="2423"/>
      <c r="L12" s="2424"/>
    </row>
    <row r="13" spans="1:29" ht="13.5" customHeight="1" x14ac:dyDescent="0.2">
      <c r="A13" s="2419"/>
      <c r="B13" s="2420"/>
      <c r="C13" s="2420"/>
      <c r="D13" s="2420"/>
      <c r="E13" s="2420"/>
      <c r="F13" s="2421"/>
      <c r="G13" s="2414" t="s">
        <v>1600</v>
      </c>
      <c r="H13" s="2415"/>
      <c r="I13" s="2431">
        <f>COVER!T25</f>
        <v>0</v>
      </c>
      <c r="J13" s="2432"/>
      <c r="K13" s="2432"/>
      <c r="L13" s="2433"/>
    </row>
    <row r="14" spans="1:29" ht="13.5" customHeight="1" x14ac:dyDescent="0.2">
      <c r="A14" s="2419" t="str">
        <f>COVER!A19</f>
        <v>701 SOUTH SPARTA STREET</v>
      </c>
      <c r="B14" s="2420"/>
      <c r="C14" s="2420"/>
      <c r="D14" s="2420"/>
      <c r="E14" s="2420"/>
      <c r="F14" s="2421"/>
      <c r="G14" s="1195" t="s">
        <v>1247</v>
      </c>
      <c r="H14" s="1193"/>
      <c r="I14" s="1193"/>
      <c r="J14" s="1193"/>
      <c r="K14" s="1193"/>
      <c r="L14" s="1194"/>
    </row>
    <row r="15" spans="1:29" ht="13.5" customHeight="1" x14ac:dyDescent="0.2">
      <c r="A15" s="2419" t="str">
        <f>COVER!A21</f>
        <v>STEELEVILLE</v>
      </c>
      <c r="B15" s="2420"/>
      <c r="C15" s="2420"/>
      <c r="D15" s="2420"/>
      <c r="E15" s="2420"/>
      <c r="F15" s="2421"/>
      <c r="G15" s="2416" t="str">
        <f>COVER!T15</f>
        <v>KEITH G. BRINKMANN, CPA</v>
      </c>
      <c r="H15" s="2417"/>
      <c r="I15" s="2417"/>
      <c r="J15" s="2417"/>
      <c r="K15" s="2417"/>
      <c r="L15" s="2418"/>
    </row>
    <row r="16" spans="1:29" ht="12.2" customHeight="1" x14ac:dyDescent="0.2">
      <c r="A16" s="2441">
        <f>COVER!A25</f>
        <v>62288</v>
      </c>
      <c r="B16" s="2442"/>
      <c r="C16" s="2442"/>
      <c r="D16" s="2442"/>
      <c r="E16" s="2442"/>
      <c r="F16" s="2443"/>
      <c r="G16" s="2453"/>
      <c r="H16" s="2454"/>
      <c r="I16" s="2454"/>
      <c r="J16" s="2454"/>
      <c r="K16" s="2454"/>
      <c r="L16" s="2455"/>
    </row>
    <row r="17" spans="1:13" ht="12.2" customHeight="1" x14ac:dyDescent="0.2">
      <c r="A17" s="2456"/>
      <c r="B17" s="2442"/>
      <c r="C17" s="2442"/>
      <c r="D17" s="2442"/>
      <c r="E17" s="2442"/>
      <c r="F17" s="2443"/>
      <c r="G17" s="1195" t="s">
        <v>1246</v>
      </c>
      <c r="H17" s="1193"/>
      <c r="I17" s="1193"/>
      <c r="J17" s="1193"/>
      <c r="K17" s="1197" t="s">
        <v>1245</v>
      </c>
      <c r="L17" s="1190"/>
      <c r="M17" s="1183"/>
    </row>
    <row r="18" spans="1:13" ht="12.2" customHeight="1" x14ac:dyDescent="0.2">
      <c r="A18" s="2425"/>
      <c r="B18" s="2426"/>
      <c r="C18" s="2426"/>
      <c r="D18" s="2426"/>
      <c r="E18" s="2426"/>
      <c r="F18" s="2427"/>
      <c r="G18" s="2435" t="str">
        <f>COVER!T21</f>
        <v>618-281-7605</v>
      </c>
      <c r="H18" s="2436"/>
      <c r="I18" s="2436"/>
      <c r="J18" s="2436"/>
      <c r="K18" s="2435" t="str">
        <f>COVER!X21</f>
        <v>618-281-6630</v>
      </c>
      <c r="L18" s="244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B7" sqref="B7"/>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7" t="str">
        <f>'Single Audit Cover'!A7</f>
        <v>Steeleville CUSD 138</v>
      </c>
      <c r="B1" s="2434"/>
      <c r="C1" s="2434"/>
      <c r="D1" s="2434"/>
    </row>
    <row r="2" spans="1:11" s="1214" customFormat="1" ht="12.75" x14ac:dyDescent="0.2">
      <c r="A2" s="2458">
        <f>'Single Audit Cover'!E7</f>
        <v>45079138026</v>
      </c>
      <c r="B2" s="2459"/>
      <c r="C2" s="2459"/>
      <c r="D2" s="2459"/>
    </row>
    <row r="3" spans="1:11" s="1214" customFormat="1" ht="12.75" x14ac:dyDescent="0.2">
      <c r="A3" s="2457" t="s">
        <v>1593</v>
      </c>
      <c r="B3" s="2434"/>
      <c r="C3" s="2434"/>
      <c r="D3" s="2434"/>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5" right="0.25" top="0.5" bottom="0.5" header="0.25" footer="0.25"/>
  <pageSetup scale="75" firstPageNumber="39"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61" t="str">
        <f>'Single Audit Cover'!A7</f>
        <v>Steeleville CUSD 138</v>
      </c>
      <c r="B1" s="2461"/>
      <c r="C1" s="2461"/>
      <c r="D1" s="2461"/>
      <c r="E1" s="2461"/>
    </row>
    <row r="2" spans="1:5" x14ac:dyDescent="0.2">
      <c r="A2" s="2462">
        <f>'Single Audit Cover'!E7</f>
        <v>45079138026</v>
      </c>
      <c r="B2" s="2462"/>
      <c r="C2" s="2462"/>
      <c r="D2" s="2462"/>
      <c r="E2" s="2462"/>
    </row>
    <row r="3" spans="1:5" ht="4.5" customHeight="1" x14ac:dyDescent="0.2"/>
    <row r="4" spans="1:5" x14ac:dyDescent="0.2">
      <c r="A4" s="2461" t="s">
        <v>1307</v>
      </c>
      <c r="B4" s="2461"/>
      <c r="C4" s="2461"/>
      <c r="D4" s="2461"/>
      <c r="E4" s="2461"/>
    </row>
    <row r="5" spans="1:5" x14ac:dyDescent="0.2">
      <c r="A5" s="2464" t="str">
        <f>'Single Audit Cover'!A4</f>
        <v>Year Ending June 30, 2018</v>
      </c>
      <c r="B5" s="2464"/>
      <c r="C5" s="2464"/>
      <c r="D5" s="2464"/>
      <c r="E5" s="2464"/>
    </row>
    <row r="6" spans="1:5" x14ac:dyDescent="0.2">
      <c r="A6" s="2461" t="s">
        <v>1306</v>
      </c>
      <c r="B6" s="2461"/>
      <c r="C6" s="2461"/>
      <c r="D6" s="2461"/>
      <c r="E6" s="2461"/>
    </row>
    <row r="8" spans="1:5" x14ac:dyDescent="0.2">
      <c r="A8" s="1259" t="s">
        <v>1305</v>
      </c>
    </row>
    <row r="10" spans="1:5" x14ac:dyDescent="0.2">
      <c r="A10" s="1260" t="s">
        <v>1304</v>
      </c>
      <c r="B10" s="1261" t="s">
        <v>1303</v>
      </c>
      <c r="C10" s="1261"/>
      <c r="D10" s="1262">
        <f>SUM('Acct Summary 7-8'!C7:K7)</f>
        <v>256405</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14411</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-4264</v>
      </c>
    </row>
    <row r="19" spans="1:4" ht="13.5" thickBot="1" x14ac:dyDescent="0.25">
      <c r="A19" s="1264" t="s">
        <v>1297</v>
      </c>
      <c r="D19" s="1265">
        <f>SUM(D10:D17)</f>
        <v>266552</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63"/>
      <c r="B24" s="2463"/>
      <c r="D24" s="1267"/>
    </row>
    <row r="25" spans="1:4" x14ac:dyDescent="0.2">
      <c r="A25" s="2460"/>
      <c r="B25" s="2460"/>
      <c r="D25" s="1267"/>
    </row>
    <row r="26" spans="1:4" x14ac:dyDescent="0.2">
      <c r="A26" s="2460"/>
      <c r="B26" s="2460"/>
      <c r="D26" s="1267"/>
    </row>
    <row r="27" spans="1:4" x14ac:dyDescent="0.2">
      <c r="A27" s="2460"/>
      <c r="B27" s="2460"/>
      <c r="D27" s="1267"/>
    </row>
    <row r="28" spans="1:4" x14ac:dyDescent="0.2">
      <c r="A28" s="2460"/>
      <c r="B28" s="2460"/>
      <c r="D28" s="1267"/>
    </row>
    <row r="29" spans="1:4" x14ac:dyDescent="0.2">
      <c r="A29" s="2460"/>
      <c r="B29" s="2460"/>
      <c r="D29" s="1267"/>
    </row>
    <row r="30" spans="1:4" x14ac:dyDescent="0.2">
      <c r="A30" s="2460"/>
      <c r="B30" s="2460"/>
      <c r="D30" s="1267"/>
    </row>
    <row r="32" spans="1:4" x14ac:dyDescent="0.2">
      <c r="A32" s="1259" t="s">
        <v>1295</v>
      </c>
      <c r="D32" s="1262">
        <f>SUM(D19:D30)</f>
        <v>266552</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60"/>
      <c r="B40" s="2460"/>
      <c r="D40" s="1267"/>
    </row>
    <row r="41" spans="1:4" x14ac:dyDescent="0.2">
      <c r="A41" s="2460"/>
      <c r="B41" s="2460"/>
      <c r="D41" s="1270"/>
    </row>
    <row r="42" spans="1:4" x14ac:dyDescent="0.2">
      <c r="A42" s="2460"/>
      <c r="B42" s="2460"/>
      <c r="D42" s="1270"/>
    </row>
    <row r="43" spans="1:4" x14ac:dyDescent="0.2">
      <c r="A43" s="2460"/>
      <c r="B43" s="2460"/>
      <c r="D43" s="1270"/>
    </row>
    <row r="44" spans="1:4" x14ac:dyDescent="0.2">
      <c r="A44" s="2460"/>
      <c r="B44" s="2460"/>
      <c r="D44" s="1270"/>
    </row>
    <row r="45" spans="1:4" x14ac:dyDescent="0.2">
      <c r="A45" s="2460"/>
      <c r="B45" s="2460"/>
      <c r="D45" s="1270"/>
    </row>
    <row r="47" spans="1:4" x14ac:dyDescent="0.2">
      <c r="B47" s="1271" t="s">
        <v>1289</v>
      </c>
      <c r="C47" s="1271"/>
      <c r="D47" s="1272">
        <f>SUM(D35:D45)</f>
        <v>0</v>
      </c>
    </row>
    <row r="49" spans="2:4" x14ac:dyDescent="0.2">
      <c r="B49" s="1271" t="s">
        <v>1288</v>
      </c>
      <c r="C49" s="1271"/>
      <c r="D49" s="1272">
        <f>D32-D47</f>
        <v>266552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74" t="str">
        <f>'Single Audit Cover'!A7</f>
        <v>Steeleville CUSD 138</v>
      </c>
      <c r="B1" s="2474"/>
      <c r="C1" s="2474"/>
      <c r="D1" s="2474"/>
      <c r="E1" s="2474"/>
      <c r="F1" s="2474"/>
    </row>
    <row r="2" spans="1:7" ht="13.5" customHeight="1" x14ac:dyDescent="0.2">
      <c r="A2" s="2475">
        <f>'Single Audit Cover'!E7</f>
        <v>45079138026</v>
      </c>
      <c r="B2" s="2475"/>
      <c r="C2" s="2475"/>
      <c r="D2" s="2475"/>
      <c r="E2" s="2475"/>
      <c r="F2" s="2475"/>
      <c r="G2" s="1274"/>
    </row>
    <row r="3" spans="1:7" ht="15.75" customHeight="1" x14ac:dyDescent="0.2">
      <c r="A3" s="2476" t="s">
        <v>1333</v>
      </c>
      <c r="B3" s="2476"/>
      <c r="C3" s="2476"/>
      <c r="D3" s="2476"/>
      <c r="E3" s="2476"/>
      <c r="F3" s="2476"/>
    </row>
    <row r="4" spans="1:7" ht="13.5" customHeight="1" x14ac:dyDescent="0.2">
      <c r="A4" s="2477" t="str">
        <f>'Single Audit Cover'!A4</f>
        <v>Year Ending June 30, 2018</v>
      </c>
      <c r="B4" s="2477"/>
      <c r="C4" s="2477"/>
      <c r="D4" s="2477"/>
      <c r="E4" s="2477"/>
      <c r="F4" s="2477"/>
    </row>
    <row r="5" spans="1:7" ht="8.25" customHeight="1" x14ac:dyDescent="0.2">
      <c r="C5" s="317"/>
      <c r="D5" s="317"/>
    </row>
    <row r="6" spans="1:7" ht="13.5" customHeight="1" x14ac:dyDescent="0.2">
      <c r="A6" s="1275" t="s">
        <v>1831</v>
      </c>
      <c r="C6" s="317"/>
      <c r="D6" s="317"/>
    </row>
    <row r="7" spans="1:7" ht="60.95" customHeight="1" x14ac:dyDescent="0.2">
      <c r="A7" s="2473" t="s">
        <v>1832</v>
      </c>
      <c r="B7" s="2473"/>
      <c r="C7" s="2473"/>
      <c r="D7" s="2473"/>
      <c r="E7" s="2473"/>
      <c r="F7" s="2473"/>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5"/>
      <c r="D11" s="1279"/>
      <c r="E11" s="1925"/>
      <c r="F11" s="1279"/>
      <c r="G11" s="1277"/>
    </row>
    <row r="12" spans="1:7" x14ac:dyDescent="0.2">
      <c r="A12" s="1275" t="s">
        <v>1669</v>
      </c>
      <c r="C12" s="1259"/>
      <c r="D12" s="1259"/>
    </row>
    <row r="13" spans="1:7" ht="15" customHeight="1" x14ac:dyDescent="0.2">
      <c r="A13" s="2473" t="s">
        <v>1834</v>
      </c>
      <c r="B13" s="2473"/>
      <c r="C13" s="2473"/>
      <c r="D13" s="2473"/>
      <c r="E13" s="2473"/>
      <c r="F13" s="2473"/>
    </row>
    <row r="14" spans="1:7" ht="9.75" customHeight="1" x14ac:dyDescent="0.2">
      <c r="C14" s="1259"/>
      <c r="D14" s="1259"/>
    </row>
    <row r="15" spans="1:7" ht="13.5" customHeight="1" x14ac:dyDescent="0.2">
      <c r="C15" s="1869" t="s">
        <v>1332</v>
      </c>
      <c r="D15" s="2471" t="s">
        <v>1331</v>
      </c>
      <c r="E15" s="2471"/>
      <c r="F15" s="2471"/>
    </row>
    <row r="16" spans="1:7" ht="13.5" customHeight="1" x14ac:dyDescent="0.2">
      <c r="A16" s="1281"/>
      <c r="B16" s="1275" t="s">
        <v>1330</v>
      </c>
      <c r="C16" s="1869" t="s">
        <v>1329</v>
      </c>
      <c r="D16" s="2472" t="s">
        <v>1670</v>
      </c>
      <c r="E16" s="2472"/>
      <c r="F16" s="2472"/>
    </row>
    <row r="17" spans="1:6" ht="20.45" customHeight="1" x14ac:dyDescent="0.2">
      <c r="A17" s="1282"/>
      <c r="B17" s="1283"/>
      <c r="C17" s="1284"/>
      <c r="D17" s="2466"/>
      <c r="E17" s="2466"/>
      <c r="F17" s="2466"/>
    </row>
    <row r="18" spans="1:6" ht="20.65" customHeight="1" x14ac:dyDescent="0.2">
      <c r="A18" s="1282"/>
      <c r="B18" s="1283"/>
      <c r="C18" s="1284"/>
      <c r="D18" s="2466"/>
      <c r="E18" s="2466"/>
      <c r="F18" s="2466"/>
    </row>
    <row r="19" spans="1:6" ht="20.65" customHeight="1" x14ac:dyDescent="0.2">
      <c r="A19" s="1282"/>
      <c r="B19" s="1283"/>
      <c r="C19" s="1284"/>
      <c r="D19" s="2466"/>
      <c r="E19" s="2466"/>
      <c r="F19" s="2466"/>
    </row>
    <row r="20" spans="1:6" ht="20.65" customHeight="1" x14ac:dyDescent="0.2">
      <c r="A20" s="1282"/>
      <c r="B20" s="1283"/>
      <c r="C20" s="1284"/>
      <c r="D20" s="2466"/>
      <c r="E20" s="2466"/>
      <c r="F20" s="2466"/>
    </row>
    <row r="21" spans="1:6" ht="20.65" customHeight="1" x14ac:dyDescent="0.2">
      <c r="A21" s="1282"/>
      <c r="B21" s="1283"/>
      <c r="C21" s="1284"/>
      <c r="D21" s="2466"/>
      <c r="E21" s="2466"/>
      <c r="F21" s="2466"/>
    </row>
    <row r="22" spans="1:6" ht="20.65" customHeight="1" x14ac:dyDescent="0.2">
      <c r="A22" s="1282"/>
      <c r="B22" s="1283"/>
      <c r="C22" s="1284"/>
      <c r="D22" s="2466"/>
      <c r="E22" s="2466"/>
      <c r="F22" s="2466"/>
    </row>
    <row r="23" spans="1:6" ht="20.65" customHeight="1" x14ac:dyDescent="0.2">
      <c r="A23" s="1282"/>
      <c r="B23" s="1283"/>
      <c r="C23" s="1284"/>
      <c r="D23" s="2466"/>
      <c r="E23" s="2466"/>
      <c r="F23" s="2466"/>
    </row>
    <row r="24" spans="1:6" ht="20.65" customHeight="1" x14ac:dyDescent="0.2">
      <c r="A24" s="1282"/>
      <c r="B24" s="1283"/>
      <c r="C24" s="1284"/>
      <c r="D24" s="2466"/>
      <c r="E24" s="2466"/>
      <c r="F24" s="2466"/>
    </row>
    <row r="25" spans="1:6" ht="20.65" customHeight="1" x14ac:dyDescent="0.2">
      <c r="A25" s="1282"/>
      <c r="B25" s="1283"/>
      <c r="C25" s="1284"/>
      <c r="D25" s="2466"/>
      <c r="E25" s="2466"/>
      <c r="F25" s="2466"/>
    </row>
    <row r="26" spans="1:6" ht="20.65" customHeight="1" x14ac:dyDescent="0.2">
      <c r="A26" s="1282"/>
      <c r="B26" s="1283"/>
      <c r="C26" s="1284"/>
      <c r="D26" s="2466"/>
      <c r="E26" s="2466"/>
      <c r="F26" s="2466"/>
    </row>
    <row r="27" spans="1:6" ht="20.65" customHeight="1" x14ac:dyDescent="0.2">
      <c r="A27" s="1282"/>
      <c r="B27" s="1283"/>
      <c r="C27" s="1284"/>
      <c r="D27" s="2466"/>
      <c r="E27" s="2466"/>
      <c r="F27" s="2466"/>
    </row>
    <row r="28" spans="1:6" ht="20.65" customHeight="1" x14ac:dyDescent="0.2">
      <c r="A28" s="1282"/>
      <c r="B28" s="1283"/>
      <c r="C28" s="1284"/>
      <c r="D28" s="2466"/>
      <c r="E28" s="2466"/>
      <c r="F28" s="2466"/>
    </row>
    <row r="29" spans="1:6" ht="20.65" customHeight="1" x14ac:dyDescent="0.2">
      <c r="A29" s="1282"/>
      <c r="B29" s="1283"/>
      <c r="C29" s="1284"/>
      <c r="D29" s="2466"/>
      <c r="E29" s="2466"/>
      <c r="F29" s="2466"/>
    </row>
    <row r="30" spans="1:6" ht="12" customHeight="1" x14ac:dyDescent="0.2">
      <c r="A30" s="328"/>
      <c r="B30" s="328"/>
      <c r="C30" s="1477"/>
      <c r="D30" s="1926"/>
      <c r="E30" s="1285"/>
    </row>
    <row r="31" spans="1:6" ht="12" customHeight="1" x14ac:dyDescent="0.2">
      <c r="A31" s="1286" t="s">
        <v>1630</v>
      </c>
      <c r="B31" s="328"/>
      <c r="C31" s="1477"/>
      <c r="D31" s="1926"/>
      <c r="E31" s="1285"/>
    </row>
    <row r="32" spans="1:6" ht="30" customHeight="1" x14ac:dyDescent="0.2">
      <c r="A32" s="2467" t="s">
        <v>1835</v>
      </c>
      <c r="B32" s="2467"/>
      <c r="C32" s="2467"/>
      <c r="D32" s="2467"/>
      <c r="E32" s="2467"/>
      <c r="F32" s="2467"/>
    </row>
    <row r="33" spans="1:6" ht="13.5" customHeight="1" x14ac:dyDescent="0.2">
      <c r="A33" s="328" t="s">
        <v>1509</v>
      </c>
      <c r="B33" s="328"/>
      <c r="C33" s="1287">
        <v>0</v>
      </c>
      <c r="D33" s="1926"/>
      <c r="E33" s="1285"/>
    </row>
    <row r="34" spans="1:6" ht="13.5" customHeight="1" x14ac:dyDescent="0.2">
      <c r="A34" s="328" t="s">
        <v>1949</v>
      </c>
      <c r="B34" s="328"/>
      <c r="C34" s="1288">
        <v>0</v>
      </c>
      <c r="D34" s="1926" t="s">
        <v>1671</v>
      </c>
      <c r="E34" s="2468">
        <f>+C33+C34</f>
        <v>0</v>
      </c>
      <c r="F34" s="2469"/>
    </row>
    <row r="35" spans="1:6" ht="12" customHeight="1" x14ac:dyDescent="0.2">
      <c r="A35" s="328"/>
      <c r="B35" s="328"/>
      <c r="C35" s="1927"/>
      <c r="D35" s="1926"/>
      <c r="E35" s="1289"/>
      <c r="F35" s="1290"/>
    </row>
    <row r="36" spans="1:6" ht="13.5" customHeight="1" x14ac:dyDescent="0.2">
      <c r="A36" s="1286" t="s">
        <v>1631</v>
      </c>
      <c r="B36" s="328"/>
      <c r="C36" s="1477"/>
      <c r="D36" s="1926"/>
      <c r="E36" s="1285"/>
    </row>
    <row r="37" spans="1:6" ht="14.25" customHeight="1" x14ac:dyDescent="0.2">
      <c r="A37" s="328" t="s">
        <v>1563</v>
      </c>
      <c r="B37" s="328"/>
      <c r="C37" s="1928"/>
      <c r="D37" s="1926"/>
      <c r="E37" s="1285"/>
    </row>
    <row r="38" spans="1:6" ht="14.25" customHeight="1" x14ac:dyDescent="0.2">
      <c r="A38" s="328"/>
      <c r="B38" s="328" t="s">
        <v>1510</v>
      </c>
      <c r="C38" s="1291"/>
      <c r="D38" s="1926"/>
      <c r="E38" s="1285"/>
    </row>
    <row r="39" spans="1:6" ht="14.25" customHeight="1" x14ac:dyDescent="0.2">
      <c r="A39" s="328"/>
      <c r="B39" s="328" t="s">
        <v>1511</v>
      </c>
      <c r="C39" s="1291"/>
      <c r="D39" s="1926"/>
      <c r="E39" s="1285"/>
    </row>
    <row r="40" spans="1:6" ht="14.25" customHeight="1" x14ac:dyDescent="0.2">
      <c r="A40" s="328"/>
      <c r="B40" s="328" t="s">
        <v>1512</v>
      </c>
      <c r="C40" s="1291"/>
      <c r="D40" s="1926"/>
      <c r="E40" s="1285"/>
    </row>
    <row r="41" spans="1:6" ht="14.25" customHeight="1" x14ac:dyDescent="0.2">
      <c r="A41" s="328"/>
      <c r="B41" s="328" t="s">
        <v>1513</v>
      </c>
      <c r="C41" s="1291"/>
      <c r="D41" s="1926"/>
      <c r="E41" s="1285"/>
    </row>
    <row r="42" spans="1:6" ht="14.25" customHeight="1" x14ac:dyDescent="0.2">
      <c r="A42" s="328" t="s">
        <v>1514</v>
      </c>
      <c r="B42" s="328"/>
      <c r="C42" s="1924"/>
      <c r="D42" s="1926"/>
      <c r="E42" s="1285"/>
    </row>
    <row r="43" spans="1:6" ht="14.25" customHeight="1" x14ac:dyDescent="0.2">
      <c r="A43" s="328" t="s">
        <v>1515</v>
      </c>
      <c r="B43" s="328"/>
      <c r="C43" s="1292"/>
      <c r="D43" s="1926"/>
      <c r="E43" s="1285"/>
    </row>
    <row r="44" spans="1:6" ht="14.25" customHeight="1" x14ac:dyDescent="0.2">
      <c r="A44" s="328"/>
      <c r="B44" s="328"/>
      <c r="C44" s="1928" t="s">
        <v>1516</v>
      </c>
      <c r="D44" s="1926"/>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0" t="s">
        <v>1672</v>
      </c>
      <c r="C49" s="2470"/>
      <c r="D49" s="2470"/>
      <c r="E49" s="1398"/>
    </row>
    <row r="50" spans="1:5" s="1299" customFormat="1" ht="3.75" customHeight="1" x14ac:dyDescent="0.2">
      <c r="A50" s="1298"/>
      <c r="B50" s="1868"/>
      <c r="C50" s="1868"/>
      <c r="D50" s="1868"/>
      <c r="E50" s="1398"/>
    </row>
    <row r="51" spans="1:5" s="1299" customFormat="1" ht="20.25" customHeight="1" x14ac:dyDescent="0.2">
      <c r="A51" s="1300">
        <v>6</v>
      </c>
      <c r="B51" s="2465" t="s">
        <v>1632</v>
      </c>
      <c r="C51" s="2465"/>
      <c r="D51" s="2465"/>
    </row>
    <row r="52" spans="1:5" ht="14.25" customHeight="1" x14ac:dyDescent="0.2">
      <c r="A52" s="1300"/>
      <c r="B52" s="2465"/>
      <c r="C52" s="2465"/>
      <c r="D52" s="246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44" t="str">
        <f>'Single Audit Cover'!A7</f>
        <v>Steeleville CUSD 138</v>
      </c>
      <c r="C1" s="2478"/>
      <c r="D1" s="2478"/>
      <c r="E1" s="2478"/>
      <c r="F1" s="2478"/>
      <c r="G1" s="2478"/>
      <c r="H1" s="2478"/>
      <c r="I1" s="2478"/>
      <c r="J1" s="2478"/>
      <c r="K1" s="2478"/>
      <c r="L1" s="2478"/>
      <c r="M1" s="2478"/>
    </row>
    <row r="2" spans="2:14" ht="15" x14ac:dyDescent="0.2">
      <c r="B2" s="2475">
        <f>'Single Audit Cover'!E7</f>
        <v>45079138026</v>
      </c>
      <c r="C2" s="2475"/>
      <c r="D2" s="2475"/>
      <c r="E2" s="2475"/>
      <c r="F2" s="2475"/>
      <c r="G2" s="2475"/>
      <c r="H2" s="2475"/>
      <c r="I2" s="2475"/>
      <c r="J2" s="2475"/>
      <c r="K2" s="2475"/>
      <c r="L2" s="2475"/>
      <c r="M2" s="2475"/>
      <c r="N2" s="1301"/>
    </row>
    <row r="3" spans="2:14" ht="15" x14ac:dyDescent="0.2">
      <c r="B3" s="2479" t="s">
        <v>1281</v>
      </c>
      <c r="C3" s="2479"/>
      <c r="D3" s="2479"/>
      <c r="E3" s="2479"/>
      <c r="F3" s="2479"/>
      <c r="G3" s="2479"/>
      <c r="H3" s="2479"/>
      <c r="I3" s="2479"/>
      <c r="J3" s="2479"/>
      <c r="K3" s="2479"/>
      <c r="L3" s="2479"/>
      <c r="M3" s="2479"/>
      <c r="N3" s="1301"/>
    </row>
    <row r="4" spans="2:14" ht="15" x14ac:dyDescent="0.2">
      <c r="B4" s="2480" t="str">
        <f>'Single Audit Cover'!A4</f>
        <v>Year Ending June 30, 2018</v>
      </c>
      <c r="C4" s="2480"/>
      <c r="D4" s="2480"/>
      <c r="E4" s="2480"/>
      <c r="F4" s="2480"/>
      <c r="G4" s="2480"/>
      <c r="H4" s="2480"/>
      <c r="I4" s="2480"/>
      <c r="J4" s="2480"/>
      <c r="K4" s="2480"/>
      <c r="L4" s="2480"/>
      <c r="M4" s="2480"/>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6" t="s">
        <v>1230</v>
      </c>
      <c r="B2" s="2086"/>
      <c r="C2" s="2086"/>
      <c r="D2" s="2086"/>
      <c r="E2" s="2086"/>
      <c r="F2" s="2086"/>
      <c r="G2" s="2086"/>
      <c r="H2" s="2086"/>
      <c r="I2" s="2086"/>
      <c r="J2" s="208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0" t="s">
        <v>1731</v>
      </c>
      <c r="B35" s="2101"/>
      <c r="C35" s="2101"/>
      <c r="D35" s="2101"/>
      <c r="E35" s="2102"/>
      <c r="F35" s="2102"/>
      <c r="G35" s="2102"/>
      <c r="H35" s="2102"/>
      <c r="I35" s="210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0" t="s">
        <v>331</v>
      </c>
      <c r="B47" s="2103"/>
      <c r="C47" s="2103"/>
      <c r="D47" s="2103"/>
      <c r="E47" s="2104"/>
      <c r="F47" s="2104"/>
      <c r="G47" s="2104"/>
      <c r="H47" s="2104"/>
      <c r="I47" s="210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35065</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7"/>
      <c r="C57" s="2108"/>
      <c r="D57" s="2108"/>
      <c r="E57" s="2108"/>
      <c r="F57" s="2108"/>
      <c r="G57" s="2108"/>
      <c r="H57" s="2108"/>
      <c r="I57" s="2108"/>
      <c r="J57" s="2109"/>
    </row>
    <row r="58" spans="1:10" s="181" customFormat="1" x14ac:dyDescent="0.2">
      <c r="A58" s="253"/>
      <c r="B58" s="2110"/>
      <c r="C58" s="2111"/>
      <c r="D58" s="2111"/>
      <c r="E58" s="2111"/>
      <c r="F58" s="2111"/>
      <c r="G58" s="2111"/>
      <c r="H58" s="2111"/>
      <c r="I58" s="2111"/>
      <c r="J58" s="2112"/>
    </row>
    <row r="59" spans="1:10" s="181" customFormat="1" x14ac:dyDescent="0.2">
      <c r="A59" s="253"/>
      <c r="B59" s="2110"/>
      <c r="C59" s="2111"/>
      <c r="D59" s="2111"/>
      <c r="E59" s="2111"/>
      <c r="F59" s="2111"/>
      <c r="G59" s="2111"/>
      <c r="H59" s="2111"/>
      <c r="I59" s="2111"/>
      <c r="J59" s="2112"/>
    </row>
    <row r="60" spans="1:10" s="181" customFormat="1" x14ac:dyDescent="0.2">
      <c r="A60" s="253"/>
      <c r="B60" s="2110"/>
      <c r="C60" s="2111"/>
      <c r="D60" s="2111"/>
      <c r="E60" s="2111"/>
      <c r="F60" s="2111"/>
      <c r="G60" s="2111"/>
      <c r="H60" s="2111"/>
      <c r="I60" s="2111"/>
      <c r="J60" s="2112"/>
    </row>
    <row r="61" spans="1:10" s="181" customFormat="1" x14ac:dyDescent="0.2">
      <c r="A61" s="253"/>
      <c r="B61" s="2110"/>
      <c r="C61" s="2111"/>
      <c r="D61" s="2111"/>
      <c r="E61" s="2111"/>
      <c r="F61" s="2111"/>
      <c r="G61" s="2111"/>
      <c r="H61" s="2111"/>
      <c r="I61" s="2111"/>
      <c r="J61" s="2112"/>
    </row>
    <row r="62" spans="1:10" s="181" customFormat="1" x14ac:dyDescent="0.2">
      <c r="A62" s="253"/>
      <c r="B62" s="2110"/>
      <c r="C62" s="2111"/>
      <c r="D62" s="2111"/>
      <c r="E62" s="2111"/>
      <c r="F62" s="2111"/>
      <c r="G62" s="2111"/>
      <c r="H62" s="2111"/>
      <c r="I62" s="2111"/>
      <c r="J62" s="2112"/>
    </row>
    <row r="63" spans="1:10" s="181" customFormat="1" x14ac:dyDescent="0.2">
      <c r="A63" s="253"/>
      <c r="B63" s="2110"/>
      <c r="C63" s="2111"/>
      <c r="D63" s="2111"/>
      <c r="E63" s="2111"/>
      <c r="F63" s="2111"/>
      <c r="G63" s="2111"/>
      <c r="H63" s="2111"/>
      <c r="I63" s="2111"/>
      <c r="J63" s="2112"/>
    </row>
    <row r="64" spans="1:10" s="181" customFormat="1" x14ac:dyDescent="0.2">
      <c r="A64" s="253"/>
      <c r="B64" s="2110"/>
      <c r="C64" s="2111"/>
      <c r="D64" s="2111"/>
      <c r="E64" s="2111"/>
      <c r="F64" s="2111"/>
      <c r="G64" s="2111"/>
      <c r="H64" s="2111"/>
      <c r="I64" s="2111"/>
      <c r="J64" s="2112"/>
    </row>
    <row r="65" spans="1:10" s="181" customFormat="1" x14ac:dyDescent="0.2">
      <c r="A65" s="253"/>
      <c r="B65" s="2110"/>
      <c r="C65" s="2111"/>
      <c r="D65" s="2111"/>
      <c r="E65" s="2111"/>
      <c r="F65" s="2111"/>
      <c r="G65" s="2111"/>
      <c r="H65" s="2111"/>
      <c r="I65" s="2111"/>
      <c r="J65" s="2112"/>
    </row>
    <row r="66" spans="1:10" s="181" customFormat="1" x14ac:dyDescent="0.2">
      <c r="A66" s="253"/>
      <c r="B66" s="2110"/>
      <c r="C66" s="2111"/>
      <c r="D66" s="2111"/>
      <c r="E66" s="2111"/>
      <c r="F66" s="2111"/>
      <c r="G66" s="2111"/>
      <c r="H66" s="2111"/>
      <c r="I66" s="2111"/>
      <c r="J66" s="2112"/>
    </row>
    <row r="67" spans="1:10" s="181" customFormat="1" ht="9" customHeight="1" x14ac:dyDescent="0.2">
      <c r="A67" s="254"/>
      <c r="B67" s="2113"/>
      <c r="C67" s="2114"/>
      <c r="D67" s="2114"/>
      <c r="E67" s="2114"/>
      <c r="F67" s="2114"/>
      <c r="G67" s="2114"/>
      <c r="H67" s="2114"/>
      <c r="I67" s="2114"/>
      <c r="J67" s="211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0" t="s">
        <v>1390</v>
      </c>
      <c r="B70" s="2103"/>
      <c r="C70" s="2103"/>
      <c r="D70" s="2103"/>
      <c r="E70" s="2104"/>
      <c r="F70" s="2104"/>
      <c r="G70" s="2104"/>
      <c r="H70" s="2104"/>
      <c r="I70" s="210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5" t="s">
        <v>1387</v>
      </c>
      <c r="B83" s="2105"/>
      <c r="C83" s="2105"/>
      <c r="D83" s="210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7"/>
      <c r="C102" s="2088"/>
      <c r="D102" s="2088"/>
      <c r="E102" s="2088"/>
      <c r="F102" s="2088"/>
      <c r="G102" s="2088"/>
      <c r="H102" s="2088"/>
      <c r="I102" s="2089"/>
    </row>
    <row r="103" spans="1:9" s="181" customFormat="1" ht="11.25" customHeight="1" x14ac:dyDescent="0.2">
      <c r="A103" s="316"/>
      <c r="B103" s="2090"/>
      <c r="C103" s="2091"/>
      <c r="D103" s="2091"/>
      <c r="E103" s="2091"/>
      <c r="F103" s="2091"/>
      <c r="G103" s="2091"/>
      <c r="H103" s="2091"/>
      <c r="I103" s="2092"/>
    </row>
    <row r="104" spans="1:9" s="181" customFormat="1" ht="11.25" customHeight="1" x14ac:dyDescent="0.2">
      <c r="A104" s="316"/>
      <c r="B104" s="2090"/>
      <c r="C104" s="2091"/>
      <c r="D104" s="2091"/>
      <c r="E104" s="2091"/>
      <c r="F104" s="2091"/>
      <c r="G104" s="2091"/>
      <c r="H104" s="2091"/>
      <c r="I104" s="2092"/>
    </row>
    <row r="105" spans="1:9" s="181" customFormat="1" x14ac:dyDescent="0.2">
      <c r="A105" s="316"/>
      <c r="B105" s="2090"/>
      <c r="C105" s="2091"/>
      <c r="D105" s="2091"/>
      <c r="E105" s="2091"/>
      <c r="F105" s="2091"/>
      <c r="G105" s="2091"/>
      <c r="H105" s="2091"/>
      <c r="I105" s="2092"/>
    </row>
    <row r="106" spans="1:9" s="181" customFormat="1" ht="11.25" customHeight="1" x14ac:dyDescent="0.2">
      <c r="A106" s="316"/>
      <c r="B106" s="2090"/>
      <c r="C106" s="2091"/>
      <c r="D106" s="2091"/>
      <c r="E106" s="2091"/>
      <c r="F106" s="2091"/>
      <c r="G106" s="2091"/>
      <c r="H106" s="2091"/>
      <c r="I106" s="2092"/>
    </row>
    <row r="107" spans="1:9" s="181" customFormat="1" ht="11.25" customHeight="1" x14ac:dyDescent="0.2">
      <c r="A107" s="316"/>
      <c r="B107" s="2090"/>
      <c r="C107" s="2091"/>
      <c r="D107" s="2091"/>
      <c r="E107" s="2091"/>
      <c r="F107" s="2091"/>
      <c r="G107" s="2091"/>
      <c r="H107" s="2091"/>
      <c r="I107" s="2092"/>
    </row>
    <row r="108" spans="1:9" s="181" customFormat="1" ht="11.25" customHeight="1" x14ac:dyDescent="0.2">
      <c r="A108" s="316"/>
      <c r="B108" s="2090"/>
      <c r="C108" s="2091"/>
      <c r="D108" s="2091"/>
      <c r="E108" s="2091"/>
      <c r="F108" s="2091"/>
      <c r="G108" s="2091"/>
      <c r="H108" s="2091"/>
      <c r="I108" s="2092"/>
    </row>
    <row r="109" spans="1:9" s="181" customFormat="1" ht="11.25" customHeight="1" x14ac:dyDescent="0.2">
      <c r="A109" s="316"/>
      <c r="B109" s="2090"/>
      <c r="C109" s="2091"/>
      <c r="D109" s="2091"/>
      <c r="E109" s="2091"/>
      <c r="F109" s="2091"/>
      <c r="G109" s="2091"/>
      <c r="H109" s="2091"/>
      <c r="I109" s="2092"/>
    </row>
    <row r="110" spans="1:9" s="181" customFormat="1" ht="11.25" customHeight="1" x14ac:dyDescent="0.2">
      <c r="A110" s="316"/>
      <c r="B110" s="2090"/>
      <c r="C110" s="2091"/>
      <c r="D110" s="2091"/>
      <c r="E110" s="2091"/>
      <c r="F110" s="2091"/>
      <c r="G110" s="2091"/>
      <c r="H110" s="2091"/>
      <c r="I110" s="2092"/>
    </row>
    <row r="111" spans="1:9" s="181" customFormat="1" ht="11.25" customHeight="1" x14ac:dyDescent="0.2">
      <c r="A111" s="316"/>
      <c r="B111" s="2090"/>
      <c r="C111" s="2091"/>
      <c r="D111" s="2091"/>
      <c r="E111" s="2091"/>
      <c r="F111" s="2091"/>
      <c r="G111" s="2091"/>
      <c r="H111" s="2091"/>
      <c r="I111" s="2092"/>
    </row>
    <row r="112" spans="1:9" s="181" customFormat="1" ht="11.25" customHeight="1" x14ac:dyDescent="0.2">
      <c r="A112" s="316"/>
      <c r="B112" s="2093"/>
      <c r="C112" s="2094"/>
      <c r="D112" s="2094"/>
      <c r="E112" s="2094"/>
      <c r="F112" s="2094"/>
      <c r="G112" s="2094"/>
      <c r="H112" s="2094"/>
      <c r="I112" s="209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6" t="s">
        <v>2084</v>
      </c>
      <c r="D114" s="209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7" t="s">
        <v>1397</v>
      </c>
      <c r="D117" s="2098"/>
      <c r="E117" s="2099"/>
      <c r="F117" s="2099"/>
      <c r="G117" s="2099"/>
      <c r="H117" s="2099"/>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8" right="0" top="1" bottom="0.75" header="0.19" footer="0.5"/>
  <pageSetup scale="79" firstPageNumber="6" orientation="portrait" useFirstPageNumber="1" r:id="rId1"/>
  <headerFooter scaleWithDoc="0">
    <oddHeader xml:space="preserve">&amp;C </oddHeader>
    <oddFooter>&amp;LSee notes to financial statements.&amp;C&amp;P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B7" sqref="B7:I7"/>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2" t="str">
        <f>'Single Audit Cover'!A7</f>
        <v>Steeleville CUSD 138</v>
      </c>
      <c r="C1" s="2493"/>
      <c r="D1" s="2493"/>
      <c r="E1" s="2493"/>
      <c r="F1" s="2493"/>
      <c r="G1" s="2493"/>
      <c r="H1" s="2493"/>
      <c r="I1" s="2493"/>
      <c r="J1" s="1421"/>
    </row>
    <row r="2" spans="2:10" s="317" customFormat="1" ht="12.75" customHeight="1" x14ac:dyDescent="0.2">
      <c r="B2" s="2494">
        <f>'Single Audit Cover'!E7</f>
        <v>45079138026</v>
      </c>
      <c r="C2" s="2495"/>
      <c r="D2" s="2495"/>
      <c r="E2" s="2495"/>
      <c r="F2" s="2495"/>
      <c r="G2" s="2495"/>
      <c r="H2" s="2495"/>
      <c r="I2" s="2495"/>
      <c r="J2" s="1421"/>
    </row>
    <row r="3" spans="2:10" s="317" customFormat="1" ht="12.75" customHeight="1" x14ac:dyDescent="0.2">
      <c r="B3" s="2496" t="s">
        <v>1347</v>
      </c>
      <c r="C3" s="2497"/>
      <c r="D3" s="2497"/>
      <c r="E3" s="2497"/>
      <c r="F3" s="2497"/>
      <c r="G3" s="2497"/>
      <c r="H3" s="2497"/>
      <c r="I3" s="2497"/>
      <c r="J3" s="1422"/>
    </row>
    <row r="4" spans="2:10" s="317" customFormat="1" ht="12.75" customHeight="1" x14ac:dyDescent="0.2">
      <c r="B4" s="2496" t="str">
        <f>'Single Audit Cover'!A4</f>
        <v>Year Ending June 30, 2018</v>
      </c>
      <c r="C4" s="2497"/>
      <c r="D4" s="2497"/>
      <c r="E4" s="2497"/>
      <c r="F4" s="2497"/>
      <c r="G4" s="2497"/>
      <c r="H4" s="2497"/>
      <c r="I4" s="2497"/>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96" t="s">
        <v>1346</v>
      </c>
      <c r="C7" s="2497"/>
      <c r="D7" s="2497"/>
      <c r="E7" s="2497"/>
      <c r="F7" s="2497"/>
      <c r="G7" s="2497"/>
      <c r="H7" s="2497"/>
      <c r="I7" s="2497"/>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98"/>
      <c r="D11" s="2498"/>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99"/>
      <c r="E29" s="2499"/>
      <c r="F29" s="2499"/>
      <c r="G29" s="2499"/>
      <c r="H29" s="2499"/>
      <c r="I29" s="2499"/>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500" t="s">
        <v>1854</v>
      </c>
      <c r="D37" s="2501"/>
      <c r="E37" s="2501"/>
      <c r="F37" s="2502"/>
      <c r="G37" s="2500" t="s">
        <v>1674</v>
      </c>
      <c r="H37" s="2501"/>
      <c r="I37" s="2502"/>
    </row>
    <row r="38" spans="2:9" ht="16.5" customHeight="1" x14ac:dyDescent="0.2">
      <c r="B38" s="1443"/>
      <c r="C38" s="2488"/>
      <c r="D38" s="2489"/>
      <c r="E38" s="2489"/>
      <c r="F38" s="2490"/>
      <c r="G38" s="2503"/>
      <c r="H38" s="2504"/>
      <c r="I38" s="2505"/>
    </row>
    <row r="39" spans="2:9" ht="16.5" customHeight="1" x14ac:dyDescent="0.2">
      <c r="B39" s="1443"/>
      <c r="C39" s="2488"/>
      <c r="D39" s="2489"/>
      <c r="E39" s="2489"/>
      <c r="F39" s="2490"/>
      <c r="G39" s="2491"/>
      <c r="H39" s="2491"/>
      <c r="I39" s="2491"/>
    </row>
    <row r="40" spans="2:9" ht="16.5" customHeight="1" x14ac:dyDescent="0.2">
      <c r="B40" s="1443"/>
      <c r="C40" s="2488"/>
      <c r="D40" s="2489"/>
      <c r="E40" s="2489"/>
      <c r="F40" s="2490"/>
      <c r="G40" s="2491"/>
      <c r="H40" s="2491"/>
      <c r="I40" s="2491"/>
    </row>
    <row r="41" spans="2:9" ht="16.5" customHeight="1" x14ac:dyDescent="0.2">
      <c r="B41" s="1443"/>
      <c r="C41" s="2488"/>
      <c r="D41" s="2489"/>
      <c r="E41" s="2489"/>
      <c r="F41" s="2490"/>
      <c r="G41" s="2491"/>
      <c r="H41" s="2491"/>
      <c r="I41" s="2491"/>
    </row>
    <row r="42" spans="2:9" ht="16.5" customHeight="1" x14ac:dyDescent="0.2">
      <c r="B42" s="1443"/>
      <c r="C42" s="2488"/>
      <c r="D42" s="2489"/>
      <c r="E42" s="2489"/>
      <c r="F42" s="2490"/>
      <c r="G42" s="2491"/>
      <c r="H42" s="2491"/>
      <c r="I42" s="2491"/>
    </row>
    <row r="43" spans="2:9" ht="16.5" customHeight="1" x14ac:dyDescent="0.2">
      <c r="B43" s="1443"/>
      <c r="C43" s="2481" t="s">
        <v>1675</v>
      </c>
      <c r="D43" s="2482"/>
      <c r="E43" s="2482"/>
      <c r="F43" s="2483"/>
      <c r="G43" s="2484">
        <f>SUM(G38:I42)</f>
        <v>0</v>
      </c>
      <c r="H43" s="2484"/>
      <c r="I43" s="2484"/>
    </row>
    <row r="44" spans="2:9" ht="12.75" customHeight="1" x14ac:dyDescent="0.2"/>
    <row r="45" spans="2:9" ht="12.75" customHeight="1" x14ac:dyDescent="0.2">
      <c r="B45" s="1434" t="s">
        <v>1952</v>
      </c>
      <c r="D45" s="2485">
        <v>0</v>
      </c>
      <c r="E45" s="2486"/>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87"/>
      <c r="F49" s="2487"/>
      <c r="G49" s="2487"/>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7" sqref="B7:K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2" t="str">
        <f>'Single Audit Cover'!A7</f>
        <v>Steeleville CUSD 138</v>
      </c>
      <c r="C1" s="2492"/>
      <c r="D1" s="2492"/>
      <c r="E1" s="2492"/>
      <c r="F1" s="2492"/>
      <c r="G1" s="2492"/>
      <c r="H1" s="2492"/>
      <c r="I1" s="2492"/>
      <c r="J1" s="2492"/>
      <c r="K1" s="2492"/>
      <c r="L1" s="1373"/>
      <c r="M1" s="1373"/>
    </row>
    <row r="2" spans="1:13" ht="12" customHeight="1" x14ac:dyDescent="0.2">
      <c r="B2" s="2494">
        <f>'Single Audit Cover'!E7</f>
        <v>45079138026</v>
      </c>
      <c r="C2" s="2494"/>
      <c r="D2" s="2494"/>
      <c r="E2" s="2494"/>
      <c r="F2" s="2494"/>
      <c r="G2" s="2494"/>
      <c r="H2" s="2494"/>
      <c r="I2" s="2494"/>
      <c r="J2" s="2494"/>
      <c r="K2" s="2494"/>
      <c r="L2" s="1374"/>
      <c r="M2" s="1375"/>
    </row>
    <row r="3" spans="1:13" ht="10.35" customHeight="1" x14ac:dyDescent="0.2">
      <c r="B3" s="2508" t="s">
        <v>1347</v>
      </c>
      <c r="C3" s="2508"/>
      <c r="D3" s="2508"/>
      <c r="E3" s="2508"/>
      <c r="F3" s="2508"/>
      <c r="G3" s="2508"/>
      <c r="H3" s="2508"/>
      <c r="I3" s="2508"/>
      <c r="J3" s="2508"/>
      <c r="K3" s="2508"/>
      <c r="L3" s="1376"/>
      <c r="M3" s="1376"/>
    </row>
    <row r="4" spans="1:13" ht="14.25" customHeight="1" x14ac:dyDescent="0.2">
      <c r="B4" s="2509" t="str">
        <f>'Single Audit Cover'!A4</f>
        <v>Year Ending June 30, 2018</v>
      </c>
      <c r="C4" s="2509"/>
      <c r="D4" s="2509"/>
      <c r="E4" s="2509"/>
      <c r="F4" s="2509"/>
      <c r="G4" s="2509"/>
      <c r="H4" s="2509"/>
      <c r="I4" s="2509"/>
      <c r="J4" s="2509"/>
      <c r="K4" s="2509"/>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9" t="s">
        <v>1363</v>
      </c>
      <c r="C7" s="2509"/>
      <c r="D7" s="2510"/>
      <c r="E7" s="2510"/>
      <c r="F7" s="2510"/>
      <c r="G7" s="2510"/>
      <c r="H7" s="2510"/>
      <c r="I7" s="2510"/>
      <c r="J7" s="2510"/>
      <c r="K7" s="2510"/>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7"/>
      <c r="C14" s="2507"/>
      <c r="D14" s="2507"/>
      <c r="E14" s="2507"/>
      <c r="F14" s="2507"/>
      <c r="G14" s="2507"/>
      <c r="H14" s="2507"/>
      <c r="I14" s="2507"/>
      <c r="J14" s="2507"/>
      <c r="K14" s="2507"/>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7"/>
      <c r="C17" s="2507"/>
      <c r="D17" s="2507"/>
      <c r="E17" s="2507"/>
      <c r="F17" s="2507"/>
      <c r="G17" s="2507"/>
      <c r="H17" s="2507"/>
      <c r="I17" s="2507"/>
      <c r="J17" s="2507"/>
      <c r="K17" s="2507"/>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11"/>
      <c r="C20" s="2511"/>
      <c r="D20" s="2507"/>
      <c r="E20" s="2507"/>
      <c r="F20" s="2507"/>
      <c r="G20" s="2507"/>
      <c r="H20" s="2507"/>
      <c r="I20" s="2507"/>
      <c r="J20" s="2507"/>
      <c r="K20" s="2507"/>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7"/>
      <c r="C23" s="2507"/>
      <c r="D23" s="2507"/>
      <c r="E23" s="2507"/>
      <c r="F23" s="2507"/>
      <c r="G23" s="2507"/>
      <c r="H23" s="2507"/>
      <c r="I23" s="2507"/>
      <c r="J23" s="2507"/>
      <c r="K23" s="2507"/>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7"/>
      <c r="C26" s="2507"/>
      <c r="D26" s="2507"/>
      <c r="E26" s="2507"/>
      <c r="F26" s="2507"/>
      <c r="G26" s="2507"/>
      <c r="H26" s="2507"/>
      <c r="I26" s="2507"/>
      <c r="J26" s="2507"/>
      <c r="K26" s="2507"/>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6"/>
      <c r="C29" s="2506"/>
      <c r="D29" s="2507"/>
      <c r="E29" s="2507"/>
      <c r="F29" s="2507"/>
      <c r="G29" s="2507"/>
      <c r="H29" s="2507"/>
      <c r="I29" s="2507"/>
      <c r="J29" s="2507"/>
      <c r="K29" s="2507"/>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506"/>
      <c r="C32" s="2506"/>
      <c r="D32" s="2507"/>
      <c r="E32" s="2507"/>
      <c r="F32" s="2507"/>
      <c r="G32" s="2507"/>
      <c r="H32" s="2507"/>
      <c r="I32" s="2507"/>
      <c r="J32" s="2507"/>
      <c r="K32" s="2507"/>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5" t="str">
        <f>'Single Audit Cover'!A7</f>
        <v>Steeleville CUSD 138</v>
      </c>
      <c r="C1" s="2515"/>
      <c r="D1" s="2515"/>
      <c r="E1" s="2515"/>
      <c r="F1" s="2515"/>
      <c r="G1" s="2515"/>
      <c r="H1" s="2515"/>
      <c r="I1" s="2515"/>
      <c r="J1" s="2515"/>
      <c r="K1" s="2515"/>
      <c r="L1" s="1464"/>
    </row>
    <row r="2" spans="1:12" ht="12.75" customHeight="1" x14ac:dyDescent="0.2">
      <c r="B2" s="2516">
        <f>'Single Audit Cover'!E7</f>
        <v>45079138026</v>
      </c>
      <c r="C2" s="2516"/>
      <c r="D2" s="2516"/>
      <c r="E2" s="2516"/>
      <c r="F2" s="2516"/>
      <c r="G2" s="2516"/>
      <c r="H2" s="2516"/>
      <c r="I2" s="2516"/>
      <c r="J2" s="2516"/>
      <c r="K2" s="2516"/>
      <c r="L2" s="1465"/>
    </row>
    <row r="3" spans="1:12" ht="12.75" customHeight="1" x14ac:dyDescent="0.2">
      <c r="B3" s="2508" t="s">
        <v>1347</v>
      </c>
      <c r="C3" s="2508"/>
      <c r="D3" s="2508"/>
      <c r="E3" s="2508"/>
      <c r="F3" s="2508"/>
      <c r="G3" s="2508"/>
      <c r="H3" s="2508"/>
      <c r="I3" s="2508"/>
      <c r="J3" s="2508"/>
      <c r="K3" s="2508"/>
      <c r="L3" s="1376"/>
    </row>
    <row r="4" spans="1:12" ht="12.75" customHeight="1" x14ac:dyDescent="0.2">
      <c r="B4" s="2508" t="str">
        <f>'Single Audit Cover'!A4</f>
        <v>Year Ending June 30, 2018</v>
      </c>
      <c r="C4" s="2508"/>
      <c r="D4" s="2508"/>
      <c r="E4" s="2508"/>
      <c r="F4" s="2508"/>
      <c r="G4" s="2508"/>
      <c r="H4" s="2508"/>
      <c r="I4" s="2508"/>
      <c r="J4" s="2508"/>
      <c r="K4" s="2508"/>
      <c r="L4" s="1376"/>
    </row>
    <row r="5" spans="1:12" ht="5.25" customHeight="1" x14ac:dyDescent="0.2">
      <c r="B5" s="1259" t="s">
        <v>1231</v>
      </c>
      <c r="C5" s="1259"/>
      <c r="L5" s="322"/>
    </row>
    <row r="6" spans="1:12" ht="30.75" customHeight="1" x14ac:dyDescent="0.2">
      <c r="A6" s="322"/>
      <c r="B6" s="2517" t="s">
        <v>1375</v>
      </c>
      <c r="C6" s="2517"/>
      <c r="D6" s="2517"/>
      <c r="E6" s="2517"/>
      <c r="F6" s="2517"/>
      <c r="G6" s="2517"/>
      <c r="H6" s="2517"/>
      <c r="I6" s="2517"/>
      <c r="J6" s="2517"/>
      <c r="K6" s="2517"/>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9"/>
      <c r="G12" s="2499"/>
      <c r="H12" s="2499"/>
      <c r="I12" s="2499"/>
      <c r="J12" s="2499"/>
      <c r="K12" s="2499"/>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12"/>
      <c r="E14" s="2512"/>
      <c r="F14" s="2512"/>
      <c r="H14" s="1474" t="s">
        <v>1370</v>
      </c>
      <c r="I14" s="2513"/>
      <c r="J14" s="2513"/>
      <c r="K14" s="2513"/>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3"/>
      <c r="E16" s="2513"/>
      <c r="F16" s="2513"/>
      <c r="G16" s="2513"/>
      <c r="H16" s="2513"/>
      <c r="I16" s="2513"/>
      <c r="J16" s="2513"/>
      <c r="K16" s="2513"/>
      <c r="L16" s="322"/>
    </row>
    <row r="17" spans="2:12" ht="13.5" customHeight="1" x14ac:dyDescent="0.2">
      <c r="B17" s="1386" t="s">
        <v>1368</v>
      </c>
      <c r="C17" s="1386"/>
      <c r="D17" s="2514"/>
      <c r="E17" s="2514"/>
      <c r="F17" s="2514"/>
      <c r="G17" s="2514"/>
      <c r="H17" s="2514"/>
      <c r="I17" s="2514"/>
      <c r="J17" s="2514"/>
      <c r="K17" s="2514"/>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7"/>
      <c r="C20" s="2507"/>
      <c r="D20" s="2507"/>
      <c r="E20" s="2507"/>
      <c r="F20" s="2507"/>
      <c r="G20" s="2507"/>
      <c r="H20" s="2507"/>
      <c r="I20" s="2507"/>
      <c r="J20" s="2507"/>
      <c r="K20" s="2507"/>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07"/>
      <c r="C23" s="2507"/>
      <c r="D23" s="2507"/>
      <c r="E23" s="2507"/>
      <c r="F23" s="2507"/>
      <c r="G23" s="2507"/>
      <c r="H23" s="2507"/>
      <c r="I23" s="2507"/>
      <c r="J23" s="2507"/>
      <c r="K23" s="2507"/>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07"/>
      <c r="C26" s="2507"/>
      <c r="D26" s="2507"/>
      <c r="E26" s="2507"/>
      <c r="F26" s="2507"/>
      <c r="G26" s="2507"/>
      <c r="H26" s="2507"/>
      <c r="I26" s="2507"/>
      <c r="J26" s="2507"/>
      <c r="K26" s="2507"/>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07"/>
      <c r="C29" s="2507"/>
      <c r="D29" s="2507"/>
      <c r="E29" s="2507"/>
      <c r="F29" s="2507"/>
      <c r="G29" s="2507"/>
      <c r="H29" s="2507"/>
      <c r="I29" s="2507"/>
      <c r="J29" s="2507"/>
      <c r="K29" s="2507"/>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7"/>
      <c r="C32" s="2507"/>
      <c r="D32" s="2507"/>
      <c r="E32" s="2507"/>
      <c r="F32" s="2507"/>
      <c r="G32" s="2507"/>
      <c r="H32" s="2507"/>
      <c r="I32" s="2507"/>
      <c r="J32" s="2507"/>
      <c r="K32" s="2507"/>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7"/>
      <c r="C35" s="2507"/>
      <c r="D35" s="2507"/>
      <c r="E35" s="2507"/>
      <c r="F35" s="2507"/>
      <c r="G35" s="2507"/>
      <c r="H35" s="2507"/>
      <c r="I35" s="2507"/>
      <c r="J35" s="2507"/>
      <c r="K35" s="2507"/>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7"/>
      <c r="C38" s="2507"/>
      <c r="D38" s="2507"/>
      <c r="E38" s="2507"/>
      <c r="F38" s="2507"/>
      <c r="G38" s="2507"/>
      <c r="H38" s="2507"/>
      <c r="I38" s="2507"/>
      <c r="J38" s="2507"/>
      <c r="K38" s="2507"/>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07"/>
      <c r="C41" s="2507"/>
      <c r="D41" s="2507"/>
      <c r="E41" s="2507"/>
      <c r="F41" s="2507"/>
      <c r="G41" s="2507"/>
      <c r="H41" s="2507"/>
      <c r="I41" s="2507"/>
      <c r="J41" s="2507"/>
      <c r="K41" s="2507"/>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92" t="str">
        <f>'Single Audit Cover'!A7</f>
        <v>Steeleville CUSD 138</v>
      </c>
      <c r="C1" s="2492"/>
      <c r="D1" s="2492"/>
      <c r="E1" s="1490"/>
    </row>
    <row r="2" spans="2:5" s="1281" customFormat="1" ht="12.75" customHeight="1" x14ac:dyDescent="0.2">
      <c r="B2" s="2494">
        <f>'Single Audit Cover'!E7</f>
        <v>45079138026</v>
      </c>
      <c r="C2" s="2494"/>
      <c r="D2" s="2494"/>
      <c r="E2" s="1491"/>
    </row>
    <row r="3" spans="2:5" ht="12.75" customHeight="1" x14ac:dyDescent="0.2">
      <c r="B3" s="2508" t="s">
        <v>1869</v>
      </c>
      <c r="C3" s="2508"/>
      <c r="D3" s="2508"/>
      <c r="E3" s="1273"/>
    </row>
    <row r="4" spans="2:5" s="1281" customFormat="1" ht="12.75" customHeight="1" x14ac:dyDescent="0.2">
      <c r="B4" s="2518" t="str">
        <f>'Single Audit Cover'!A4</f>
        <v>Year Ending June 30, 2018</v>
      </c>
      <c r="C4" s="2518"/>
      <c r="D4" s="2518"/>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6" t="s">
        <v>404</v>
      </c>
      <c r="B1" s="2116"/>
      <c r="C1" s="2116"/>
      <c r="D1" s="2116"/>
      <c r="E1" s="2116"/>
      <c r="F1" s="2116"/>
      <c r="G1" s="2116"/>
      <c r="H1" s="2116"/>
      <c r="I1" s="2116"/>
      <c r="J1" s="2116"/>
      <c r="K1" s="2116"/>
      <c r="L1" s="2116"/>
      <c r="M1" s="211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41021845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2.4500500000000001E-2</v>
      </c>
      <c r="E10" s="356" t="s">
        <v>1062</v>
      </c>
      <c r="F10" s="355">
        <v>4.5947999999999996E-3</v>
      </c>
      <c r="G10" s="356" t="s">
        <v>1062</v>
      </c>
      <c r="H10" s="355">
        <v>2.9269000000000001E-3</v>
      </c>
      <c r="I10" s="356" t="s">
        <v>1063</v>
      </c>
      <c r="J10" s="1753">
        <f>ROUND(D10+F10+H10,5)</f>
        <v>3.202E-2</v>
      </c>
      <c r="K10" s="222"/>
      <c r="L10" s="355">
        <v>3.1589999999999998E-4</v>
      </c>
      <c r="M10" s="222"/>
    </row>
    <row r="11" spans="1:14" ht="7.5" customHeight="1" x14ac:dyDescent="0.2">
      <c r="B11" s="222"/>
      <c r="C11" s="222"/>
      <c r="D11" s="2126" t="str">
        <f>IF(SUM(J10)&lt;=0.0999999,"","Enter the Tax Rates by moving the decimal two places to the left.")</f>
        <v/>
      </c>
      <c r="E11" s="2127"/>
      <c r="F11" s="2127"/>
      <c r="G11" s="2127"/>
      <c r="H11" s="2127"/>
      <c r="I11" s="2127"/>
      <c r="J11" s="212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3811878</v>
      </c>
      <c r="E16" s="356"/>
      <c r="F16" s="1754">
        <f>SUM('Acct Summary 7-8'!C17,'Acct Summary 7-8'!D17,'Acct Summary 7-8'!F17)</f>
        <v>3586464</v>
      </c>
      <c r="G16" s="356"/>
      <c r="H16" s="1754">
        <f>SUM(D16-F16)</f>
        <v>225414</v>
      </c>
      <c r="I16" s="222"/>
      <c r="J16" s="1754">
        <f>SUM('Acct Summary 7-8'!C81,'Acct Summary 7-8'!D81,'Acct Summary 7-8'!F81,'Acct Summary 7-8'!I81)</f>
        <v>1203502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5661014.6100000003</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2770000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7"/>
      <c r="C54" s="2118"/>
      <c r="D54" s="2118"/>
      <c r="E54" s="2118"/>
      <c r="F54" s="2118"/>
      <c r="G54" s="2118"/>
      <c r="H54" s="2118"/>
      <c r="I54" s="2118"/>
      <c r="J54" s="2118"/>
      <c r="K54" s="2118"/>
      <c r="L54" s="2119"/>
      <c r="M54" s="380"/>
    </row>
    <row r="55" spans="1:13" ht="12.75" customHeight="1" x14ac:dyDescent="0.2">
      <c r="B55" s="2120"/>
      <c r="C55" s="2121"/>
      <c r="D55" s="2121"/>
      <c r="E55" s="2121"/>
      <c r="F55" s="2121"/>
      <c r="G55" s="2121"/>
      <c r="H55" s="2121"/>
      <c r="I55" s="2121"/>
      <c r="J55" s="2121"/>
      <c r="K55" s="2121"/>
      <c r="L55" s="2122"/>
      <c r="M55" s="380"/>
    </row>
    <row r="56" spans="1:13" ht="12.75" customHeight="1" x14ac:dyDescent="0.2">
      <c r="B56" s="2120"/>
      <c r="C56" s="2121"/>
      <c r="D56" s="2121"/>
      <c r="E56" s="2121"/>
      <c r="F56" s="2121"/>
      <c r="G56" s="2121"/>
      <c r="H56" s="2121"/>
      <c r="I56" s="2121"/>
      <c r="J56" s="2121"/>
      <c r="K56" s="2121"/>
      <c r="L56" s="2122"/>
      <c r="M56" s="222"/>
    </row>
    <row r="57" spans="1:13" ht="12.75" customHeight="1" x14ac:dyDescent="0.2">
      <c r="B57" s="2120"/>
      <c r="C57" s="2121"/>
      <c r="D57" s="2121"/>
      <c r="E57" s="2121"/>
      <c r="F57" s="2121"/>
      <c r="G57" s="2121"/>
      <c r="H57" s="2121"/>
      <c r="I57" s="2121"/>
      <c r="J57" s="2121"/>
      <c r="K57" s="2121"/>
      <c r="L57" s="2122"/>
      <c r="M57" s="222"/>
    </row>
    <row r="58" spans="1:13" x14ac:dyDescent="0.2">
      <c r="B58" s="2123"/>
      <c r="C58" s="2124"/>
      <c r="D58" s="2124"/>
      <c r="E58" s="2124"/>
      <c r="F58" s="2124"/>
      <c r="G58" s="2124"/>
      <c r="H58" s="2124"/>
      <c r="I58" s="2124"/>
      <c r="J58" s="2124"/>
      <c r="K58" s="2124"/>
      <c r="L58" s="212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8"/>
      <c r="D61" s="212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1" right="0.25" top="0.75" bottom="1.25" header="0.19" footer="0.5"/>
  <pageSetup scale="80" firstPageNumber="8" orientation="portrait" useFirstPageNumber="1" r:id="rId1"/>
  <headerFooter scaleWithDoc="0">
    <oddHeader xml:space="preserve">&amp;C </oddHeader>
    <oddFooter>&amp;LSee notes to financial statements.&amp;C&amp;P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F1" zoomScale="110" zoomScaleNormal="110" workbookViewId="0">
      <selection activeCell="A7" sqref="A7:D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1"/>
      <c r="B1" s="2132"/>
      <c r="C1" s="2132"/>
      <c r="D1" s="384"/>
      <c r="E1" s="384"/>
      <c r="F1" s="384"/>
      <c r="G1" s="384"/>
      <c r="H1" s="384"/>
      <c r="I1" s="384"/>
      <c r="J1" s="384"/>
      <c r="K1" s="384"/>
      <c r="L1" s="384"/>
      <c r="M1" s="384"/>
      <c r="N1" s="384"/>
      <c r="O1" s="2131"/>
      <c r="P1" s="2132"/>
      <c r="Q1" s="2132"/>
    </row>
    <row r="2" spans="1:18" ht="15" x14ac:dyDescent="0.2">
      <c r="A2" s="2135" t="s">
        <v>577</v>
      </c>
      <c r="B2" s="2135"/>
      <c r="C2" s="2135"/>
      <c r="D2" s="2135"/>
      <c r="E2" s="2135"/>
      <c r="F2" s="2135"/>
      <c r="G2" s="2135"/>
      <c r="H2" s="2135"/>
      <c r="I2" s="2135"/>
      <c r="J2" s="2135"/>
      <c r="K2" s="2135"/>
      <c r="L2" s="2135"/>
      <c r="M2" s="2135"/>
      <c r="N2" s="2135"/>
      <c r="O2" s="2135"/>
      <c r="P2" s="2135"/>
      <c r="Q2" s="2135"/>
      <c r="R2" s="2135"/>
    </row>
    <row r="3" spans="1:18" ht="12.75" x14ac:dyDescent="0.2">
      <c r="A3" s="2136" t="s">
        <v>1480</v>
      </c>
      <c r="B3" s="2136"/>
      <c r="C3" s="2136"/>
      <c r="D3" s="2136"/>
      <c r="E3" s="2136"/>
      <c r="F3" s="2136"/>
      <c r="G3" s="2136"/>
      <c r="H3" s="2136"/>
      <c r="I3" s="2136"/>
      <c r="J3" s="2136"/>
      <c r="K3" s="2136"/>
      <c r="L3" s="2136"/>
      <c r="M3" s="2136"/>
      <c r="N3" s="2136"/>
      <c r="O3" s="2136"/>
      <c r="P3" s="2136"/>
      <c r="Q3" s="2136"/>
      <c r="R3" s="2136"/>
    </row>
    <row r="4" spans="1:18" x14ac:dyDescent="0.2">
      <c r="A4" s="2137" t="s">
        <v>1635</v>
      </c>
      <c r="B4" s="2137"/>
      <c r="C4" s="2137"/>
      <c r="D4" s="2137"/>
      <c r="E4" s="2137"/>
      <c r="F4" s="2137"/>
      <c r="G4" s="2137"/>
      <c r="H4" s="2137"/>
      <c r="I4" s="2137"/>
      <c r="J4" s="2137"/>
      <c r="K4" s="2137"/>
      <c r="L4" s="2137"/>
      <c r="M4" s="2137"/>
      <c r="N4" s="2137"/>
      <c r="O4" s="2137"/>
      <c r="P4" s="2137"/>
      <c r="Q4" s="2137"/>
      <c r="R4" s="213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Steeleville CUSD 138</v>
      </c>
      <c r="E7" s="391"/>
      <c r="G7" s="252"/>
      <c r="H7" s="387"/>
      <c r="I7" s="387"/>
      <c r="J7" s="387"/>
      <c r="K7" s="387"/>
      <c r="L7" s="329"/>
      <c r="M7" s="329"/>
      <c r="N7" s="329"/>
      <c r="O7" s="329"/>
      <c r="P7" s="329"/>
    </row>
    <row r="8" spans="1:18" ht="12.75" x14ac:dyDescent="0.2">
      <c r="A8" s="329"/>
      <c r="B8" s="329"/>
      <c r="C8" s="389" t="s">
        <v>1187</v>
      </c>
      <c r="D8" s="392">
        <f>COVER!A13</f>
        <v>45079138026</v>
      </c>
      <c r="E8" s="393"/>
      <c r="G8" s="329"/>
      <c r="H8" s="329"/>
      <c r="I8" s="329"/>
      <c r="J8" s="329"/>
      <c r="K8" s="329"/>
      <c r="L8" s="329"/>
      <c r="M8" s="329"/>
      <c r="N8" s="329"/>
      <c r="O8" s="329"/>
      <c r="P8" s="329"/>
    </row>
    <row r="9" spans="1:18" ht="12.75" x14ac:dyDescent="0.2">
      <c r="A9" s="329"/>
      <c r="B9" s="329"/>
      <c r="C9" s="389" t="s">
        <v>737</v>
      </c>
      <c r="D9" s="394" t="str">
        <f>COVER!A15</f>
        <v>RANDOLPH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1203502</v>
      </c>
      <c r="I12" s="404"/>
      <c r="J12" s="404"/>
      <c r="K12" s="405">
        <f>TRUNC((H12/H13*100000),5)/100000</f>
        <v>0.31572416529999997</v>
      </c>
      <c r="L12" s="406"/>
      <c r="M12" s="360" t="s">
        <v>1206</v>
      </c>
      <c r="N12" s="360"/>
      <c r="O12" s="407">
        <v>0.35</v>
      </c>
      <c r="P12" s="218"/>
      <c r="Q12" s="218"/>
    </row>
    <row r="13" spans="1:18" s="408" customFormat="1" ht="12.75" x14ac:dyDescent="0.2">
      <c r="A13" s="218"/>
      <c r="B13" s="401"/>
      <c r="C13" s="2133" t="s">
        <v>1391</v>
      </c>
      <c r="D13" s="2134"/>
      <c r="E13" s="218"/>
      <c r="F13" s="409" t="s">
        <v>826</v>
      </c>
      <c r="G13" s="402"/>
      <c r="H13" s="403">
        <f>SUM('Acct Summary 7-8'!C8+'Acct Summary 7-8'!D8+'Acct Summary 7-8'!F8+'Acct Summary 7-8'!I8)+H14</f>
        <v>3811878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3586464</v>
      </c>
      <c r="I17" s="404"/>
      <c r="J17" s="416"/>
      <c r="K17" s="405">
        <f>TRUNC((H17/H18*100000),5)/100000</f>
        <v>0.94086536869999993</v>
      </c>
      <c r="L17" s="406"/>
      <c r="M17" s="417" t="s">
        <v>1233</v>
      </c>
      <c r="O17" s="418" t="str">
        <f>IF(AND(O16="2", J20 &gt; 2),"1",IF(AND(O16 = "1", J20 &gt; 2),"2",IF(AND(O16="1", J20 &gt;1),"1","0")))</f>
        <v>0</v>
      </c>
      <c r="P17" s="218"/>
    </row>
    <row r="18" spans="1:18" s="408" customFormat="1" ht="11.25" x14ac:dyDescent="0.2">
      <c r="A18" s="218"/>
      <c r="B18" s="401"/>
      <c r="C18" s="2133" t="s">
        <v>1384</v>
      </c>
      <c r="D18" s="2134"/>
      <c r="E18" s="218"/>
      <c r="F18" s="419" t="s">
        <v>827</v>
      </c>
      <c r="G18" s="402"/>
      <c r="H18" s="403">
        <f>SUM('Acct Summary 7-8'!C8+'Acct Summary 7-8'!D8+'Acct Summary 7-8'!F8+'Acct Summary 7-8'!I8)+H19</f>
        <v>3811878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30" t="s">
        <v>1479</v>
      </c>
      <c r="D24" s="2130"/>
      <c r="E24" s="218"/>
      <c r="F24" s="218" t="s">
        <v>465</v>
      </c>
      <c r="G24" s="402"/>
      <c r="H24" s="403">
        <f>SUM('Assets-Liab 5-6'!C4+'Assets-Liab 5-6'!D4+'Assets-Liab 5-6'!F4+'Assets-Liab 5-6'!I4+'Assets-Liab 5-6'!C5+'Assets-Liab 5-6'!D5+'Assets-Liab 5-6'!F5+'Assets-Liab 5-6'!I5)</f>
        <v>1207836</v>
      </c>
      <c r="I24" s="422"/>
      <c r="J24" s="422"/>
      <c r="K24" s="423">
        <f>TRUNC(((H24/H25*100000)/100000),2)</f>
        <v>121.23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9962.4</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1116491.55537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2770000</v>
      </c>
      <c r="I32" s="420"/>
      <c r="J32" s="420"/>
      <c r="K32" s="423">
        <f>TRUNC(100-((((H32/H33*100))*100)/100),2)</f>
        <v>51.06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5661014.6100000003</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orizontalCentered="1" headings="1"/>
  <pageMargins left="0.25" right="0.25" top="1.25" bottom="1" header="0.5" footer="0.5"/>
  <pageSetup scale="85" firstPageNumber="9" orientation="landscape" useFirstPageNumber="1" r:id="rId3"/>
  <headerFooter scaleWithDoc="0">
    <oddHeader xml:space="preserve">&amp;C </oddHeader>
    <oddFooter>&amp;LSee notes to financial statements.&amp;C&amp;P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90" zoomScaleNormal="90" workbookViewId="0">
      <pane ySplit="2" topLeftCell="A6" activePane="bottomLeft" state="frozen"/>
      <selection activeCell="A7" sqref="A7:D7"/>
      <selection pane="bottomLeft" activeCell="F39" sqref="F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0" t="s">
        <v>1030</v>
      </c>
      <c r="B3" s="2141"/>
      <c r="C3" s="1580"/>
      <c r="D3" s="1581"/>
      <c r="E3" s="1581"/>
      <c r="F3" s="1581"/>
      <c r="G3" s="1581"/>
      <c r="H3" s="1581"/>
      <c r="I3" s="1581"/>
      <c r="J3" s="1581"/>
      <c r="K3" s="1581"/>
      <c r="L3" s="1581"/>
      <c r="M3" s="1582"/>
      <c r="N3" s="1583"/>
    </row>
    <row r="4" spans="1:14" ht="13.5" customHeight="1" x14ac:dyDescent="0.2">
      <c r="A4" s="463" t="s">
        <v>1750</v>
      </c>
      <c r="B4" s="464"/>
      <c r="C4" s="465">
        <v>220316</v>
      </c>
      <c r="D4" s="466">
        <v>301087</v>
      </c>
      <c r="E4" s="466">
        <v>96287</v>
      </c>
      <c r="F4" s="466">
        <v>315896</v>
      </c>
      <c r="G4" s="466">
        <v>60245</v>
      </c>
      <c r="H4" s="466">
        <v>1040649</v>
      </c>
      <c r="I4" s="466">
        <v>370537</v>
      </c>
      <c r="J4" s="467"/>
      <c r="K4" s="466">
        <v>66647</v>
      </c>
      <c r="L4" s="466">
        <v>127681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220316</v>
      </c>
      <c r="D13" s="1758">
        <f t="shared" ref="D13:L13" si="0">SUM(D4:D12)</f>
        <v>301087</v>
      </c>
      <c r="E13" s="1758">
        <f t="shared" si="0"/>
        <v>96287</v>
      </c>
      <c r="F13" s="1758">
        <f t="shared" si="0"/>
        <v>315896</v>
      </c>
      <c r="G13" s="1758">
        <f t="shared" si="0"/>
        <v>60245</v>
      </c>
      <c r="H13" s="1758">
        <f t="shared" si="0"/>
        <v>1040649</v>
      </c>
      <c r="I13" s="1758">
        <f t="shared" si="0"/>
        <v>370537</v>
      </c>
      <c r="J13" s="1758">
        <f t="shared" si="0"/>
        <v>0</v>
      </c>
      <c r="K13" s="1758">
        <f t="shared" si="0"/>
        <v>66647</v>
      </c>
      <c r="L13" s="1758">
        <f t="shared" si="0"/>
        <v>127681</v>
      </c>
      <c r="M13" s="468"/>
      <c r="N13" s="469"/>
    </row>
    <row r="14" spans="1:14" ht="18" customHeight="1" thickTop="1" x14ac:dyDescent="0.2">
      <c r="A14" s="2142" t="s">
        <v>149</v>
      </c>
      <c r="B14" s="2143"/>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24902</v>
      </c>
      <c r="N16" s="484"/>
    </row>
    <row r="17" spans="1:14" s="485" customFormat="1" ht="12.75" customHeight="1" x14ac:dyDescent="0.2">
      <c r="A17" s="482" t="s">
        <v>1470</v>
      </c>
      <c r="B17" s="483">
        <v>230</v>
      </c>
      <c r="C17" s="477"/>
      <c r="D17" s="477"/>
      <c r="E17" s="477"/>
      <c r="F17" s="477"/>
      <c r="G17" s="477"/>
      <c r="H17" s="477"/>
      <c r="I17" s="477"/>
      <c r="J17" s="477"/>
      <c r="K17" s="477"/>
      <c r="L17" s="477"/>
      <c r="M17" s="467">
        <v>6815785</v>
      </c>
      <c r="N17" s="484"/>
    </row>
    <row r="18" spans="1:14" s="485" customFormat="1" ht="12.75" customHeight="1" x14ac:dyDescent="0.2">
      <c r="A18" s="482" t="s">
        <v>1471</v>
      </c>
      <c r="B18" s="483">
        <v>240</v>
      </c>
      <c r="C18" s="477"/>
      <c r="D18" s="477"/>
      <c r="E18" s="477"/>
      <c r="F18" s="477"/>
      <c r="G18" s="477"/>
      <c r="H18" s="477"/>
      <c r="I18" s="477"/>
      <c r="J18" s="477"/>
      <c r="K18" s="477"/>
      <c r="L18" s="477"/>
      <c r="M18" s="467">
        <v>178390</v>
      </c>
      <c r="N18" s="484"/>
    </row>
    <row r="19" spans="1:14" s="485" customFormat="1" ht="12.75" customHeight="1" x14ac:dyDescent="0.2">
      <c r="A19" s="482" t="s">
        <v>1472</v>
      </c>
      <c r="B19" s="483">
        <v>250</v>
      </c>
      <c r="C19" s="477"/>
      <c r="D19" s="477"/>
      <c r="E19" s="477"/>
      <c r="F19" s="477"/>
      <c r="G19" s="477"/>
      <c r="H19" s="477"/>
      <c r="I19" s="477"/>
      <c r="J19" s="477"/>
      <c r="K19" s="477"/>
      <c r="L19" s="477"/>
      <c r="M19" s="467">
        <v>1926764</v>
      </c>
      <c r="N19" s="484"/>
    </row>
    <row r="20" spans="1:14" s="485" customFormat="1" ht="12.75" customHeight="1" x14ac:dyDescent="0.2">
      <c r="A20" s="482" t="s">
        <v>1473</v>
      </c>
      <c r="B20" s="483">
        <v>260</v>
      </c>
      <c r="C20" s="477"/>
      <c r="D20" s="477"/>
      <c r="E20" s="477"/>
      <c r="F20" s="477"/>
      <c r="G20" s="477"/>
      <c r="H20" s="477"/>
      <c r="I20" s="477"/>
      <c r="J20" s="477"/>
      <c r="K20" s="477"/>
      <c r="L20" s="477"/>
      <c r="M20" s="467">
        <v>267122</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96287</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2673713</v>
      </c>
    </row>
    <row r="23" spans="1:14" ht="13.5" customHeight="1" thickBot="1" x14ac:dyDescent="0.25">
      <c r="A23" s="1757" t="s">
        <v>664</v>
      </c>
      <c r="B23" s="1762"/>
      <c r="C23" s="468"/>
      <c r="D23" s="468"/>
      <c r="E23" s="468"/>
      <c r="F23" s="468"/>
      <c r="G23" s="468"/>
      <c r="H23" s="468"/>
      <c r="I23" s="468"/>
      <c r="J23" s="468"/>
      <c r="K23" s="468"/>
      <c r="L23" s="468"/>
      <c r="M23" s="1709">
        <f>SUM(M15:M22)</f>
        <v>9212963</v>
      </c>
      <c r="N23" s="1709">
        <f>SUM(N21:N22)</f>
        <v>2770000</v>
      </c>
    </row>
    <row r="24" spans="1:14" ht="18" customHeight="1" thickTop="1" x14ac:dyDescent="0.2">
      <c r="A24" s="2144" t="s">
        <v>619</v>
      </c>
      <c r="B24" s="2145"/>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4334</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127681</v>
      </c>
      <c r="M33" s="468"/>
      <c r="N33" s="469"/>
    </row>
    <row r="34" spans="1:14" ht="13.5" customHeight="1" thickBot="1" x14ac:dyDescent="0.25">
      <c r="A34" s="1759" t="s">
        <v>675</v>
      </c>
      <c r="B34" s="1760"/>
      <c r="C34" s="1761">
        <f>SUM(C25:C33)</f>
        <v>4334</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127681</v>
      </c>
      <c r="M34" s="468"/>
      <c r="N34" s="480"/>
    </row>
    <row r="35" spans="1:14" ht="18" customHeight="1" thickTop="1" x14ac:dyDescent="0.2">
      <c r="A35" s="2146" t="s">
        <v>550</v>
      </c>
      <c r="B35" s="2147"/>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2770000</v>
      </c>
    </row>
    <row r="37" spans="1:14" ht="13.5" thickBot="1" x14ac:dyDescent="0.25">
      <c r="A37" s="1757" t="s">
        <v>674</v>
      </c>
      <c r="B37" s="1762"/>
      <c r="C37" s="477"/>
      <c r="D37" s="477"/>
      <c r="E37" s="477"/>
      <c r="F37" s="477"/>
      <c r="G37" s="477"/>
      <c r="H37" s="477"/>
      <c r="I37" s="477"/>
      <c r="J37" s="477"/>
      <c r="K37" s="477"/>
      <c r="L37" s="480"/>
      <c r="M37" s="468"/>
      <c r="N37" s="1709">
        <f>SUM(N36:N36)</f>
        <v>2770000</v>
      </c>
    </row>
    <row r="38" spans="1:14" s="329" customFormat="1" ht="13.5" customHeight="1" thickTop="1" x14ac:dyDescent="0.2">
      <c r="A38" s="496" t="s">
        <v>440</v>
      </c>
      <c r="B38" s="483">
        <v>714</v>
      </c>
      <c r="C38" s="466"/>
      <c r="D38" s="466"/>
      <c r="E38" s="466">
        <v>37030</v>
      </c>
      <c r="F38" s="466"/>
      <c r="G38" s="466">
        <v>297</v>
      </c>
      <c r="H38" s="466">
        <v>1040649</v>
      </c>
      <c r="I38" s="466"/>
      <c r="J38" s="467"/>
      <c r="K38" s="466"/>
      <c r="L38" s="481"/>
      <c r="M38" s="497"/>
      <c r="N38" s="497"/>
    </row>
    <row r="39" spans="1:14" s="329" customFormat="1" ht="13.5" customHeight="1" x14ac:dyDescent="0.2">
      <c r="A39" s="496" t="s">
        <v>360</v>
      </c>
      <c r="B39" s="483">
        <v>730</v>
      </c>
      <c r="C39" s="466">
        <f>107082+108900</f>
        <v>215982</v>
      </c>
      <c r="D39" s="466">
        <f>249625+51462</f>
        <v>301087</v>
      </c>
      <c r="E39" s="466">
        <v>59257</v>
      </c>
      <c r="F39" s="466">
        <v>315896</v>
      </c>
      <c r="G39" s="466">
        <v>59948</v>
      </c>
      <c r="H39" s="466"/>
      <c r="I39" s="466">
        <v>370537</v>
      </c>
      <c r="J39" s="467"/>
      <c r="K39" s="466">
        <f>56404+10243</f>
        <v>66647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9212963</v>
      </c>
      <c r="N40" s="497"/>
    </row>
    <row r="41" spans="1:14" ht="13.5" customHeight="1" thickBot="1" x14ac:dyDescent="0.25">
      <c r="A41" s="1757" t="s">
        <v>676</v>
      </c>
      <c r="B41" s="1727"/>
      <c r="C41" s="1709">
        <f>(SUM(C34,C37,C38,C39))</f>
        <v>220316</v>
      </c>
      <c r="D41" s="1709">
        <f t="shared" ref="D41:L41" si="2">SUM(D34,D37,D38:D39)</f>
        <v>301087</v>
      </c>
      <c r="E41" s="1709">
        <f t="shared" si="2"/>
        <v>96287</v>
      </c>
      <c r="F41" s="1709">
        <f t="shared" si="2"/>
        <v>315896</v>
      </c>
      <c r="G41" s="1709">
        <f t="shared" si="2"/>
        <v>60245</v>
      </c>
      <c r="H41" s="1709">
        <f t="shared" si="2"/>
        <v>1040649</v>
      </c>
      <c r="I41" s="1709">
        <f t="shared" si="2"/>
        <v>370537</v>
      </c>
      <c r="J41" s="1709">
        <f t="shared" si="2"/>
        <v>0</v>
      </c>
      <c r="K41" s="1709">
        <f t="shared" si="2"/>
        <v>66647</v>
      </c>
      <c r="L41" s="1709">
        <f t="shared" si="2"/>
        <v>127681</v>
      </c>
      <c r="M41" s="1709">
        <f>SUM(M40)</f>
        <v>9212963</v>
      </c>
      <c r="N41" s="1709">
        <f>SUM(N37)</f>
        <v>2770000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5" right="0.5" top="1.3" bottom="1" header="0.5" footer="0.5"/>
  <pageSetup scale="65" firstPageNumber="10" orientation="landscape" useFirstPageNumber="1" r:id="rId1"/>
  <headerFooter scaleWithDoc="0">
    <oddHeader>&amp;C&amp;"Arial,Bold"&amp;9BASIC FINANCIAL STATEMENTS
STATEMENT OF ASSETS AND LIABILITIES ARISING FROM CASH TRANSACTIONS
STATEMENT OF POSITION AS OF JUNE 30, 2018</oddHeader>
    <oddFooter>&amp;LSee notes to financial statements.&amp;C&amp;P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C1" colorId="8" zoomScale="110" zoomScaleNormal="110" zoomScaleSheetLayoutView="100" workbookViewId="0">
      <pane ySplit="2" topLeftCell="A20" activePane="bottomLeft" state="frozenSplit"/>
      <selection activeCell="A7" sqref="A7:D7"/>
      <selection pane="bottomLeft" activeCell="A7" sqref="A7:D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8" t="s">
        <v>1237</v>
      </c>
      <c r="B3" s="2169"/>
      <c r="C3" s="1594"/>
      <c r="D3" s="1595"/>
      <c r="E3" s="1595"/>
      <c r="F3" s="1595"/>
      <c r="G3" s="1595"/>
      <c r="H3" s="1595"/>
      <c r="I3" s="1595"/>
      <c r="J3" s="1595"/>
      <c r="K3" s="1596"/>
      <c r="L3" s="506"/>
    </row>
    <row r="4" spans="1:13" ht="15.75" customHeight="1" x14ac:dyDescent="0.2">
      <c r="A4" s="1952" t="s">
        <v>1579</v>
      </c>
      <c r="B4" s="1953">
        <v>1000</v>
      </c>
      <c r="C4" s="1763">
        <f>'Revenues 9-14'!C109</f>
        <v>1222471</v>
      </c>
      <c r="D4" s="1763">
        <f>'Revenues 9-14'!D109</f>
        <v>195207</v>
      </c>
      <c r="E4" s="1763">
        <f>'Revenues 9-14'!E109</f>
        <v>399444</v>
      </c>
      <c r="F4" s="1763">
        <f>'Revenues 9-14'!F109</f>
        <v>121615</v>
      </c>
      <c r="G4" s="1763">
        <f>'Revenues 9-14'!G109</f>
        <v>116254</v>
      </c>
      <c r="H4" s="1763">
        <f>'Revenues 9-14'!H109</f>
        <v>3217</v>
      </c>
      <c r="I4" s="1763">
        <f>'Revenues 9-14'!I109</f>
        <v>13390</v>
      </c>
      <c r="J4" s="1763">
        <f>'Revenues 9-14'!J109</f>
        <v>23380</v>
      </c>
      <c r="K4" s="1763">
        <f>'Revenues 9-14'!K109</f>
        <v>10243</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1871570</v>
      </c>
      <c r="D6" s="1764">
        <f>'Revenues 9-14'!D173</f>
        <v>0</v>
      </c>
      <c r="E6" s="1764">
        <f>'Revenues 9-14'!E173</f>
        <v>0</v>
      </c>
      <c r="F6" s="1764">
        <f>'Revenues 9-14'!F173</f>
        <v>131220</v>
      </c>
      <c r="G6" s="1764">
        <f>'Revenues 9-14'!G173</f>
        <v>17000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256405</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3350446</v>
      </c>
      <c r="D8" s="1709">
        <f t="shared" ref="D8:K8" si="0">SUM(D4:D7)</f>
        <v>195207</v>
      </c>
      <c r="E8" s="1709">
        <f t="shared" si="0"/>
        <v>399444</v>
      </c>
      <c r="F8" s="1709">
        <f t="shared" si="0"/>
        <v>252835</v>
      </c>
      <c r="G8" s="1709">
        <f t="shared" si="0"/>
        <v>133254</v>
      </c>
      <c r="H8" s="1709">
        <f t="shared" si="0"/>
        <v>3217</v>
      </c>
      <c r="I8" s="1709">
        <f t="shared" si="0"/>
        <v>13390</v>
      </c>
      <c r="J8" s="1709">
        <f t="shared" si="0"/>
        <v>23380</v>
      </c>
      <c r="K8" s="1709">
        <f t="shared" si="0"/>
        <v>10243</v>
      </c>
      <c r="L8" s="347"/>
    </row>
    <row r="9" spans="1:13" ht="15.75" thickTop="1" x14ac:dyDescent="0.2">
      <c r="A9" s="514" t="s">
        <v>1752</v>
      </c>
      <c r="B9" s="515">
        <v>3998</v>
      </c>
      <c r="C9" s="481">
        <v>1340461</v>
      </c>
      <c r="D9" s="516"/>
      <c r="E9" s="481"/>
      <c r="F9" s="481"/>
      <c r="G9" s="517"/>
      <c r="H9" s="481"/>
      <c r="I9" s="509" t="s">
        <v>1231</v>
      </c>
      <c r="J9" s="478"/>
      <c r="K9" s="481"/>
      <c r="L9" s="347"/>
    </row>
    <row r="10" spans="1:13" s="519" customFormat="1" ht="13.5" thickBot="1" x14ac:dyDescent="0.25">
      <c r="A10" s="1757" t="s">
        <v>1235</v>
      </c>
      <c r="B10" s="1730"/>
      <c r="C10" s="1709">
        <f>SUM(C8:C9)</f>
        <v>4690907</v>
      </c>
      <c r="D10" s="1709">
        <f t="shared" ref="D10:K10" si="1">SUM(D8:D9)</f>
        <v>195207</v>
      </c>
      <c r="E10" s="1709">
        <f t="shared" si="1"/>
        <v>399444</v>
      </c>
      <c r="F10" s="1709">
        <f t="shared" si="1"/>
        <v>252835</v>
      </c>
      <c r="G10" s="1709">
        <f t="shared" si="1"/>
        <v>133254</v>
      </c>
      <c r="H10" s="1709">
        <f t="shared" si="1"/>
        <v>3217</v>
      </c>
      <c r="I10" s="1709">
        <f t="shared" si="1"/>
        <v>13390</v>
      </c>
      <c r="J10" s="1709">
        <f t="shared" si="1"/>
        <v>23380</v>
      </c>
      <c r="K10" s="1709">
        <f t="shared" si="1"/>
        <v>10243</v>
      </c>
      <c r="L10" s="518"/>
    </row>
    <row r="11" spans="1:13" s="519" customFormat="1" ht="16.7" customHeight="1" thickTop="1" x14ac:dyDescent="0.2">
      <c r="A11" s="2142" t="s">
        <v>1238</v>
      </c>
      <c r="B11" s="2143"/>
      <c r="C11" s="1591"/>
      <c r="D11" s="1592"/>
      <c r="E11" s="1592"/>
      <c r="F11" s="1592"/>
      <c r="G11" s="1592"/>
      <c r="H11" s="1592"/>
      <c r="I11" s="1592"/>
      <c r="J11" s="1592"/>
      <c r="K11" s="1593"/>
      <c r="L11" s="518"/>
    </row>
    <row r="12" spans="1:13" ht="15.75" customHeight="1" x14ac:dyDescent="0.2">
      <c r="A12" s="1597" t="s">
        <v>476</v>
      </c>
      <c r="B12" s="1599">
        <v>1000</v>
      </c>
      <c r="C12" s="1763">
        <f>'Expenditures 15-22'!K33</f>
        <v>2100677</v>
      </c>
      <c r="D12" s="520" t="s">
        <v>1231</v>
      </c>
      <c r="E12" s="468" t="s">
        <v>1231</v>
      </c>
      <c r="F12" s="468" t="s">
        <v>1231</v>
      </c>
      <c r="G12" s="1763">
        <f>'Expenditures 15-22'!K229</f>
        <v>51388</v>
      </c>
      <c r="H12" s="521"/>
      <c r="I12" s="468" t="s">
        <v>1231</v>
      </c>
      <c r="J12" s="468" t="s">
        <v>1231</v>
      </c>
      <c r="K12" s="521" t="s">
        <v>1231</v>
      </c>
      <c r="L12" s="347"/>
    </row>
    <row r="13" spans="1:13" ht="15.75" customHeight="1" x14ac:dyDescent="0.2">
      <c r="A13" s="1597" t="s">
        <v>477</v>
      </c>
      <c r="B13" s="1599">
        <v>2000</v>
      </c>
      <c r="C13" s="1764">
        <f>'Expenditures 15-22'!K74</f>
        <v>918423</v>
      </c>
      <c r="D13" s="1764">
        <f>'Expenditures 15-22'!K129</f>
        <v>143745</v>
      </c>
      <c r="E13" s="469" t="s">
        <v>1231</v>
      </c>
      <c r="F13" s="1764">
        <f>'Expenditures 15-22'!K184</f>
        <v>201172</v>
      </c>
      <c r="G13" s="1764">
        <f>'Expenditures 15-22'!K279</f>
        <v>71033</v>
      </c>
      <c r="H13" s="1764">
        <f>'Expenditures 15-22'!K303</f>
        <v>1321760</v>
      </c>
      <c r="I13" s="468" t="s">
        <v>1231</v>
      </c>
      <c r="J13" s="1764">
        <f>'Expenditures 15-22'!K330</f>
        <v>23380</v>
      </c>
      <c r="K13" s="1768">
        <f>'Expenditures 15-22'!K352</f>
        <v>0</v>
      </c>
      <c r="L13" s="347"/>
    </row>
    <row r="14" spans="1:13" ht="15.75" customHeight="1" x14ac:dyDescent="0.2">
      <c r="A14" s="1597" t="s">
        <v>469</v>
      </c>
      <c r="B14" s="1599">
        <v>3000</v>
      </c>
      <c r="C14" s="1764">
        <f>'Expenditures 15-22'!K75</f>
        <v>5194</v>
      </c>
      <c r="D14" s="1764">
        <f>'Expenditures 15-22'!K130</f>
        <v>0</v>
      </c>
      <c r="E14" s="520" t="s">
        <v>1231</v>
      </c>
      <c r="F14" s="1764">
        <f>'Expenditures 15-22'!K185</f>
        <v>0</v>
      </c>
      <c r="G14" s="1764">
        <f>'Expenditures 15-22'!K280</f>
        <v>50</v>
      </c>
      <c r="H14" s="512"/>
      <c r="I14" s="468" t="s">
        <v>1231</v>
      </c>
      <c r="J14" s="468" t="s">
        <v>1231</v>
      </c>
      <c r="K14" s="512" t="s">
        <v>1231</v>
      </c>
      <c r="L14" s="347"/>
    </row>
    <row r="15" spans="1:13" ht="15.75" customHeight="1" x14ac:dyDescent="0.2">
      <c r="A15" s="1597" t="s">
        <v>109</v>
      </c>
      <c r="B15" s="1599">
        <v>4000</v>
      </c>
      <c r="C15" s="1764">
        <f>'Expenditures 15-22'!K102</f>
        <v>217253</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382070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3241547</v>
      </c>
      <c r="D17" s="1709">
        <f t="shared" si="2"/>
        <v>143745</v>
      </c>
      <c r="E17" s="1709">
        <f t="shared" si="2"/>
        <v>382070</v>
      </c>
      <c r="F17" s="1709">
        <f t="shared" si="2"/>
        <v>201172</v>
      </c>
      <c r="G17" s="1709">
        <f t="shared" si="2"/>
        <v>122471</v>
      </c>
      <c r="H17" s="1709">
        <f t="shared" si="2"/>
        <v>1321760</v>
      </c>
      <c r="I17" s="468"/>
      <c r="J17" s="1709">
        <f>SUM(J12:J16)</f>
        <v>23380</v>
      </c>
      <c r="K17" s="1709">
        <f>SUM(K12:K16)</f>
        <v>0</v>
      </c>
      <c r="L17" s="347"/>
    </row>
    <row r="18" spans="1:12" ht="15" customHeight="1" thickTop="1" x14ac:dyDescent="0.2">
      <c r="A18" s="1765" t="s">
        <v>1753</v>
      </c>
      <c r="B18" s="1766">
        <v>4180</v>
      </c>
      <c r="C18" s="1763">
        <f t="shared" ref="C18:H18" si="3">C9</f>
        <v>1340461</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4582008</v>
      </c>
      <c r="D19" s="1709">
        <f t="shared" si="4"/>
        <v>143745</v>
      </c>
      <c r="E19" s="1709">
        <f t="shared" si="4"/>
        <v>382070</v>
      </c>
      <c r="F19" s="1709">
        <f t="shared" si="4"/>
        <v>201172</v>
      </c>
      <c r="G19" s="1709">
        <f t="shared" si="4"/>
        <v>122471</v>
      </c>
      <c r="H19" s="1709">
        <f t="shared" si="4"/>
        <v>1321760</v>
      </c>
      <c r="I19" s="468"/>
      <c r="J19" s="1709">
        <f>SUM(J17:J18)</f>
        <v>23380</v>
      </c>
      <c r="K19" s="1709">
        <f>SUM(K17:K18)</f>
        <v>0</v>
      </c>
      <c r="L19" s="347"/>
    </row>
    <row r="20" spans="1:12" ht="16.5" thickTop="1" thickBot="1" x14ac:dyDescent="0.25">
      <c r="A20" s="2158" t="s">
        <v>1754</v>
      </c>
      <c r="B20" s="2159"/>
      <c r="C20" s="1767">
        <f>C8-C17</f>
        <v>108899</v>
      </c>
      <c r="D20" s="1767">
        <f t="shared" ref="D20:K20" si="5">D8-D17</f>
        <v>51462</v>
      </c>
      <c r="E20" s="1767">
        <f t="shared" si="5"/>
        <v>17374</v>
      </c>
      <c r="F20" s="1767">
        <f t="shared" si="5"/>
        <v>51663</v>
      </c>
      <c r="G20" s="1767">
        <f t="shared" si="5"/>
        <v>10783</v>
      </c>
      <c r="H20" s="1767">
        <f t="shared" si="5"/>
        <v>-1318543</v>
      </c>
      <c r="I20" s="1767">
        <f t="shared" si="5"/>
        <v>13390</v>
      </c>
      <c r="J20" s="1767">
        <f t="shared" si="5"/>
        <v>0</v>
      </c>
      <c r="K20" s="1767">
        <f t="shared" si="5"/>
        <v>10243</v>
      </c>
      <c r="L20" s="347"/>
    </row>
    <row r="21" spans="1:12" ht="16.7" customHeight="1" thickTop="1" x14ac:dyDescent="0.2">
      <c r="A21" s="2170" t="s">
        <v>616</v>
      </c>
      <c r="B21" s="2171"/>
      <c r="C21" s="1591"/>
      <c r="D21" s="1592"/>
      <c r="E21" s="1592"/>
      <c r="F21" s="1592"/>
      <c r="G21" s="1592"/>
      <c r="H21" s="1592"/>
      <c r="I21" s="1592"/>
      <c r="J21" s="1592"/>
      <c r="K21" s="1593"/>
      <c r="L21" s="524"/>
    </row>
    <row r="22" spans="1:12" ht="15.75" customHeight="1" collapsed="1" x14ac:dyDescent="0.2">
      <c r="A22" s="2166" t="s">
        <v>617</v>
      </c>
      <c r="B22" s="2167"/>
      <c r="C22" s="477"/>
      <c r="D22" s="477"/>
      <c r="E22" s="477"/>
      <c r="F22" s="477"/>
      <c r="G22" s="477"/>
      <c r="H22" s="477"/>
      <c r="I22" s="477"/>
      <c r="J22" s="477"/>
      <c r="K22" s="477"/>
      <c r="L22" s="347"/>
    </row>
    <row r="23" spans="1:12" s="485" customFormat="1" ht="15.75" customHeight="1" x14ac:dyDescent="0.2">
      <c r="A23" s="2162" t="s">
        <v>311</v>
      </c>
      <c r="B23" s="2163"/>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64" t="s">
        <v>1038</v>
      </c>
      <c r="B32" s="2165"/>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72" t="s">
        <v>392</v>
      </c>
      <c r="B44" s="2173"/>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66" t="s">
        <v>110</v>
      </c>
      <c r="B45" s="2167"/>
      <c r="C45" s="528"/>
      <c r="D45" s="528"/>
      <c r="E45" s="528"/>
      <c r="F45" s="528"/>
      <c r="G45" s="528"/>
      <c r="H45" s="528"/>
      <c r="I45" s="528"/>
      <c r="J45" s="528"/>
      <c r="K45" s="528"/>
      <c r="L45" s="347"/>
    </row>
    <row r="46" spans="1:12" s="485" customFormat="1" ht="15.75" customHeight="1" x14ac:dyDescent="0.2">
      <c r="A46" s="2174" t="s">
        <v>111</v>
      </c>
      <c r="B46" s="2175"/>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8" t="s">
        <v>460</v>
      </c>
      <c r="B76" s="2149"/>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50" t="s">
        <v>1239</v>
      </c>
      <c r="B77" s="2151"/>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54" t="s">
        <v>618</v>
      </c>
      <c r="B78" s="2155"/>
      <c r="C78" s="1723">
        <f t="shared" ref="C78:K78" si="9">C20+C77</f>
        <v>108899</v>
      </c>
      <c r="D78" s="1723">
        <f t="shared" si="9"/>
        <v>51462</v>
      </c>
      <c r="E78" s="1723">
        <f t="shared" si="9"/>
        <v>17374</v>
      </c>
      <c r="F78" s="1723">
        <f t="shared" si="9"/>
        <v>51663</v>
      </c>
      <c r="G78" s="1723">
        <f t="shared" si="9"/>
        <v>10783</v>
      </c>
      <c r="H78" s="1723">
        <f t="shared" si="9"/>
        <v>-1318543</v>
      </c>
      <c r="I78" s="1723">
        <f t="shared" si="9"/>
        <v>13390</v>
      </c>
      <c r="J78" s="1723">
        <f t="shared" si="9"/>
        <v>0</v>
      </c>
      <c r="K78" s="1723">
        <f t="shared" si="9"/>
        <v>10243</v>
      </c>
      <c r="L78" s="533"/>
    </row>
    <row r="79" spans="1:12" ht="13.5" thickTop="1" x14ac:dyDescent="0.2">
      <c r="A79" s="1515" t="s">
        <v>2073</v>
      </c>
      <c r="B79" s="534"/>
      <c r="C79" s="478">
        <v>107083</v>
      </c>
      <c r="D79" s="535">
        <v>249625</v>
      </c>
      <c r="E79" s="535">
        <v>78913</v>
      </c>
      <c r="F79" s="535">
        <v>264233</v>
      </c>
      <c r="G79" s="535">
        <v>49462</v>
      </c>
      <c r="H79" s="535">
        <v>2359192</v>
      </c>
      <c r="I79" s="535">
        <v>357147</v>
      </c>
      <c r="J79" s="535"/>
      <c r="K79" s="535">
        <v>56404</v>
      </c>
      <c r="L79" s="347"/>
    </row>
    <row r="80" spans="1:12" x14ac:dyDescent="0.2">
      <c r="A80" s="2160" t="s">
        <v>1898</v>
      </c>
      <c r="B80" s="2161"/>
      <c r="C80" s="467"/>
      <c r="D80" s="467"/>
      <c r="E80" s="467"/>
      <c r="F80" s="467"/>
      <c r="G80" s="467"/>
      <c r="H80" s="467"/>
      <c r="I80" s="467"/>
      <c r="J80" s="467"/>
      <c r="K80" s="467"/>
      <c r="L80" s="347"/>
    </row>
    <row r="81" spans="1:12" ht="13.5" thickBot="1" x14ac:dyDescent="0.25">
      <c r="A81" s="2152" t="s">
        <v>2074</v>
      </c>
      <c r="B81" s="2153"/>
      <c r="C81" s="1709">
        <f>(SUM(C78:C80))</f>
        <v>215982</v>
      </c>
      <c r="D81" s="1709">
        <f>SUM(D78:D80)</f>
        <v>301087</v>
      </c>
      <c r="E81" s="1709">
        <f t="shared" ref="E81:K81" si="10">SUM(E78:E80)</f>
        <v>96287</v>
      </c>
      <c r="F81" s="1709">
        <f t="shared" si="10"/>
        <v>315896</v>
      </c>
      <c r="G81" s="1709">
        <f t="shared" si="10"/>
        <v>60245</v>
      </c>
      <c r="H81" s="1709">
        <f t="shared" si="10"/>
        <v>1040649</v>
      </c>
      <c r="I81" s="1709">
        <f t="shared" si="10"/>
        <v>370537</v>
      </c>
      <c r="J81" s="1709">
        <f t="shared" si="10"/>
        <v>0</v>
      </c>
      <c r="K81" s="1709">
        <f t="shared" si="10"/>
        <v>66647</v>
      </c>
      <c r="L81" s="347"/>
    </row>
    <row r="82" spans="1:12" ht="0.75" customHeight="1" thickTop="1" thickBot="1" x14ac:dyDescent="0.25">
      <c r="A82" s="536" t="s">
        <v>361</v>
      </c>
      <c r="B82" s="537"/>
      <c r="C82" s="538">
        <f>(C81-C79)</f>
        <v>108899</v>
      </c>
      <c r="D82" s="538">
        <f t="shared" ref="D82:K82" si="11">(D81-D79)</f>
        <v>51462</v>
      </c>
      <c r="E82" s="538">
        <f t="shared" si="11"/>
        <v>17374</v>
      </c>
      <c r="F82" s="538">
        <f t="shared" si="11"/>
        <v>51663</v>
      </c>
      <c r="G82" s="538">
        <f t="shared" si="11"/>
        <v>10783</v>
      </c>
      <c r="H82" s="538">
        <f t="shared" si="11"/>
        <v>-1318543</v>
      </c>
      <c r="I82" s="538">
        <f t="shared" si="11"/>
        <v>13390</v>
      </c>
      <c r="J82" s="538">
        <f t="shared" si="11"/>
        <v>0</v>
      </c>
      <c r="K82" s="538">
        <f t="shared" si="11"/>
        <v>10243</v>
      </c>
    </row>
    <row r="83" spans="1:12" ht="14.25" hidden="1" thickTop="1" thickBot="1" x14ac:dyDescent="0.25">
      <c r="A83" s="539" t="s">
        <v>362</v>
      </c>
      <c r="B83" s="464"/>
      <c r="C83" s="540">
        <f>C82/C81</f>
        <v>0.50420405404154045</v>
      </c>
      <c r="D83" s="540">
        <f t="shared" ref="D83:K83" si="12">D82/D81</f>
        <v>0.17092069733997151</v>
      </c>
      <c r="E83" s="540">
        <f t="shared" si="12"/>
        <v>0.18043972706595907</v>
      </c>
      <c r="F83" s="540">
        <f t="shared" si="12"/>
        <v>0.1635443310456606</v>
      </c>
      <c r="G83" s="540">
        <f t="shared" si="12"/>
        <v>0.1789858079508673</v>
      </c>
      <c r="H83" s="540">
        <f t="shared" si="12"/>
        <v>-1.2670391265450696</v>
      </c>
      <c r="I83" s="540">
        <f t="shared" si="12"/>
        <v>3.6136742079738327E-2</v>
      </c>
      <c r="J83" s="540" t="e">
        <f t="shared" si="12"/>
        <v>#DIV/0!</v>
      </c>
      <c r="K83" s="540">
        <f t="shared" si="12"/>
        <v>0.15369033864990173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5" right="0.25" top="1.25" bottom="0.5" header="0.5" footer="0.3"/>
  <pageSetup scale="70" firstPageNumber="12" orientation="landscape" useFirstPageNumber="1" r:id="rId1"/>
  <headerFooter scaleWithDoc="0">
    <oddHeader xml:space="preserve">&amp;C&amp;"Arial,Bold"&amp;9BASIC FINANCIAL STATEMENT
STATEMENT OF REVENUES RECEIVED/REVENUES, EXPENDITURES/DISBURSED/EXPENDITURES, OTHER 
SOURCES (USES) AND CHANGES IN FUND BALANCE
ALL FUNDS - FOR THE YEAR ENDING JUNE 30, 2018
 </oddHeader>
    <oddFooter>&amp;LSee notes to financial statements.&amp;C&amp;P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7" sqref="A7:D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6" t="s">
        <v>1905</v>
      </c>
      <c r="B1" s="452"/>
      <c r="C1" s="453" t="s">
        <v>445</v>
      </c>
      <c r="D1" s="453" t="s">
        <v>446</v>
      </c>
      <c r="E1" s="453" t="s">
        <v>447</v>
      </c>
      <c r="F1" s="453" t="s">
        <v>448</v>
      </c>
      <c r="G1" s="453" t="s">
        <v>449</v>
      </c>
      <c r="H1" s="453" t="s">
        <v>450</v>
      </c>
      <c r="I1" s="453" t="s">
        <v>451</v>
      </c>
      <c r="J1" s="453" t="s">
        <v>452</v>
      </c>
      <c r="K1" s="453" t="s">
        <v>780</v>
      </c>
    </row>
    <row r="2" spans="1:12" ht="36" x14ac:dyDescent="0.2">
      <c r="A2" s="215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980214</v>
      </c>
      <c r="D5" s="481">
        <v>183824</v>
      </c>
      <c r="E5" s="466">
        <v>97778</v>
      </c>
      <c r="F5" s="548">
        <v>116692</v>
      </c>
      <c r="G5" s="466">
        <v>62040</v>
      </c>
      <c r="H5" s="466"/>
      <c r="I5" s="466">
        <v>12637</v>
      </c>
      <c r="J5" s="467">
        <v>23309</v>
      </c>
      <c r="K5" s="466">
        <v>10097</v>
      </c>
    </row>
    <row r="6" spans="1:12" ht="15" x14ac:dyDescent="0.2">
      <c r="A6" s="463" t="s">
        <v>1761</v>
      </c>
      <c r="B6" s="470">
        <v>1130</v>
      </c>
      <c r="C6" s="466"/>
      <c r="D6" s="466"/>
      <c r="E6" s="475"/>
      <c r="F6" s="475"/>
      <c r="G6" s="468"/>
      <c r="H6" s="468"/>
      <c r="I6" s="468"/>
      <c r="J6" s="468"/>
      <c r="K6" s="468"/>
    </row>
    <row r="7" spans="1:12" x14ac:dyDescent="0.2">
      <c r="A7" s="463" t="s">
        <v>112</v>
      </c>
      <c r="B7" s="549">
        <v>1140</v>
      </c>
      <c r="C7" s="466">
        <v>23249</v>
      </c>
      <c r="D7" s="466"/>
      <c r="E7" s="468"/>
      <c r="F7" s="467"/>
      <c r="G7" s="467"/>
      <c r="H7" s="467"/>
      <c r="I7" s="468"/>
      <c r="J7" s="468"/>
      <c r="K7" s="468"/>
    </row>
    <row r="8" spans="1:12" x14ac:dyDescent="0.2">
      <c r="A8" s="463" t="s">
        <v>433</v>
      </c>
      <c r="B8" s="470">
        <v>1150</v>
      </c>
      <c r="C8" s="475"/>
      <c r="D8" s="475"/>
      <c r="E8" s="477"/>
      <c r="F8" s="477"/>
      <c r="G8" s="481">
        <v>47385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1003463</v>
      </c>
      <c r="D12" s="1728">
        <f t="shared" si="0"/>
        <v>183824</v>
      </c>
      <c r="E12" s="1728">
        <f t="shared" si="0"/>
        <v>97778</v>
      </c>
      <c r="F12" s="1728">
        <f t="shared" si="0"/>
        <v>116692</v>
      </c>
      <c r="G12" s="1728">
        <f t="shared" si="0"/>
        <v>109425</v>
      </c>
      <c r="H12" s="1728">
        <f t="shared" si="0"/>
        <v>0</v>
      </c>
      <c r="I12" s="1728">
        <f t="shared" si="0"/>
        <v>12637</v>
      </c>
      <c r="J12" s="1728">
        <f t="shared" si="0"/>
        <v>23309</v>
      </c>
      <c r="K12" s="1709">
        <f t="shared" si="0"/>
        <v>10097</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3027</v>
      </c>
      <c r="D14" s="466">
        <v>555</v>
      </c>
      <c r="E14" s="466">
        <v>295</v>
      </c>
      <c r="F14" s="466">
        <v>352</v>
      </c>
      <c r="G14" s="466">
        <v>330</v>
      </c>
      <c r="H14" s="466"/>
      <c r="I14" s="466">
        <v>38</v>
      </c>
      <c r="J14" s="467">
        <v>70</v>
      </c>
      <c r="K14" s="466">
        <v>30</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42794</v>
      </c>
      <c r="D16" s="466">
        <v>10270</v>
      </c>
      <c r="E16" s="466"/>
      <c r="F16" s="466">
        <v>3994</v>
      </c>
      <c r="G16" s="466">
        <v>6388</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45821</v>
      </c>
      <c r="D18" s="1731">
        <f t="shared" ref="D18:K18" si="1">SUM(D14:D17)</f>
        <v>10825</v>
      </c>
      <c r="E18" s="1731">
        <f t="shared" si="1"/>
        <v>295</v>
      </c>
      <c r="F18" s="1731">
        <f t="shared" si="1"/>
        <v>4346</v>
      </c>
      <c r="G18" s="1731">
        <f t="shared" si="1"/>
        <v>6718</v>
      </c>
      <c r="H18" s="1731">
        <f t="shared" si="1"/>
        <v>0</v>
      </c>
      <c r="I18" s="1731">
        <f t="shared" si="1"/>
        <v>38</v>
      </c>
      <c r="J18" s="1731">
        <f t="shared" si="1"/>
        <v>70</v>
      </c>
      <c r="K18" s="1732">
        <f t="shared" si="1"/>
        <v>30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427</v>
      </c>
      <c r="D65" s="466">
        <v>558</v>
      </c>
      <c r="E65" s="466">
        <v>57</v>
      </c>
      <c r="F65" s="467">
        <v>577</v>
      </c>
      <c r="G65" s="466">
        <v>111</v>
      </c>
      <c r="H65" s="466">
        <v>3217</v>
      </c>
      <c r="I65" s="466">
        <v>715</v>
      </c>
      <c r="J65" s="467">
        <v>1</v>
      </c>
      <c r="K65" s="466">
        <v>116</v>
      </c>
    </row>
    <row r="66" spans="1:11" ht="12.75" customHeight="1" x14ac:dyDescent="0.2">
      <c r="A66" s="463" t="s">
        <v>700</v>
      </c>
      <c r="B66" s="470">
        <v>1520</v>
      </c>
      <c r="C66" s="466">
        <v>235</v>
      </c>
      <c r="D66" s="466"/>
      <c r="E66" s="466"/>
      <c r="F66" s="466"/>
      <c r="G66" s="466"/>
      <c r="H66" s="466"/>
      <c r="I66" s="466"/>
      <c r="J66" s="467"/>
      <c r="K66" s="466"/>
    </row>
    <row r="67" spans="1:11" ht="12.75" customHeight="1" thickBot="1" x14ac:dyDescent="0.25">
      <c r="A67" s="1729" t="s">
        <v>507</v>
      </c>
      <c r="B67" s="1730"/>
      <c r="C67" s="1709">
        <f>SUM(C65:C66)</f>
        <v>662</v>
      </c>
      <c r="D67" s="1709">
        <f t="shared" ref="D67:K67" si="2">SUM(D65:D66)</f>
        <v>558</v>
      </c>
      <c r="E67" s="1709">
        <f t="shared" si="2"/>
        <v>57</v>
      </c>
      <c r="F67" s="1709">
        <f t="shared" si="2"/>
        <v>577</v>
      </c>
      <c r="G67" s="1709">
        <f t="shared" si="2"/>
        <v>111</v>
      </c>
      <c r="H67" s="1709">
        <f t="shared" si="2"/>
        <v>3217</v>
      </c>
      <c r="I67" s="1709">
        <f t="shared" si="2"/>
        <v>715</v>
      </c>
      <c r="J67" s="1709">
        <f t="shared" si="2"/>
        <v>1</v>
      </c>
      <c r="K67" s="1709">
        <f t="shared" si="2"/>
        <v>116</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47956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3764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51720</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18969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16950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1732</v>
      </c>
      <c r="D81" s="466"/>
      <c r="E81" s="468"/>
      <c r="F81" s="468"/>
      <c r="G81" s="468"/>
      <c r="H81" s="468"/>
      <c r="I81" s="468"/>
      <c r="J81" s="468"/>
      <c r="K81" s="468"/>
    </row>
    <row r="82" spans="1:11" ht="12.75" customHeight="1" thickBot="1" x14ac:dyDescent="0.25">
      <c r="A82" s="1729" t="s">
        <v>259</v>
      </c>
      <c r="B82" s="1730"/>
      <c r="C82" s="1728">
        <f>SUM(C77:C81)</f>
        <v>37651</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15310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15310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v>33171</v>
      </c>
      <c r="D98" s="466"/>
      <c r="E98" s="512"/>
      <c r="F98" s="466"/>
      <c r="G98" s="512"/>
      <c r="H98" s="512"/>
      <c r="I98" s="510"/>
      <c r="J98" s="512"/>
      <c r="K98" s="512"/>
    </row>
    <row r="99" spans="1:12" ht="12.75" customHeight="1" x14ac:dyDescent="0.2">
      <c r="A99" s="463" t="s">
        <v>875</v>
      </c>
      <c r="B99" s="470">
        <v>1950</v>
      </c>
      <c r="C99" s="489">
        <v>2758</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3675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301314</v>
      </c>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19438</v>
      </c>
      <c r="D106" s="489"/>
      <c r="E106" s="467"/>
      <c r="F106" s="467"/>
      <c r="G106" s="467"/>
      <c r="H106" s="467"/>
      <c r="I106" s="521"/>
      <c r="J106" s="467"/>
      <c r="K106" s="467"/>
    </row>
    <row r="107" spans="1:12" ht="12.75" customHeight="1" x14ac:dyDescent="0.2">
      <c r="A107" s="463" t="s">
        <v>80</v>
      </c>
      <c r="B107" s="470">
        <v>1999</v>
      </c>
      <c r="C107" s="551">
        <v>8802</v>
      </c>
      <c r="D107" s="466"/>
      <c r="E107" s="466"/>
      <c r="F107" s="466"/>
      <c r="G107" s="466"/>
      <c r="H107" s="466"/>
      <c r="I107" s="466"/>
      <c r="J107" s="467"/>
      <c r="K107" s="466"/>
    </row>
    <row r="108" spans="1:12" ht="12.75" customHeight="1" thickBot="1" x14ac:dyDescent="0.25">
      <c r="A108" s="1729" t="s">
        <v>508</v>
      </c>
      <c r="B108" s="1733"/>
      <c r="C108" s="1728">
        <f>SUM(C95:C107)</f>
        <v>67844</v>
      </c>
      <c r="D108" s="1728">
        <f t="shared" ref="D108:K108" si="3">SUM(D95:D107)</f>
        <v>0</v>
      </c>
      <c r="E108" s="1728">
        <f t="shared" si="3"/>
        <v>301314</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1222471</v>
      </c>
      <c r="D109" s="1736">
        <f t="shared" si="4"/>
        <v>195207</v>
      </c>
      <c r="E109" s="1736">
        <f t="shared" si="4"/>
        <v>399444</v>
      </c>
      <c r="F109" s="1736">
        <f t="shared" si="4"/>
        <v>121615</v>
      </c>
      <c r="G109" s="1736">
        <f t="shared" si="4"/>
        <v>116254</v>
      </c>
      <c r="H109" s="1736">
        <f t="shared" si="4"/>
        <v>3217</v>
      </c>
      <c r="I109" s="1736">
        <f t="shared" si="4"/>
        <v>13390</v>
      </c>
      <c r="J109" s="1736">
        <f t="shared" si="4"/>
        <v>23380</v>
      </c>
      <c r="K109" s="1723">
        <f t="shared" si="4"/>
        <v>10243</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1742508</v>
      </c>
      <c r="D117" s="481"/>
      <c r="E117" s="466"/>
      <c r="F117" s="481"/>
      <c r="G117" s="481">
        <v>17000</v>
      </c>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1742508</v>
      </c>
      <c r="D121" s="1728">
        <f t="shared" si="5"/>
        <v>0</v>
      </c>
      <c r="E121" s="1728">
        <f t="shared" si="5"/>
        <v>0</v>
      </c>
      <c r="F121" s="1728">
        <f t="shared" si="5"/>
        <v>0</v>
      </c>
      <c r="G121" s="1728">
        <f t="shared" si="5"/>
        <v>17000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29196</v>
      </c>
      <c r="D125" s="561"/>
      <c r="E125" s="468"/>
      <c r="F125" s="466"/>
      <c r="G125" s="468"/>
      <c r="H125" s="468"/>
      <c r="I125" s="468"/>
      <c r="J125" s="468"/>
      <c r="K125" s="468"/>
    </row>
    <row r="126" spans="1:11" ht="12.75" customHeight="1" x14ac:dyDescent="0.2">
      <c r="A126" s="463" t="s">
        <v>922</v>
      </c>
      <c r="B126" s="562">
        <v>3110</v>
      </c>
      <c r="C126" s="551">
        <v>35668</v>
      </c>
      <c r="D126" s="466"/>
      <c r="E126" s="468"/>
      <c r="F126" s="466"/>
      <c r="G126" s="468"/>
      <c r="H126" s="468"/>
      <c r="I126" s="468"/>
      <c r="J126" s="468"/>
      <c r="K126" s="468"/>
    </row>
    <row r="127" spans="1:11" ht="12.75" customHeight="1" x14ac:dyDescent="0.2">
      <c r="A127" s="463" t="s">
        <v>107</v>
      </c>
      <c r="B127" s="562">
        <v>3120</v>
      </c>
      <c r="C127" s="466">
        <v>47640</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252</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112756</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2124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4764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6888</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1150</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8268</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73941</v>
      </c>
      <c r="G151" s="467"/>
      <c r="H151" s="468"/>
      <c r="I151" s="468"/>
      <c r="J151" s="468"/>
      <c r="K151" s="468"/>
    </row>
    <row r="152" spans="1:11" ht="12.75" customHeight="1" x14ac:dyDescent="0.2">
      <c r="A152" s="463" t="s">
        <v>1117</v>
      </c>
      <c r="B152" s="562">
        <v>3510</v>
      </c>
      <c r="C152" s="551"/>
      <c r="D152" s="466"/>
      <c r="E152" s="561"/>
      <c r="F152" s="466">
        <v>57279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131220</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76" t="s">
        <v>418</v>
      </c>
      <c r="B172" s="2177"/>
      <c r="C172" s="1743">
        <f t="shared" ref="C172:K172" si="6">SUM(C131,C140,C144,C145:C149,C154,C155:C170,C171)</f>
        <v>129062</v>
      </c>
      <c r="D172" s="1743">
        <f t="shared" si="6"/>
        <v>0</v>
      </c>
      <c r="E172" s="1743">
        <f t="shared" si="6"/>
        <v>0</v>
      </c>
      <c r="F172" s="1743">
        <f t="shared" si="6"/>
        <v>131220</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1871570</v>
      </c>
      <c r="D173" s="1736">
        <f>SUM(D121,D172)</f>
        <v>0</v>
      </c>
      <c r="E173" s="1736">
        <f>SUM(E121,E172)</f>
        <v>0</v>
      </c>
      <c r="F173" s="1736">
        <f t="shared" ref="F173:K173" si="7">SUM(F121,F172)</f>
        <v>131220</v>
      </c>
      <c r="G173" s="1736">
        <f t="shared" si="7"/>
        <v>17000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8" t="s">
        <v>1572</v>
      </c>
      <c r="B175" s="2179"/>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2" t="s">
        <v>1764</v>
      </c>
      <c r="B178" s="2183"/>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6" t="s">
        <v>1763</v>
      </c>
      <c r="B179" s="2187"/>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21733</v>
      </c>
      <c r="D183" s="466"/>
      <c r="E183" s="468"/>
      <c r="F183" s="466"/>
      <c r="G183" s="466"/>
      <c r="H183" s="466"/>
      <c r="I183" s="468"/>
      <c r="J183" s="468"/>
      <c r="K183" s="466"/>
    </row>
    <row r="184" spans="1:11" ht="13.5" thickBot="1" x14ac:dyDescent="0.25">
      <c r="A184" s="2184" t="s">
        <v>818</v>
      </c>
      <c r="B184" s="2185"/>
      <c r="C184" s="1728">
        <f>SUM(C180:C183)</f>
        <v>21733</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80" t="s">
        <v>1906</v>
      </c>
      <c r="B185" s="2181"/>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68135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15012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83147</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55486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55486</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70421</v>
      </c>
      <c r="D220" s="466"/>
      <c r="E220" s="468"/>
      <c r="F220" s="466"/>
      <c r="G220" s="466"/>
      <c r="H220" s="468"/>
      <c r="I220" s="468"/>
      <c r="J220" s="468"/>
      <c r="K220" s="468"/>
    </row>
    <row r="221" spans="1:11" ht="12.75" customHeight="1" x14ac:dyDescent="0.2">
      <c r="A221" s="463" t="s">
        <v>1114</v>
      </c>
      <c r="B221" s="470">
        <v>4625</v>
      </c>
      <c r="C221" s="551">
        <v>3332</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73753</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v>1549</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1549</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12426</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4047</v>
      </c>
      <c r="D270" s="576"/>
      <c r="E270" s="468"/>
      <c r="F270" s="576"/>
      <c r="G270" s="576"/>
      <c r="H270" s="468"/>
      <c r="I270" s="468"/>
      <c r="J270" s="468"/>
      <c r="K270" s="468"/>
    </row>
    <row r="271" spans="1:11" ht="12.75" customHeight="1" thickTop="1" thickBot="1" x14ac:dyDescent="0.25">
      <c r="A271" s="463" t="s">
        <v>395</v>
      </c>
      <c r="B271" s="470">
        <v>4992</v>
      </c>
      <c r="C271" s="575">
        <v>4264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234672</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256405</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3350446</v>
      </c>
      <c r="D275" s="1736">
        <f t="shared" si="12"/>
        <v>195207</v>
      </c>
      <c r="E275" s="1736">
        <f t="shared" si="12"/>
        <v>399444</v>
      </c>
      <c r="F275" s="1736">
        <f t="shared" si="12"/>
        <v>252835</v>
      </c>
      <c r="G275" s="1736">
        <f t="shared" si="12"/>
        <v>133254</v>
      </c>
      <c r="H275" s="1736">
        <f t="shared" si="12"/>
        <v>3217</v>
      </c>
      <c r="I275" s="1736">
        <f t="shared" si="12"/>
        <v>13390</v>
      </c>
      <c r="J275" s="1736">
        <f t="shared" si="12"/>
        <v>23380</v>
      </c>
      <c r="K275" s="1723">
        <f t="shared" si="12"/>
        <v>10243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5" right="0.25" top="1" bottom="0.5" header="0.51" footer="0.25"/>
  <pageSetup scale="70" firstPageNumber="14" orientation="landscape" useFirstPageNumber="1" r:id="rId1"/>
  <headerFooter scaleWithDoc="0">
    <oddHeader>&amp;C&amp;"Arial,Bold"&amp;9STATEMENT OF REVENUES RECEIVED/REVENUES
FOR THE YEAR ENDING JUNE 30, 2018</oddHeader>
    <oddFooter>&amp;LSee notes to financial statements.&amp;C&amp;P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zoomScaleSheetLayoutView="110" workbookViewId="0">
      <pane ySplit="2" topLeftCell="A144" activePane="bottomLeft" state="frozen"/>
      <selection activeCell="A7" sqref="A7:D7"/>
      <selection pane="bottomLeft" activeCell="A7" sqref="A7:D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6"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4" t="s">
        <v>315</v>
      </c>
      <c r="B3" s="2195"/>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1290126</v>
      </c>
      <c r="D5" s="466">
        <v>225944</v>
      </c>
      <c r="E5" s="466">
        <v>26185</v>
      </c>
      <c r="F5" s="466">
        <v>33335</v>
      </c>
      <c r="G5" s="466">
        <v>1405</v>
      </c>
      <c r="H5" s="466">
        <v>655</v>
      </c>
      <c r="I5" s="467"/>
      <c r="J5" s="467"/>
      <c r="K5" s="1692">
        <f>SUM(C5:J5)</f>
        <v>1577650</v>
      </c>
      <c r="L5" s="466">
        <v>1625287</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c r="D7" s="467"/>
      <c r="E7" s="467"/>
      <c r="F7" s="467"/>
      <c r="G7" s="467"/>
      <c r="H7" s="467"/>
      <c r="I7" s="467"/>
      <c r="J7" s="467"/>
      <c r="K7" s="1692">
        <f t="shared" ref="K7:K32" si="0">SUM(C7:J7)</f>
        <v>0</v>
      </c>
      <c r="L7" s="466"/>
    </row>
    <row r="8" spans="1:14" x14ac:dyDescent="0.2">
      <c r="A8" s="1525" t="s">
        <v>166</v>
      </c>
      <c r="B8" s="615">
        <v>1200</v>
      </c>
      <c r="C8" s="466">
        <v>232377</v>
      </c>
      <c r="D8" s="466">
        <v>20331</v>
      </c>
      <c r="E8" s="466"/>
      <c r="F8" s="466">
        <v>972</v>
      </c>
      <c r="G8" s="466"/>
      <c r="H8" s="466"/>
      <c r="I8" s="467"/>
      <c r="J8" s="467"/>
      <c r="K8" s="1692">
        <f t="shared" si="0"/>
        <v>253680</v>
      </c>
      <c r="L8" s="466">
        <v>266110</v>
      </c>
    </row>
    <row r="9" spans="1:14" x14ac:dyDescent="0.2">
      <c r="A9" s="1525" t="s">
        <v>745</v>
      </c>
      <c r="B9" s="615" t="s">
        <v>1025</v>
      </c>
      <c r="C9" s="467">
        <v>53352</v>
      </c>
      <c r="D9" s="467">
        <v>1179</v>
      </c>
      <c r="E9" s="467">
        <v>300</v>
      </c>
      <c r="F9" s="467"/>
      <c r="G9" s="467">
        <v>2980</v>
      </c>
      <c r="H9" s="467"/>
      <c r="I9" s="467"/>
      <c r="J9" s="467"/>
      <c r="K9" s="1692">
        <f t="shared" si="0"/>
        <v>57811</v>
      </c>
      <c r="L9" s="466">
        <v>58076</v>
      </c>
    </row>
    <row r="10" spans="1:14" x14ac:dyDescent="0.2">
      <c r="A10" s="1525" t="s">
        <v>746</v>
      </c>
      <c r="B10" s="615">
        <v>1250</v>
      </c>
      <c r="C10" s="466">
        <v>57130</v>
      </c>
      <c r="D10" s="466">
        <v>15965</v>
      </c>
      <c r="E10" s="466"/>
      <c r="F10" s="466">
        <v>306</v>
      </c>
      <c r="G10" s="466"/>
      <c r="H10" s="466"/>
      <c r="I10" s="467"/>
      <c r="J10" s="467"/>
      <c r="K10" s="1692">
        <f t="shared" si="0"/>
        <v>73401</v>
      </c>
      <c r="L10" s="466">
        <v>73530</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v>779</v>
      </c>
      <c r="D13" s="466">
        <v>96</v>
      </c>
      <c r="E13" s="466">
        <v>1279</v>
      </c>
      <c r="F13" s="466">
        <v>5230</v>
      </c>
      <c r="G13" s="466">
        <v>10000</v>
      </c>
      <c r="H13" s="466"/>
      <c r="I13" s="467"/>
      <c r="J13" s="467"/>
      <c r="K13" s="1692">
        <f t="shared" si="0"/>
        <v>17384</v>
      </c>
      <c r="L13" s="466">
        <v>18066</v>
      </c>
    </row>
    <row r="14" spans="1:14" x14ac:dyDescent="0.2">
      <c r="A14" s="1525" t="s">
        <v>1020</v>
      </c>
      <c r="B14" s="615">
        <v>1500</v>
      </c>
      <c r="C14" s="466">
        <v>60099</v>
      </c>
      <c r="D14" s="466">
        <v>540</v>
      </c>
      <c r="E14" s="466">
        <v>17812</v>
      </c>
      <c r="F14" s="466">
        <v>8931</v>
      </c>
      <c r="G14" s="466"/>
      <c r="H14" s="466">
        <v>2026</v>
      </c>
      <c r="I14" s="467"/>
      <c r="J14" s="467"/>
      <c r="K14" s="1692">
        <f t="shared" si="0"/>
        <v>89408</v>
      </c>
      <c r="L14" s="466">
        <v>90700</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v>29078</v>
      </c>
      <c r="D17" s="467">
        <v>643</v>
      </c>
      <c r="E17" s="467">
        <v>642</v>
      </c>
      <c r="F17" s="467">
        <v>868</v>
      </c>
      <c r="G17" s="467"/>
      <c r="H17" s="467"/>
      <c r="I17" s="467"/>
      <c r="J17" s="467"/>
      <c r="K17" s="1692">
        <f t="shared" si="0"/>
        <v>31231</v>
      </c>
      <c r="L17" s="466">
        <v>32550</v>
      </c>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v>110</v>
      </c>
      <c r="D19" s="466">
        <v>2</v>
      </c>
      <c r="E19" s="466"/>
      <c r="F19" s="466"/>
      <c r="G19" s="466"/>
      <c r="H19" s="466"/>
      <c r="I19" s="467"/>
      <c r="J19" s="467"/>
      <c r="K19" s="1692">
        <f t="shared" si="0"/>
        <v>112</v>
      </c>
      <c r="L19" s="466">
        <v>210</v>
      </c>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c r="I22" s="617"/>
      <c r="J22" s="477"/>
      <c r="K22" s="1692">
        <f t="shared" si="0"/>
        <v>0</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1723051</v>
      </c>
      <c r="D33" s="1691">
        <f t="shared" ref="D33:L33" si="1">SUM(D5:D32)</f>
        <v>264700</v>
      </c>
      <c r="E33" s="1691">
        <f t="shared" si="1"/>
        <v>46218</v>
      </c>
      <c r="F33" s="1691">
        <f t="shared" si="1"/>
        <v>49642</v>
      </c>
      <c r="G33" s="1691">
        <f t="shared" si="1"/>
        <v>14385</v>
      </c>
      <c r="H33" s="1691">
        <f t="shared" si="1"/>
        <v>2681</v>
      </c>
      <c r="I33" s="1691">
        <f t="shared" si="1"/>
        <v>0</v>
      </c>
      <c r="J33" s="1691">
        <f t="shared" si="1"/>
        <v>0</v>
      </c>
      <c r="K33" s="1691">
        <f t="shared" si="1"/>
        <v>2100677</v>
      </c>
      <c r="L33" s="1691">
        <f t="shared" si="1"/>
        <v>2164529</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row>
    <row r="37" spans="1:14" x14ac:dyDescent="0.2">
      <c r="A37" s="1525" t="s">
        <v>1151</v>
      </c>
      <c r="B37" s="615">
        <v>2120</v>
      </c>
      <c r="C37" s="466">
        <v>33130</v>
      </c>
      <c r="D37" s="466">
        <v>732</v>
      </c>
      <c r="E37" s="466"/>
      <c r="F37" s="466"/>
      <c r="G37" s="466"/>
      <c r="H37" s="466"/>
      <c r="I37" s="467"/>
      <c r="J37" s="467"/>
      <c r="K37" s="1692">
        <f t="shared" si="2"/>
        <v>33862</v>
      </c>
      <c r="L37" s="466">
        <v>34755</v>
      </c>
    </row>
    <row r="38" spans="1:14" x14ac:dyDescent="0.2">
      <c r="A38" s="1525" t="s">
        <v>207</v>
      </c>
      <c r="B38" s="615">
        <v>2130</v>
      </c>
      <c r="C38" s="466">
        <v>731</v>
      </c>
      <c r="D38" s="466"/>
      <c r="E38" s="466"/>
      <c r="F38" s="466"/>
      <c r="G38" s="466"/>
      <c r="H38" s="466"/>
      <c r="I38" s="467"/>
      <c r="J38" s="467"/>
      <c r="K38" s="1692">
        <f t="shared" si="2"/>
        <v>731</v>
      </c>
      <c r="L38" s="466">
        <v>731</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v>29457</v>
      </c>
      <c r="D40" s="466"/>
      <c r="E40" s="466"/>
      <c r="F40" s="466">
        <v>127</v>
      </c>
      <c r="G40" s="466"/>
      <c r="H40" s="466"/>
      <c r="I40" s="467"/>
      <c r="J40" s="467"/>
      <c r="K40" s="1692">
        <f t="shared" si="2"/>
        <v>29584</v>
      </c>
      <c r="L40" s="466">
        <v>30200</v>
      </c>
    </row>
    <row r="41" spans="1:14" x14ac:dyDescent="0.2">
      <c r="A41" s="1525" t="s">
        <v>1768</v>
      </c>
      <c r="B41" s="615">
        <v>2190</v>
      </c>
      <c r="C41" s="466"/>
      <c r="D41" s="466"/>
      <c r="E41" s="466">
        <v>28682</v>
      </c>
      <c r="F41" s="466">
        <v>9903</v>
      </c>
      <c r="G41" s="466">
        <v>6868</v>
      </c>
      <c r="H41" s="466"/>
      <c r="I41" s="467"/>
      <c r="J41" s="467"/>
      <c r="K41" s="1692">
        <f t="shared" si="2"/>
        <v>45453</v>
      </c>
      <c r="L41" s="466">
        <v>48300</v>
      </c>
    </row>
    <row r="42" spans="1:14" ht="12.75" customHeight="1" thickBot="1" x14ac:dyDescent="0.25">
      <c r="A42" s="1689" t="s">
        <v>581</v>
      </c>
      <c r="B42" s="1690" t="s">
        <v>740</v>
      </c>
      <c r="C42" s="1691">
        <f>SUM(C36:C41)</f>
        <v>63318</v>
      </c>
      <c r="D42" s="1691">
        <f t="shared" ref="D42:L42" si="3">SUM(D36:D41)</f>
        <v>732</v>
      </c>
      <c r="E42" s="1691">
        <f t="shared" si="3"/>
        <v>28682</v>
      </c>
      <c r="F42" s="1691">
        <f t="shared" si="3"/>
        <v>10030</v>
      </c>
      <c r="G42" s="1691">
        <f t="shared" si="3"/>
        <v>6868</v>
      </c>
      <c r="H42" s="1691">
        <f t="shared" si="3"/>
        <v>0</v>
      </c>
      <c r="I42" s="1691">
        <f t="shared" si="3"/>
        <v>0</v>
      </c>
      <c r="J42" s="1691">
        <f t="shared" si="3"/>
        <v>0</v>
      </c>
      <c r="K42" s="1691">
        <f t="shared" si="3"/>
        <v>109630</v>
      </c>
      <c r="L42" s="1691">
        <f t="shared" si="3"/>
        <v>113986</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4320</v>
      </c>
      <c r="D44" s="481">
        <v>95</v>
      </c>
      <c r="E44" s="481"/>
      <c r="F44" s="481"/>
      <c r="G44" s="481"/>
      <c r="H44" s="481">
        <v>1502</v>
      </c>
      <c r="I44" s="467"/>
      <c r="J44" s="467"/>
      <c r="K44" s="1693">
        <f>SUM(C44:J44)</f>
        <v>5917</v>
      </c>
      <c r="L44" s="481">
        <v>13270</v>
      </c>
    </row>
    <row r="45" spans="1:14" x14ac:dyDescent="0.2">
      <c r="A45" s="1525" t="s">
        <v>869</v>
      </c>
      <c r="B45" s="615">
        <v>2220</v>
      </c>
      <c r="C45" s="466"/>
      <c r="D45" s="466"/>
      <c r="E45" s="466">
        <v>1238</v>
      </c>
      <c r="F45" s="466">
        <v>241</v>
      </c>
      <c r="G45" s="466"/>
      <c r="H45" s="466"/>
      <c r="I45" s="467"/>
      <c r="J45" s="467"/>
      <c r="K45" s="1693">
        <f>SUM(C45:J45)</f>
        <v>1479</v>
      </c>
      <c r="L45" s="466">
        <v>1770</v>
      </c>
    </row>
    <row r="46" spans="1:14" x14ac:dyDescent="0.2">
      <c r="A46" s="1525"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4320</v>
      </c>
      <c r="D47" s="1691">
        <f t="shared" ref="D47:K47" si="4">SUM(D44:D46)</f>
        <v>95</v>
      </c>
      <c r="E47" s="1691">
        <f t="shared" si="4"/>
        <v>1238</v>
      </c>
      <c r="F47" s="1691">
        <f t="shared" si="4"/>
        <v>241</v>
      </c>
      <c r="G47" s="1691">
        <f t="shared" si="4"/>
        <v>0</v>
      </c>
      <c r="H47" s="1691">
        <f t="shared" si="4"/>
        <v>1502</v>
      </c>
      <c r="I47" s="1691">
        <f t="shared" si="4"/>
        <v>0</v>
      </c>
      <c r="J47" s="1691">
        <f t="shared" si="4"/>
        <v>0</v>
      </c>
      <c r="K47" s="1691">
        <f t="shared" si="4"/>
        <v>7396</v>
      </c>
      <c r="L47" s="1691">
        <f>SUM(L44:L46)</f>
        <v>15040</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6661</v>
      </c>
      <c r="D49" s="481"/>
      <c r="E49" s="481">
        <v>32827</v>
      </c>
      <c r="F49" s="481"/>
      <c r="G49" s="481"/>
      <c r="H49" s="481">
        <v>5836</v>
      </c>
      <c r="I49" s="467"/>
      <c r="J49" s="467"/>
      <c r="K49" s="1693">
        <f>SUM(C49:J49)</f>
        <v>45324</v>
      </c>
      <c r="L49" s="481">
        <v>46630</v>
      </c>
    </row>
    <row r="50" spans="1:14" x14ac:dyDescent="0.2">
      <c r="A50" s="1525" t="s">
        <v>872</v>
      </c>
      <c r="B50" s="615">
        <v>2320</v>
      </c>
      <c r="C50" s="466">
        <v>51985</v>
      </c>
      <c r="D50" s="466">
        <v>10189</v>
      </c>
      <c r="E50" s="466">
        <v>834</v>
      </c>
      <c r="F50" s="466"/>
      <c r="G50" s="466"/>
      <c r="H50" s="466">
        <v>806</v>
      </c>
      <c r="I50" s="467"/>
      <c r="J50" s="467"/>
      <c r="K50" s="1693">
        <f>SUM(C50:J50)</f>
        <v>63814</v>
      </c>
      <c r="L50" s="466">
        <v>63813</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58646</v>
      </c>
      <c r="D53" s="1691">
        <f t="shared" ref="D53:L53" si="5">SUM(D49:D52)</f>
        <v>10189</v>
      </c>
      <c r="E53" s="1691">
        <f t="shared" si="5"/>
        <v>33661</v>
      </c>
      <c r="F53" s="1691">
        <f t="shared" si="5"/>
        <v>0</v>
      </c>
      <c r="G53" s="1691">
        <f t="shared" si="5"/>
        <v>0</v>
      </c>
      <c r="H53" s="1691">
        <f t="shared" si="5"/>
        <v>6642</v>
      </c>
      <c r="I53" s="1691">
        <f t="shared" si="5"/>
        <v>0</v>
      </c>
      <c r="J53" s="1691">
        <f t="shared" si="5"/>
        <v>0</v>
      </c>
      <c r="K53" s="1691">
        <f t="shared" si="5"/>
        <v>109138</v>
      </c>
      <c r="L53" s="1691">
        <f t="shared" si="5"/>
        <v>110443</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257999</v>
      </c>
      <c r="D55" s="481">
        <v>21645</v>
      </c>
      <c r="E55" s="481">
        <v>18204</v>
      </c>
      <c r="F55" s="481">
        <v>4777</v>
      </c>
      <c r="G55" s="481">
        <v>628</v>
      </c>
      <c r="H55" s="481">
        <v>5593</v>
      </c>
      <c r="I55" s="467"/>
      <c r="J55" s="467"/>
      <c r="K55" s="1693">
        <f>SUM(C55:J55)</f>
        <v>308846</v>
      </c>
      <c r="L55" s="481">
        <v>313748</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257999</v>
      </c>
      <c r="D57" s="1695">
        <f t="shared" ref="D57:K57" si="6">SUM(D55:D56)</f>
        <v>21645</v>
      </c>
      <c r="E57" s="1695">
        <f t="shared" si="6"/>
        <v>18204</v>
      </c>
      <c r="F57" s="1695">
        <f t="shared" si="6"/>
        <v>4777</v>
      </c>
      <c r="G57" s="1695">
        <f t="shared" si="6"/>
        <v>628</v>
      </c>
      <c r="H57" s="1695">
        <f t="shared" si="6"/>
        <v>5593</v>
      </c>
      <c r="I57" s="1695">
        <f t="shared" si="6"/>
        <v>0</v>
      </c>
      <c r="J57" s="1695">
        <f t="shared" si="6"/>
        <v>0</v>
      </c>
      <c r="K57" s="1695">
        <f t="shared" si="6"/>
        <v>308846</v>
      </c>
      <c r="L57" s="1691">
        <f>SUM(L55:L56)</f>
        <v>313748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89324</v>
      </c>
      <c r="D60" s="466">
        <v>8770</v>
      </c>
      <c r="E60" s="466">
        <v>2044</v>
      </c>
      <c r="F60" s="466"/>
      <c r="G60" s="466"/>
      <c r="H60" s="466">
        <v>340</v>
      </c>
      <c r="I60" s="467"/>
      <c r="J60" s="467"/>
      <c r="K60" s="1693">
        <f t="shared" si="7"/>
        <v>100478</v>
      </c>
      <c r="L60" s="466">
        <v>101153</v>
      </c>
      <c r="M60" s="610"/>
      <c r="N60" s="610"/>
    </row>
    <row r="61" spans="1:14" s="343" customFormat="1" x14ac:dyDescent="0.2">
      <c r="A61" s="1525" t="s">
        <v>206</v>
      </c>
      <c r="B61" s="615">
        <v>2540</v>
      </c>
      <c r="C61" s="466">
        <v>139046</v>
      </c>
      <c r="D61" s="466">
        <v>26651</v>
      </c>
      <c r="E61" s="466">
        <v>3300</v>
      </c>
      <c r="F61" s="466">
        <v>8384</v>
      </c>
      <c r="G61" s="466"/>
      <c r="H61" s="466"/>
      <c r="I61" s="467"/>
      <c r="J61" s="467"/>
      <c r="K61" s="1693">
        <f t="shared" si="7"/>
        <v>177381</v>
      </c>
      <c r="L61" s="466">
        <v>191710</v>
      </c>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39123</v>
      </c>
      <c r="D63" s="466">
        <v>16168</v>
      </c>
      <c r="E63" s="466">
        <v>1265</v>
      </c>
      <c r="F63" s="466">
        <v>47553</v>
      </c>
      <c r="G63" s="466">
        <v>641</v>
      </c>
      <c r="H63" s="466">
        <v>804</v>
      </c>
      <c r="I63" s="467"/>
      <c r="J63" s="467"/>
      <c r="K63" s="1693">
        <f t="shared" si="7"/>
        <v>105554</v>
      </c>
      <c r="L63" s="466">
        <v>112348</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267493</v>
      </c>
      <c r="D65" s="1691">
        <f t="shared" ref="D65:L65" si="8">SUM(D59:D64)</f>
        <v>51589</v>
      </c>
      <c r="E65" s="1691">
        <f t="shared" si="8"/>
        <v>6609</v>
      </c>
      <c r="F65" s="1691">
        <f t="shared" si="8"/>
        <v>55937</v>
      </c>
      <c r="G65" s="1691">
        <f t="shared" si="8"/>
        <v>641</v>
      </c>
      <c r="H65" s="1691">
        <f t="shared" si="8"/>
        <v>1144</v>
      </c>
      <c r="I65" s="1691">
        <f t="shared" si="8"/>
        <v>0</v>
      </c>
      <c r="J65" s="1691">
        <f t="shared" si="8"/>
        <v>0</v>
      </c>
      <c r="K65" s="1691">
        <f t="shared" si="8"/>
        <v>383413</v>
      </c>
      <c r="L65" s="1691">
        <f t="shared" si="8"/>
        <v>405211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651776</v>
      </c>
      <c r="D74" s="1698">
        <f t="shared" ref="D74:K74" si="10">SUM(D42,D47,D53,D57,D65,D72,D73)</f>
        <v>84250</v>
      </c>
      <c r="E74" s="1698">
        <f t="shared" si="10"/>
        <v>88394</v>
      </c>
      <c r="F74" s="1698">
        <f t="shared" si="10"/>
        <v>70985</v>
      </c>
      <c r="G74" s="1698">
        <f t="shared" si="10"/>
        <v>8137</v>
      </c>
      <c r="H74" s="1698">
        <f t="shared" si="10"/>
        <v>14881</v>
      </c>
      <c r="I74" s="1698">
        <f t="shared" si="10"/>
        <v>0</v>
      </c>
      <c r="J74" s="1698">
        <f t="shared" si="10"/>
        <v>0</v>
      </c>
      <c r="K74" s="1698">
        <f t="shared" si="10"/>
        <v>918423</v>
      </c>
      <c r="L74" s="1698">
        <f>SUM(L42,L47,L53,L57,L65,L72,L73)</f>
        <v>958428</v>
      </c>
    </row>
    <row r="75" spans="1:14" s="259" customFormat="1" ht="15.75" customHeight="1" thickTop="1" thickBot="1" x14ac:dyDescent="0.25">
      <c r="A75" s="1631" t="s">
        <v>49</v>
      </c>
      <c r="B75" s="1632" t="s">
        <v>596</v>
      </c>
      <c r="C75" s="573">
        <v>3431</v>
      </c>
      <c r="D75" s="573">
        <v>372</v>
      </c>
      <c r="E75" s="573">
        <v>1391</v>
      </c>
      <c r="F75" s="573"/>
      <c r="G75" s="573"/>
      <c r="H75" s="573"/>
      <c r="I75" s="531"/>
      <c r="J75" s="531"/>
      <c r="K75" s="1691">
        <f>SUM(C75:J75)</f>
        <v>5194</v>
      </c>
      <c r="L75" s="576">
        <v>5241</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c r="F79" s="617"/>
      <c r="G79" s="617"/>
      <c r="H79" s="466">
        <v>111978</v>
      </c>
      <c r="I79" s="477"/>
      <c r="J79" s="477"/>
      <c r="K79" s="1692">
        <f t="shared" si="11"/>
        <v>111978</v>
      </c>
      <c r="L79" s="466">
        <v>113435</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0</v>
      </c>
      <c r="F84" s="617"/>
      <c r="G84" s="617"/>
      <c r="H84" s="1691">
        <f>SUM(H78:H83)</f>
        <v>111978</v>
      </c>
      <c r="I84" s="477"/>
      <c r="J84" s="477"/>
      <c r="K84" s="1691">
        <f>SUM(K78:K83)</f>
        <v>111978</v>
      </c>
      <c r="L84" s="1691">
        <f>SUM(L78:L83)</f>
        <v>113435</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v>105275</v>
      </c>
      <c r="I86" s="477"/>
      <c r="J86" s="477"/>
      <c r="K86" s="1698">
        <f t="shared" ref="K86:K98" si="12">H86</f>
        <v>105275</v>
      </c>
      <c r="L86" s="530">
        <v>126150</v>
      </c>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105275</v>
      </c>
      <c r="I92" s="477"/>
      <c r="J92" s="477"/>
      <c r="K92" s="1698">
        <f t="shared" si="12"/>
        <v>105275</v>
      </c>
      <c r="L92" s="1691">
        <f>SUM(L85:L91)</f>
        <v>126150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0</v>
      </c>
      <c r="F102" s="617"/>
      <c r="G102" s="617"/>
      <c r="H102" s="1698">
        <f>SUM(H84,H92,H100,H101)</f>
        <v>217253</v>
      </c>
      <c r="I102" s="477"/>
      <c r="J102" s="477"/>
      <c r="K102" s="1698">
        <f>SUM(K84,K92,K100,K101)</f>
        <v>217253</v>
      </c>
      <c r="L102" s="1698">
        <f>SUM(L84,L92,L100,L101)</f>
        <v>239585</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2378258</v>
      </c>
      <c r="D114" s="1691">
        <f t="shared" ref="D114:K114" si="13">SUM(D33,D74,D75,D102,D112,D113)</f>
        <v>349322</v>
      </c>
      <c r="E114" s="1691">
        <f t="shared" si="13"/>
        <v>136003</v>
      </c>
      <c r="F114" s="1691">
        <f t="shared" si="13"/>
        <v>120627</v>
      </c>
      <c r="G114" s="1691">
        <f t="shared" si="13"/>
        <v>22522</v>
      </c>
      <c r="H114" s="1691">
        <f>SUM(H33,H74,H75,H102,H112,H113)</f>
        <v>234815</v>
      </c>
      <c r="I114" s="1691">
        <f t="shared" si="13"/>
        <v>0</v>
      </c>
      <c r="J114" s="1691">
        <f t="shared" si="13"/>
        <v>0</v>
      </c>
      <c r="K114" s="1691">
        <f t="shared" si="13"/>
        <v>3241547</v>
      </c>
      <c r="L114" s="1691">
        <f>SUM(L33,L74,L75,L102,L112,L113)</f>
        <v>3367783</v>
      </c>
    </row>
    <row r="115" spans="1:14" ht="13.5" thickTop="1" x14ac:dyDescent="0.2">
      <c r="A115" s="2213" t="s">
        <v>1053</v>
      </c>
      <c r="B115" s="2214"/>
      <c r="C115" s="619"/>
      <c r="D115" s="619"/>
      <c r="E115" s="619"/>
      <c r="F115" s="619"/>
      <c r="G115" s="619"/>
      <c r="H115" s="619"/>
      <c r="I115" s="619"/>
      <c r="J115" s="619"/>
      <c r="K115" s="1705">
        <f>'Revenues 9-14'!C275-'Expenditures 15-22'!K114</f>
        <v>108899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1" t="s">
        <v>314</v>
      </c>
      <c r="B117" s="2192"/>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c r="D124" s="466"/>
      <c r="E124" s="466">
        <v>50230</v>
      </c>
      <c r="F124" s="466">
        <v>93515</v>
      </c>
      <c r="G124" s="466"/>
      <c r="H124" s="466"/>
      <c r="I124" s="467"/>
      <c r="J124" s="467"/>
      <c r="K124" s="1691">
        <f>SUM(C124:J124)</f>
        <v>143745</v>
      </c>
      <c r="L124" s="466">
        <v>171090</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0</v>
      </c>
      <c r="D127" s="1691">
        <f t="shared" ref="D127:L127" si="14">SUM(D122:D126)</f>
        <v>0</v>
      </c>
      <c r="E127" s="1691">
        <f t="shared" si="14"/>
        <v>50230</v>
      </c>
      <c r="F127" s="1691">
        <f t="shared" si="14"/>
        <v>93515</v>
      </c>
      <c r="G127" s="1691">
        <f t="shared" si="14"/>
        <v>0</v>
      </c>
      <c r="H127" s="1691">
        <f t="shared" si="14"/>
        <v>0</v>
      </c>
      <c r="I127" s="1691">
        <f t="shared" si="14"/>
        <v>0</v>
      </c>
      <c r="J127" s="1691">
        <f t="shared" si="14"/>
        <v>0</v>
      </c>
      <c r="K127" s="1691">
        <f t="shared" si="14"/>
        <v>143745</v>
      </c>
      <c r="L127" s="1691">
        <f t="shared" si="14"/>
        <v>171090</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0</v>
      </c>
      <c r="D129" s="1698">
        <f t="shared" ref="D129:L129" si="15">SUM(D120,D127,D128)</f>
        <v>0</v>
      </c>
      <c r="E129" s="1698">
        <f t="shared" si="15"/>
        <v>50230</v>
      </c>
      <c r="F129" s="1698">
        <f t="shared" si="15"/>
        <v>93515</v>
      </c>
      <c r="G129" s="1698">
        <f t="shared" si="15"/>
        <v>0</v>
      </c>
      <c r="H129" s="1698">
        <f t="shared" si="15"/>
        <v>0</v>
      </c>
      <c r="I129" s="1698">
        <f t="shared" si="15"/>
        <v>0</v>
      </c>
      <c r="J129" s="1698">
        <f t="shared" si="15"/>
        <v>0</v>
      </c>
      <c r="K129" s="1698">
        <f t="shared" si="15"/>
        <v>143745</v>
      </c>
      <c r="L129" s="1698">
        <f t="shared" si="15"/>
        <v>171090</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203" t="s">
        <v>641</v>
      </c>
      <c r="B151" s="2185"/>
      <c r="C151" s="1691">
        <f>SUM(C129,C130,C139,C149,C150)</f>
        <v>0</v>
      </c>
      <c r="D151" s="1691">
        <f t="shared" ref="D151:K151" si="16">SUM(D129,D130,D139,D149,D150)</f>
        <v>0</v>
      </c>
      <c r="E151" s="1691">
        <f t="shared" si="16"/>
        <v>50230</v>
      </c>
      <c r="F151" s="1691">
        <f t="shared" si="16"/>
        <v>93515</v>
      </c>
      <c r="G151" s="1691">
        <f t="shared" si="16"/>
        <v>0</v>
      </c>
      <c r="H151" s="1691">
        <f t="shared" si="16"/>
        <v>0</v>
      </c>
      <c r="I151" s="1691">
        <f t="shared" si="16"/>
        <v>0</v>
      </c>
      <c r="J151" s="1691">
        <f t="shared" si="16"/>
        <v>0</v>
      </c>
      <c r="K151" s="1691">
        <f t="shared" si="16"/>
        <v>143745</v>
      </c>
      <c r="L151" s="1691">
        <f>SUM(L129,L130,L139,L149,L150)</f>
        <v>171090</v>
      </c>
    </row>
    <row r="152" spans="1:14" ht="12.75" customHeight="1" thickTop="1" x14ac:dyDescent="0.2">
      <c r="A152" s="2206" t="s">
        <v>1240</v>
      </c>
      <c r="B152" s="2207"/>
      <c r="C152" s="619"/>
      <c r="D152" s="619"/>
      <c r="E152" s="619"/>
      <c r="F152" s="619"/>
      <c r="G152" s="619"/>
      <c r="H152" s="619"/>
      <c r="I152" s="619"/>
      <c r="J152" s="617"/>
      <c r="K152" s="1705">
        <f>'Revenues 9-14'!D275-'Expenditures 15-22'!K151</f>
        <v>51462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1" t="s">
        <v>642</v>
      </c>
      <c r="B154" s="2193"/>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111220</v>
      </c>
      <c r="I169" s="617"/>
      <c r="J169" s="617"/>
      <c r="K169" s="1692">
        <f>SUM(C169:H169)</f>
        <v>111220</v>
      </c>
      <c r="L169" s="657">
        <v>111221</v>
      </c>
    </row>
    <row r="170" spans="1:14" ht="33.75" customHeight="1" x14ac:dyDescent="0.2">
      <c r="A170" s="670" t="s">
        <v>1769</v>
      </c>
      <c r="B170" s="672" t="s">
        <v>31</v>
      </c>
      <c r="C170" s="617"/>
      <c r="D170" s="617"/>
      <c r="E170" s="617"/>
      <c r="F170" s="617"/>
      <c r="G170" s="617"/>
      <c r="H170" s="569">
        <v>270000</v>
      </c>
      <c r="I170" s="617"/>
      <c r="J170" s="617"/>
      <c r="K170" s="1692">
        <f>SUM(C170:J170)</f>
        <v>270000</v>
      </c>
      <c r="L170" s="569">
        <v>270000</v>
      </c>
    </row>
    <row r="171" spans="1:14" ht="15.75" customHeight="1" x14ac:dyDescent="0.2">
      <c r="A171" s="622" t="s">
        <v>790</v>
      </c>
      <c r="B171" s="673" t="s">
        <v>86</v>
      </c>
      <c r="C171" s="617"/>
      <c r="D171" s="617"/>
      <c r="E171" s="466"/>
      <c r="F171" s="617"/>
      <c r="G171" s="617"/>
      <c r="H171" s="569">
        <v>850</v>
      </c>
      <c r="I171" s="477"/>
      <c r="J171" s="617"/>
      <c r="K171" s="1692">
        <f>SUM(C171:J171)</f>
        <v>850</v>
      </c>
      <c r="L171" s="569">
        <v>1025</v>
      </c>
    </row>
    <row r="172" spans="1:14" ht="12.75" customHeight="1" thickBot="1" x14ac:dyDescent="0.25">
      <c r="A172" s="1689" t="s">
        <v>659</v>
      </c>
      <c r="B172" s="1690" t="s">
        <v>513</v>
      </c>
      <c r="C172" s="617"/>
      <c r="D172" s="617"/>
      <c r="E172" s="1698">
        <f>SUM(E168,E169,E170,E171)</f>
        <v>0</v>
      </c>
      <c r="F172" s="617"/>
      <c r="G172" s="617"/>
      <c r="H172" s="1698">
        <f>SUM(H168,H169,H170,H171)</f>
        <v>382070</v>
      </c>
      <c r="I172" s="639"/>
      <c r="J172" s="617"/>
      <c r="K172" s="1698">
        <f>SUM(K168,K169,K170,K171)</f>
        <v>382070</v>
      </c>
      <c r="L172" s="1698">
        <f>SUM(L168,L169,L170,L171)</f>
        <v>382246</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382070</v>
      </c>
      <c r="I174" s="639"/>
      <c r="J174" s="617"/>
      <c r="K174" s="1698">
        <f>SUM(K160,K172,K173)</f>
        <v>382070</v>
      </c>
      <c r="L174" s="1698">
        <f>SUM(L160,L172,L173)</f>
        <v>382246</v>
      </c>
    </row>
    <row r="175" spans="1:14" ht="13.5" thickTop="1" x14ac:dyDescent="0.2">
      <c r="A175" s="2213" t="s">
        <v>1053</v>
      </c>
      <c r="B175" s="2214"/>
      <c r="C175" s="617"/>
      <c r="D175" s="617"/>
      <c r="E175" s="617"/>
      <c r="F175" s="617"/>
      <c r="G175" s="617"/>
      <c r="H175" s="619"/>
      <c r="I175" s="617"/>
      <c r="J175" s="617"/>
      <c r="K175" s="1705">
        <f>'Revenues 9-14'!E275-'Expenditures 15-22'!K174</f>
        <v>17374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7109</v>
      </c>
      <c r="D182" s="466">
        <v>155</v>
      </c>
      <c r="E182" s="466">
        <v>191154</v>
      </c>
      <c r="F182" s="466">
        <v>2754</v>
      </c>
      <c r="G182" s="466"/>
      <c r="H182" s="466"/>
      <c r="I182" s="467"/>
      <c r="J182" s="467"/>
      <c r="K182" s="1692">
        <f>SUM(C182:J182)</f>
        <v>201172</v>
      </c>
      <c r="L182" s="466">
        <v>202812</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7109</v>
      </c>
      <c r="D184" s="1698">
        <f t="shared" ref="D184:J184" si="17">SUM(D180,D182,D183)</f>
        <v>155</v>
      </c>
      <c r="E184" s="1698">
        <f t="shared" si="17"/>
        <v>191154</v>
      </c>
      <c r="F184" s="1698">
        <f t="shared" si="17"/>
        <v>2754</v>
      </c>
      <c r="G184" s="1698">
        <f t="shared" si="17"/>
        <v>0</v>
      </c>
      <c r="H184" s="1698">
        <f t="shared" si="17"/>
        <v>0</v>
      </c>
      <c r="I184" s="1698">
        <f t="shared" si="17"/>
        <v>0</v>
      </c>
      <c r="J184" s="1698">
        <f t="shared" si="17"/>
        <v>0</v>
      </c>
      <c r="K184" s="1698">
        <f>SUM(K180,K182,K183)</f>
        <v>201172</v>
      </c>
      <c r="L184" s="1698">
        <f>SUM(L180, L182:L183)</f>
        <v>202812</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7109</v>
      </c>
      <c r="D210" s="1691">
        <f>SUM(D184,D185)</f>
        <v>155</v>
      </c>
      <c r="E210" s="1691">
        <f>SUM(E184,E185,E196)</f>
        <v>191154</v>
      </c>
      <c r="F210" s="1691">
        <f>SUM(F184,F185)</f>
        <v>2754</v>
      </c>
      <c r="G210" s="1691">
        <f>SUM(G184,G185)</f>
        <v>0</v>
      </c>
      <c r="H210" s="1691">
        <f>SUM(H184,H185,H196,H208,H209)</f>
        <v>0</v>
      </c>
      <c r="I210" s="1691">
        <f>SUM(I184,I185)</f>
        <v>0</v>
      </c>
      <c r="J210" s="1691">
        <f>SUM(J184,J185)</f>
        <v>0</v>
      </c>
      <c r="K210" s="1692">
        <f>SUM(K184,K185,K196,K208,K209)</f>
        <v>201172</v>
      </c>
      <c r="L210" s="1691">
        <f>SUM(L184,L185,L196,L208,L209)</f>
        <v>202812</v>
      </c>
    </row>
    <row r="211" spans="1:14" ht="13.5" thickTop="1" x14ac:dyDescent="0.2">
      <c r="A211" s="2213" t="s">
        <v>1053</v>
      </c>
      <c r="B211" s="2214"/>
      <c r="C211" s="619"/>
      <c r="D211" s="619"/>
      <c r="E211" s="619"/>
      <c r="F211" s="619"/>
      <c r="G211" s="619"/>
      <c r="H211" s="619"/>
      <c r="I211" s="617"/>
      <c r="J211" s="617"/>
      <c r="K211" s="1705">
        <f>'Revenues 9-14'!F275-'Expenditures 15-22'!K210</f>
        <v>51663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8" t="s">
        <v>1022</v>
      </c>
      <c r="B213" s="2209"/>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28387</v>
      </c>
      <c r="E215" s="617"/>
      <c r="F215" s="617"/>
      <c r="G215" s="617"/>
      <c r="H215" s="617"/>
      <c r="I215" s="617"/>
      <c r="J215" s="617"/>
      <c r="K215" s="1692">
        <f>D215</f>
        <v>28387</v>
      </c>
      <c r="L215" s="466">
        <v>31610</v>
      </c>
    </row>
    <row r="216" spans="1:14" x14ac:dyDescent="0.2">
      <c r="A216" s="1525" t="s">
        <v>165</v>
      </c>
      <c r="B216" s="615" t="s">
        <v>1024</v>
      </c>
      <c r="C216" s="617"/>
      <c r="D216" s="467"/>
      <c r="E216" s="617"/>
      <c r="F216" s="617"/>
      <c r="G216" s="617"/>
      <c r="H216" s="617"/>
      <c r="I216" s="617"/>
      <c r="J216" s="617"/>
      <c r="K216" s="1692">
        <f t="shared" ref="K216:K228" si="19">D216</f>
        <v>0</v>
      </c>
      <c r="L216" s="466"/>
    </row>
    <row r="217" spans="1:14" x14ac:dyDescent="0.2">
      <c r="A217" s="1525" t="s">
        <v>166</v>
      </c>
      <c r="B217" s="615">
        <v>1200</v>
      </c>
      <c r="C217" s="617"/>
      <c r="D217" s="466">
        <v>17945</v>
      </c>
      <c r="E217" s="617"/>
      <c r="F217" s="617"/>
      <c r="G217" s="617"/>
      <c r="H217" s="617"/>
      <c r="I217" s="617"/>
      <c r="J217" s="617"/>
      <c r="K217" s="1692">
        <f t="shared" si="19"/>
        <v>17945</v>
      </c>
      <c r="L217" s="466">
        <v>18590</v>
      </c>
    </row>
    <row r="218" spans="1:14" x14ac:dyDescent="0.2">
      <c r="A218" s="1525" t="s">
        <v>296</v>
      </c>
      <c r="B218" s="615" t="s">
        <v>1025</v>
      </c>
      <c r="C218" s="617"/>
      <c r="D218" s="467">
        <v>763</v>
      </c>
      <c r="E218" s="617"/>
      <c r="F218" s="617"/>
      <c r="G218" s="617"/>
      <c r="H218" s="617"/>
      <c r="I218" s="617"/>
      <c r="J218" s="617"/>
      <c r="K218" s="1692">
        <f t="shared" si="19"/>
        <v>763</v>
      </c>
      <c r="L218" s="466">
        <v>800</v>
      </c>
    </row>
    <row r="219" spans="1:14" x14ac:dyDescent="0.2">
      <c r="A219" s="1525" t="s">
        <v>297</v>
      </c>
      <c r="B219" s="615">
        <v>1250</v>
      </c>
      <c r="C219" s="617"/>
      <c r="D219" s="466">
        <v>829</v>
      </c>
      <c r="E219" s="617"/>
      <c r="F219" s="617"/>
      <c r="G219" s="617"/>
      <c r="H219" s="617"/>
      <c r="I219" s="617"/>
      <c r="J219" s="617"/>
      <c r="K219" s="1692">
        <f t="shared" si="19"/>
        <v>829</v>
      </c>
      <c r="L219" s="466">
        <v>850</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v>12</v>
      </c>
      <c r="E222" s="617"/>
      <c r="F222" s="617"/>
      <c r="G222" s="617"/>
      <c r="H222" s="617"/>
      <c r="I222" s="617"/>
      <c r="J222" s="617"/>
      <c r="K222" s="1692">
        <f t="shared" si="19"/>
        <v>12</v>
      </c>
      <c r="L222" s="466">
        <v>12</v>
      </c>
    </row>
    <row r="223" spans="1:14" x14ac:dyDescent="0.2">
      <c r="A223" s="1525" t="s">
        <v>1020</v>
      </c>
      <c r="B223" s="615">
        <v>1500</v>
      </c>
      <c r="C223" s="617"/>
      <c r="D223" s="466">
        <v>3028</v>
      </c>
      <c r="E223" s="617"/>
      <c r="F223" s="617"/>
      <c r="G223" s="617"/>
      <c r="H223" s="617"/>
      <c r="I223" s="617"/>
      <c r="J223" s="617"/>
      <c r="K223" s="1692">
        <f t="shared" si="19"/>
        <v>3028</v>
      </c>
      <c r="L223" s="466">
        <v>3125</v>
      </c>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v>422</v>
      </c>
      <c r="E226" s="617"/>
      <c r="F226" s="617"/>
      <c r="G226" s="617"/>
      <c r="H226" s="617"/>
      <c r="I226" s="617"/>
      <c r="J226" s="617"/>
      <c r="K226" s="1692">
        <f t="shared" si="19"/>
        <v>422</v>
      </c>
      <c r="L226" s="466">
        <v>450</v>
      </c>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v>2</v>
      </c>
      <c r="E228" s="617"/>
      <c r="F228" s="617"/>
      <c r="G228" s="617"/>
      <c r="H228" s="617"/>
      <c r="I228" s="617"/>
      <c r="J228" s="617"/>
      <c r="K228" s="1692">
        <f t="shared" si="19"/>
        <v>2</v>
      </c>
      <c r="L228" s="466">
        <v>3</v>
      </c>
    </row>
    <row r="229" spans="1:12" ht="12.75" customHeight="1" thickBot="1" x14ac:dyDescent="0.25">
      <c r="A229" s="1689" t="s">
        <v>739</v>
      </c>
      <c r="B229" s="1696" t="s">
        <v>591</v>
      </c>
      <c r="C229" s="617"/>
      <c r="D229" s="1691">
        <f>SUM(D215:D228)</f>
        <v>51388</v>
      </c>
      <c r="E229" s="617"/>
      <c r="F229" s="617"/>
      <c r="G229" s="617"/>
      <c r="H229" s="617"/>
      <c r="I229" s="617"/>
      <c r="J229" s="617"/>
      <c r="K229" s="1691">
        <f>SUM(K215:K228)</f>
        <v>51388</v>
      </c>
      <c r="L229" s="1691">
        <f>SUM(L215:L228)</f>
        <v>55440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v>480</v>
      </c>
      <c r="E233" s="617"/>
      <c r="F233" s="617"/>
      <c r="G233" s="617"/>
      <c r="H233" s="617"/>
      <c r="I233" s="617"/>
      <c r="J233" s="617"/>
      <c r="K233" s="1692">
        <f t="shared" si="20"/>
        <v>480</v>
      </c>
      <c r="L233" s="466">
        <v>500</v>
      </c>
    </row>
    <row r="234" spans="1:12" x14ac:dyDescent="0.2">
      <c r="A234" s="1525" t="s">
        <v>207</v>
      </c>
      <c r="B234" s="615">
        <v>2130</v>
      </c>
      <c r="C234" s="617"/>
      <c r="D234" s="466"/>
      <c r="E234" s="617"/>
      <c r="F234" s="617"/>
      <c r="G234" s="617"/>
      <c r="H234" s="617"/>
      <c r="I234" s="617"/>
      <c r="J234" s="617"/>
      <c r="K234" s="1692">
        <f t="shared" si="20"/>
        <v>0</v>
      </c>
      <c r="L234" s="466"/>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v>427</v>
      </c>
      <c r="E236" s="617"/>
      <c r="F236" s="617"/>
      <c r="G236" s="617"/>
      <c r="H236" s="617"/>
      <c r="I236" s="617"/>
      <c r="J236" s="617"/>
      <c r="K236" s="1692">
        <f t="shared" si="20"/>
        <v>427</v>
      </c>
      <c r="L236" s="466">
        <v>500</v>
      </c>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907</v>
      </c>
      <c r="E238" s="617"/>
      <c r="F238" s="617"/>
      <c r="G238" s="617"/>
      <c r="H238" s="617"/>
      <c r="I238" s="617"/>
      <c r="J238" s="617"/>
      <c r="K238" s="1691">
        <f>SUM(K232:K237)</f>
        <v>907</v>
      </c>
      <c r="L238" s="1691">
        <f>SUM(L232:L237)</f>
        <v>1000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63</v>
      </c>
      <c r="E240" s="617"/>
      <c r="F240" s="617"/>
      <c r="G240" s="617"/>
      <c r="H240" s="617"/>
      <c r="I240" s="617"/>
      <c r="J240" s="617"/>
      <c r="K240" s="1693">
        <f>D240</f>
        <v>63</v>
      </c>
      <c r="L240" s="481">
        <v>175</v>
      </c>
    </row>
    <row r="241" spans="1:12" x14ac:dyDescent="0.2">
      <c r="A241" s="1525" t="s">
        <v>869</v>
      </c>
      <c r="B241" s="615">
        <v>2220</v>
      </c>
      <c r="C241" s="617"/>
      <c r="D241" s="466"/>
      <c r="E241" s="617"/>
      <c r="F241" s="617"/>
      <c r="G241" s="617"/>
      <c r="H241" s="617"/>
      <c r="I241" s="617"/>
      <c r="J241" s="617"/>
      <c r="K241" s="1693">
        <f>D241</f>
        <v>0</v>
      </c>
      <c r="L241" s="466"/>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63</v>
      </c>
      <c r="E243" s="617"/>
      <c r="F243" s="617"/>
      <c r="G243" s="617"/>
      <c r="H243" s="617"/>
      <c r="I243" s="617"/>
      <c r="J243" s="617"/>
      <c r="K243" s="1691">
        <f>SUM(K240:K242)</f>
        <v>63</v>
      </c>
      <c r="L243" s="1691">
        <f>SUM(L240:L242)</f>
        <v>175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844</v>
      </c>
      <c r="E245" s="617"/>
      <c r="F245" s="617"/>
      <c r="G245" s="617"/>
      <c r="H245" s="617"/>
      <c r="I245" s="617"/>
      <c r="J245" s="617"/>
      <c r="K245" s="1693">
        <f>D245</f>
        <v>844</v>
      </c>
      <c r="L245" s="481">
        <v>925</v>
      </c>
    </row>
    <row r="246" spans="1:12" x14ac:dyDescent="0.2">
      <c r="A246" s="1525" t="s">
        <v>872</v>
      </c>
      <c r="B246" s="615">
        <v>2320</v>
      </c>
      <c r="C246" s="617"/>
      <c r="D246" s="466">
        <v>742</v>
      </c>
      <c r="E246" s="617"/>
      <c r="F246" s="617"/>
      <c r="G246" s="617"/>
      <c r="H246" s="617"/>
      <c r="I246" s="617"/>
      <c r="J246" s="617"/>
      <c r="K246" s="1693">
        <f t="shared" ref="K246:K256" si="21">D246</f>
        <v>742</v>
      </c>
      <c r="L246" s="466">
        <v>800</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1586</v>
      </c>
      <c r="E257" s="617"/>
      <c r="F257" s="617"/>
      <c r="G257" s="617"/>
      <c r="H257" s="617"/>
      <c r="I257" s="617"/>
      <c r="J257" s="617"/>
      <c r="K257" s="1691">
        <f>SUM(K245:K256)</f>
        <v>1586</v>
      </c>
      <c r="L257" s="1691">
        <f>SUM(L245:L256)</f>
        <v>1725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22127</v>
      </c>
      <c r="E259" s="617"/>
      <c r="F259" s="617"/>
      <c r="G259" s="617"/>
      <c r="H259" s="617"/>
      <c r="I259" s="617"/>
      <c r="J259" s="617"/>
      <c r="K259" s="1693">
        <f>D259</f>
        <v>22127</v>
      </c>
      <c r="L259" s="481">
        <v>22750</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22127</v>
      </c>
      <c r="E261" s="617"/>
      <c r="F261" s="617"/>
      <c r="G261" s="617"/>
      <c r="H261" s="617"/>
      <c r="I261" s="617"/>
      <c r="J261" s="617"/>
      <c r="K261" s="1691">
        <f>SUM(K259:K260)</f>
        <v>22127</v>
      </c>
      <c r="L261" s="1691">
        <f>SUM(L259:L260)</f>
        <v>22750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16289</v>
      </c>
      <c r="E264" s="617"/>
      <c r="F264" s="617"/>
      <c r="G264" s="617"/>
      <c r="H264" s="617"/>
      <c r="I264" s="617"/>
      <c r="J264" s="617"/>
      <c r="K264" s="1693">
        <f t="shared" ref="K264:K269" si="22">D264</f>
        <v>16289</v>
      </c>
      <c r="L264" s="466">
        <v>16450</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23346</v>
      </c>
      <c r="E266" s="617"/>
      <c r="F266" s="617"/>
      <c r="G266" s="617"/>
      <c r="H266" s="617"/>
      <c r="I266" s="617"/>
      <c r="J266" s="617"/>
      <c r="K266" s="1693">
        <f t="shared" si="22"/>
        <v>23346</v>
      </c>
      <c r="L266" s="466">
        <v>24000</v>
      </c>
    </row>
    <row r="267" spans="1:14" x14ac:dyDescent="0.2">
      <c r="A267" s="1525" t="s">
        <v>1010</v>
      </c>
      <c r="B267" s="615">
        <v>2550</v>
      </c>
      <c r="C267" s="617"/>
      <c r="D267" s="466">
        <v>307</v>
      </c>
      <c r="E267" s="617"/>
      <c r="F267" s="617"/>
      <c r="G267" s="617"/>
      <c r="H267" s="617"/>
      <c r="I267" s="617"/>
      <c r="J267" s="617"/>
      <c r="K267" s="1693">
        <f t="shared" si="22"/>
        <v>307</v>
      </c>
      <c r="L267" s="466">
        <v>380</v>
      </c>
    </row>
    <row r="268" spans="1:14" x14ac:dyDescent="0.2">
      <c r="A268" s="1525" t="s">
        <v>102</v>
      </c>
      <c r="B268" s="615">
        <v>2560</v>
      </c>
      <c r="C268" s="617"/>
      <c r="D268" s="466">
        <v>6408</v>
      </c>
      <c r="E268" s="617"/>
      <c r="F268" s="617"/>
      <c r="G268" s="617"/>
      <c r="H268" s="617"/>
      <c r="I268" s="617"/>
      <c r="J268" s="617"/>
      <c r="K268" s="1693">
        <f t="shared" si="22"/>
        <v>6408</v>
      </c>
      <c r="L268" s="466">
        <v>7450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46350</v>
      </c>
      <c r="E270" s="617"/>
      <c r="F270" s="617"/>
      <c r="G270" s="617"/>
      <c r="H270" s="617"/>
      <c r="I270" s="617"/>
      <c r="J270" s="617"/>
      <c r="K270" s="1691">
        <f>SUM(K263:K269)</f>
        <v>46350</v>
      </c>
      <c r="L270" s="1691">
        <f>SUM(L263:L269)</f>
        <v>48280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71033</v>
      </c>
      <c r="E279" s="617"/>
      <c r="F279" s="617"/>
      <c r="G279" s="617"/>
      <c r="H279" s="617"/>
      <c r="I279" s="617"/>
      <c r="J279" s="617"/>
      <c r="K279" s="1698">
        <f>SUM(K238,K243,K257,K261,K270,K277,K278)</f>
        <v>71033</v>
      </c>
      <c r="L279" s="1698">
        <f>SUM(L238,L243,L257,L261,L270,L277,L278)</f>
        <v>73930</v>
      </c>
    </row>
    <row r="280" spans="1:12" ht="15.75" customHeight="1" thickTop="1" thickBot="1" x14ac:dyDescent="0.25">
      <c r="A280" s="1645" t="s">
        <v>930</v>
      </c>
      <c r="B280" s="1634">
        <v>3000</v>
      </c>
      <c r="C280" s="617"/>
      <c r="D280" s="576">
        <v>50</v>
      </c>
      <c r="E280" s="617"/>
      <c r="F280" s="617"/>
      <c r="G280" s="617"/>
      <c r="H280" s="617"/>
      <c r="I280" s="617"/>
      <c r="J280" s="617"/>
      <c r="K280" s="1700">
        <f>D280</f>
        <v>50</v>
      </c>
      <c r="L280" s="576">
        <v>60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04" t="s">
        <v>526</v>
      </c>
      <c r="B295" s="2205"/>
      <c r="C295" s="617"/>
      <c r="D295" s="1691">
        <f>SUM(D229,D279,D280,D285)</f>
        <v>122471</v>
      </c>
      <c r="E295" s="617"/>
      <c r="F295" s="617"/>
      <c r="G295" s="617"/>
      <c r="H295" s="1691">
        <f>H293</f>
        <v>0</v>
      </c>
      <c r="I295" s="617"/>
      <c r="J295" s="617"/>
      <c r="K295" s="1691">
        <f>SUM(K229,K279,K280,K285,K293,K294)</f>
        <v>122471</v>
      </c>
      <c r="L295" s="1691">
        <f>SUM(L229,L279,L280,L285,L293,L294)</f>
        <v>129430</v>
      </c>
    </row>
    <row r="296" spans="1:14" ht="13.5" thickTop="1" x14ac:dyDescent="0.2">
      <c r="A296" s="2213" t="s">
        <v>1053</v>
      </c>
      <c r="B296" s="2214"/>
      <c r="C296" s="617"/>
      <c r="D296" s="619"/>
      <c r="E296" s="617"/>
      <c r="F296" s="617"/>
      <c r="G296" s="617"/>
      <c r="H296" s="688"/>
      <c r="I296" s="617"/>
      <c r="J296" s="617"/>
      <c r="K296" s="1705">
        <f>'Revenues 9-14'!G275-'Expenditures 15-22'!K295</f>
        <v>10783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6" t="s">
        <v>145</v>
      </c>
      <c r="B298" s="2190"/>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v>49134</v>
      </c>
      <c r="F301" s="466">
        <v>559</v>
      </c>
      <c r="G301" s="466">
        <v>1272067</v>
      </c>
      <c r="H301" s="466"/>
      <c r="I301" s="467"/>
      <c r="J301" s="467"/>
      <c r="K301" s="1692">
        <f>SUM(C301:J301)</f>
        <v>1321760</v>
      </c>
      <c r="L301" s="467">
        <v>2362502</v>
      </c>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49134</v>
      </c>
      <c r="F303" s="1698">
        <f t="shared" si="23"/>
        <v>559</v>
      </c>
      <c r="G303" s="1698">
        <f t="shared" si="23"/>
        <v>1272067</v>
      </c>
      <c r="H303" s="1698">
        <f t="shared" si="23"/>
        <v>0</v>
      </c>
      <c r="I303" s="1698">
        <f t="shared" si="23"/>
        <v>0</v>
      </c>
      <c r="J303" s="1698">
        <f t="shared" si="23"/>
        <v>0</v>
      </c>
      <c r="K303" s="1698">
        <f t="shared" si="23"/>
        <v>1321760</v>
      </c>
      <c r="L303" s="1698">
        <f t="shared" si="23"/>
        <v>2362502</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201" t="s">
        <v>295</v>
      </c>
      <c r="B312" s="2202"/>
      <c r="C312" s="1691">
        <f>SUM(C303)</f>
        <v>0</v>
      </c>
      <c r="D312" s="1691">
        <f>SUM(D303)</f>
        <v>0</v>
      </c>
      <c r="E312" s="1691">
        <f>SUM(E303,E310)</f>
        <v>49134</v>
      </c>
      <c r="F312" s="1691">
        <f>SUM(F303)</f>
        <v>559</v>
      </c>
      <c r="G312" s="1691">
        <f>SUM(G303)</f>
        <v>1272067</v>
      </c>
      <c r="H312" s="1691">
        <f>SUM(H303,H310)</f>
        <v>0</v>
      </c>
      <c r="I312" s="1691">
        <f>SUM(I303)</f>
        <v>0</v>
      </c>
      <c r="J312" s="1691">
        <f>SUM(J303)</f>
        <v>0</v>
      </c>
      <c r="K312" s="1691">
        <f>SUM(K303,K310,K311)</f>
        <v>1321760</v>
      </c>
      <c r="L312" s="1691">
        <f>SUM(L303,L310,L311)</f>
        <v>2362502</v>
      </c>
      <c r="M312" s="666"/>
      <c r="N312" s="666"/>
    </row>
    <row r="313" spans="1:14" ht="13.5" thickTop="1" x14ac:dyDescent="0.2">
      <c r="A313" s="2197" t="s">
        <v>1053</v>
      </c>
      <c r="B313" s="2198"/>
      <c r="C313" s="627"/>
      <c r="D313" s="627"/>
      <c r="E313" s="627"/>
      <c r="F313" s="627"/>
      <c r="G313" s="627"/>
      <c r="H313" s="627"/>
      <c r="I313" s="627"/>
      <c r="J313" s="627"/>
      <c r="K313" s="1706">
        <f>'Revenues 9-14'!H275-'Expenditures 15-22'!K312</f>
        <v>-1318543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0" t="s">
        <v>151</v>
      </c>
      <c r="B315" s="2211"/>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2" t="s">
        <v>954</v>
      </c>
      <c r="B317" s="2211"/>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v>23380</v>
      </c>
      <c r="F320" s="467"/>
      <c r="G320" s="467"/>
      <c r="H320" s="467"/>
      <c r="I320" s="467"/>
      <c r="J320" s="467"/>
      <c r="K320" s="1692">
        <f t="shared" ref="K320:K327" si="24">SUM(C320:J320)</f>
        <v>23380</v>
      </c>
      <c r="L320" s="467">
        <v>23380</v>
      </c>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302</v>
      </c>
      <c r="C322" s="467"/>
      <c r="D322" s="467"/>
      <c r="E322" s="467"/>
      <c r="F322" s="467"/>
      <c r="G322" s="467"/>
      <c r="H322" s="467"/>
      <c r="I322" s="467"/>
      <c r="J322" s="467"/>
      <c r="K322" s="1692">
        <f t="shared" si="24"/>
        <v>0</v>
      </c>
      <c r="L322" s="467"/>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23380</v>
      </c>
      <c r="F330" s="1691">
        <f t="shared" si="25"/>
        <v>0</v>
      </c>
      <c r="G330" s="1691">
        <f t="shared" si="25"/>
        <v>0</v>
      </c>
      <c r="H330" s="1691">
        <f t="shared" si="25"/>
        <v>0</v>
      </c>
      <c r="I330" s="1691">
        <f t="shared" si="25"/>
        <v>0</v>
      </c>
      <c r="J330" s="1691">
        <f t="shared" si="25"/>
        <v>0</v>
      </c>
      <c r="K330" s="1691">
        <f>SUM(K319:K329)</f>
        <v>23380</v>
      </c>
      <c r="L330" s="1691">
        <f>SUM(L319:L329)</f>
        <v>23380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23380</v>
      </c>
      <c r="F342" s="1691">
        <f>SUM(F330)</f>
        <v>0</v>
      </c>
      <c r="G342" s="1691">
        <f>SUM(G330)</f>
        <v>0</v>
      </c>
      <c r="H342" s="1691">
        <f>SUM(H330,H334,H340)</f>
        <v>0</v>
      </c>
      <c r="I342" s="1691">
        <f>SUM(I330)</f>
        <v>0</v>
      </c>
      <c r="J342" s="1691">
        <f>SUM(J330)</f>
        <v>0</v>
      </c>
      <c r="K342" s="1691">
        <f>SUM(K330,K334,K340)</f>
        <v>23380</v>
      </c>
      <c r="L342" s="1698">
        <f>SUM(L330,L340,L341)</f>
        <v>23380</v>
      </c>
    </row>
    <row r="343" spans="1:14" ht="12.75" customHeight="1" thickTop="1" x14ac:dyDescent="0.2">
      <c r="A343" s="2199" t="s">
        <v>1053</v>
      </c>
      <c r="B343" s="2200"/>
      <c r="C343" s="617"/>
      <c r="D343" s="617"/>
      <c r="E343" s="617"/>
      <c r="F343" s="617"/>
      <c r="G343" s="617"/>
      <c r="H343" s="617"/>
      <c r="I343" s="617"/>
      <c r="J343" s="617"/>
      <c r="K343" s="170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9" t="s">
        <v>1023</v>
      </c>
      <c r="B345" s="2190"/>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v>66616</v>
      </c>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66616</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66616</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66616</v>
      </c>
    </row>
    <row r="368" spans="1:14" ht="13.5" thickTop="1" x14ac:dyDescent="0.2">
      <c r="A368" s="2213" t="s">
        <v>1053</v>
      </c>
      <c r="B368" s="2214"/>
      <c r="C368" s="655"/>
      <c r="D368" s="655"/>
      <c r="E368" s="627"/>
      <c r="F368" s="627"/>
      <c r="G368" s="627"/>
      <c r="H368" s="627"/>
      <c r="I368" s="627"/>
      <c r="J368" s="624"/>
      <c r="K368" s="1692">
        <f>'Revenues 9-14'!K275-'Expenditures 15-22'!K367</f>
        <v>10243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5" right="0.25" top="1" bottom="0.5" header="0.5" footer="0.25"/>
  <pageSetup scale="66" firstPageNumber="20" fitToWidth="0" fitToHeight="0" orientation="landscape" useFirstPageNumber="1" r:id="rId1"/>
  <headerFooter scaleWithDoc="0">
    <oddHeader>&amp;C&amp;"Arial,Bold"&amp;9STATEMENT OF EXPENDITURES DISBURSED/EXPENDITURES, BUDGET TO ACTUAL
FOR THE YEAR ENDING JUNE 30, 2018</oddHeader>
    <oddFooter>&amp;LSee notes to financial statements.&amp;C&amp;P</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purl.org/dc/elements/1.1/"/>
    <ds:schemaRef ds:uri="http://schemas.microsoft.com/sharepoint/v3"/>
    <ds:schemaRef ds:uri="http://schemas.microsoft.com/office/2006/documentManagement/types"/>
    <ds:schemaRef ds:uri="http://purl.org/dc/dcmitype/"/>
    <ds:schemaRef ds:uri="http://schemas.openxmlformats.org/package/2006/metadata/core-properties"/>
    <ds:schemaRef ds:uri="http://www.w3.org/XML/1998/namespace"/>
    <ds:schemaRef ds:uri="http://schemas.microsoft.com/office/infopath/2007/PartnerControls"/>
    <ds:schemaRef ds:uri="4d435f69-8686-490b-bd6d-b153bf22ab50"/>
    <ds:schemaRef ds:uri="d21dc803-237d-4c68-8692-8d731fd29118"/>
    <ds:schemaRef ds:uri="6ce3111e-7420-4802-b50a-75d4e9a0b980"/>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2018-10-08T16:33:21Z</cp:lastPrinted>
  <dcterms:created xsi:type="dcterms:W3CDTF">2003-10-29T19:06:34Z</dcterms:created>
  <dcterms:modified xsi:type="dcterms:W3CDTF">2018-10-31T14:54:28Z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