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2" i="174" l="1"/>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s="1"/>
  <c r="B5118" i="106"/>
  <c r="D5118" i="106" s="1"/>
  <c r="B5119" i="106"/>
  <c r="D5119" i="106"/>
  <c r="B5122" i="106"/>
  <c r="D5122" i="106"/>
  <c r="B5123" i="106"/>
  <c r="D5123" i="106"/>
  <c r="B5124" i="106"/>
  <c r="D5124" i="106"/>
  <c r="B5126" i="106"/>
  <c r="D5126" i="106"/>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E26" i="108"/>
  <c r="F26" i="108"/>
  <c r="G26" i="108"/>
  <c r="D27" i="108"/>
  <c r="E27" i="108"/>
  <c r="F27" i="108"/>
  <c r="G27" i="108"/>
  <c r="F28" i="108"/>
  <c r="F31" i="108"/>
  <c r="F36" i="108"/>
  <c r="F37" i="108"/>
  <c r="G28" i="108"/>
  <c r="E30" i="108"/>
  <c r="G30" i="108"/>
  <c r="D31" i="108"/>
  <c r="D36" i="108"/>
  <c r="D37" i="108"/>
  <c r="E31" i="108"/>
  <c r="G31" i="108"/>
  <c r="E33" i="108"/>
  <c r="G33" i="108"/>
  <c r="E34" i="108"/>
  <c r="G34" i="108"/>
  <c r="E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22" i="37"/>
  <c r="H22" i="37"/>
  <c r="J22" i="37"/>
  <c r="L22" i="37"/>
  <c r="D24" i="37"/>
  <c r="B4270" i="106" s="1"/>
  <c r="D4270" i="106" s="1"/>
  <c r="L5" i="11"/>
  <c r="B2056" i="106" s="1"/>
  <c r="D2056" i="106" s="1"/>
  <c r="D4" i="7"/>
  <c r="B1760" i="106" s="1"/>
  <c r="D1760" i="106" s="1"/>
  <c r="D13" i="7"/>
  <c r="B3726" i="106" s="1"/>
  <c r="D3726" i="106" s="1"/>
  <c r="D9" i="7"/>
  <c r="B1767" i="106" s="1"/>
  <c r="D1767" i="106" s="1"/>
  <c r="B5770" i="106"/>
  <c r="D5770" i="106" s="1"/>
  <c r="F136" i="34"/>
  <c r="F131" i="34"/>
  <c r="F130" i="34"/>
  <c r="F128" i="34"/>
  <c r="F127" i="34"/>
  <c r="B5847" i="106"/>
  <c r="D5847" i="106" s="1"/>
  <c r="B5752" i="106"/>
  <c r="D5752" i="106" s="1"/>
  <c r="B5599" i="106"/>
  <c r="D5599" i="106" s="1"/>
  <c r="K274" i="5"/>
  <c r="H173" i="5"/>
  <c r="B5906" i="106" s="1"/>
  <c r="D5906" i="106" s="1"/>
  <c r="H109" i="5"/>
  <c r="B6025" i="106" s="1"/>
  <c r="D6025"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K28" i="118" l="1"/>
  <c r="O27" i="118" s="1"/>
  <c r="O29" i="118" s="1"/>
  <c r="I173" i="5"/>
  <c r="B4216" i="106" s="1"/>
  <c r="D4216" i="106" s="1"/>
  <c r="F172" i="5"/>
  <c r="B5644" i="106" s="1"/>
  <c r="D5644" i="106" s="1"/>
  <c r="D7245" i="106"/>
  <c r="B3649" i="106"/>
  <c r="D3649" i="106" s="1"/>
  <c r="G367" i="29"/>
  <c r="B3621" i="106"/>
  <c r="D3621" i="106" s="1"/>
  <c r="C367" i="29"/>
  <c r="K41" i="3"/>
  <c r="L15" i="11"/>
  <c r="B3459" i="106" s="1"/>
  <c r="D3459" i="106" s="1"/>
  <c r="K285" i="29"/>
  <c r="E174" i="29"/>
  <c r="B1309" i="106" s="1"/>
  <c r="D1309" i="106" s="1"/>
  <c r="H367" i="29"/>
  <c r="L13" i="11"/>
  <c r="B2060" i="106" s="1"/>
  <c r="D2060" i="106" s="1"/>
  <c r="K24" i="12"/>
  <c r="D69" i="36"/>
  <c r="F19" i="7"/>
  <c r="B1807" i="106" s="1"/>
  <c r="D1807" i="106" s="1"/>
  <c r="K350" i="29"/>
  <c r="C342" i="29"/>
  <c r="B7216" i="106" s="1"/>
  <c r="D7216" i="106" s="1"/>
  <c r="L342" i="29"/>
  <c r="L312" i="29"/>
  <c r="B7076" i="106"/>
  <c r="D7076" i="106" s="1"/>
  <c r="B1410" i="106"/>
  <c r="D1410" i="106" s="1"/>
  <c r="G29" i="108"/>
  <c r="E29" i="108"/>
  <c r="K184" i="29"/>
  <c r="F13" i="4" s="1"/>
  <c r="B2596" i="106" s="1"/>
  <c r="D2596" i="106" s="1"/>
  <c r="B1329" i="106"/>
  <c r="D1329" i="106" s="1"/>
  <c r="F61" i="34"/>
  <c r="E28" i="108"/>
  <c r="G35" i="108"/>
  <c r="F111" i="34"/>
  <c r="C172" i="5"/>
  <c r="B5214" i="106" s="1"/>
  <c r="D5214" i="106" s="1"/>
  <c r="H4" i="4"/>
  <c r="B2655" i="106" s="1"/>
  <c r="D2655" i="106" s="1"/>
  <c r="B5096" i="106"/>
  <c r="D5096" i="106" s="1"/>
  <c r="G109" i="5"/>
  <c r="B6024" i="106" s="1"/>
  <c r="D6024" i="106" s="1"/>
  <c r="E109" i="5"/>
  <c r="E4" i="4" s="1"/>
  <c r="B2630" i="106" s="1"/>
  <c r="D2630" i="106" s="1"/>
  <c r="D109" i="5"/>
  <c r="B5356" i="106" s="1"/>
  <c r="D5356" i="106" s="1"/>
  <c r="C109" i="5"/>
  <c r="B5121" i="106" s="1"/>
  <c r="D5121" i="106" s="1"/>
  <c r="G4" i="4"/>
  <c r="B2603" i="106" s="1"/>
  <c r="D2603" i="106" s="1"/>
  <c r="B5513" i="106"/>
  <c r="D5513" i="106" s="1"/>
  <c r="D5" i="7"/>
  <c r="B1761" i="106" s="1"/>
  <c r="D1761" i="106" s="1"/>
  <c r="D54" i="36"/>
  <c r="B4268" i="106"/>
  <c r="D42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J7" i="4"/>
  <c r="H8" i="4"/>
  <c r="B3447" i="106"/>
  <c r="D3447" i="106" s="1"/>
  <c r="B7270" i="106"/>
  <c r="F73" i="34" l="1"/>
  <c r="G15" i="4"/>
  <c r="B6032" i="106" s="1"/>
  <c r="D6032" i="106" s="1"/>
  <c r="B3568" i="106"/>
  <c r="D3568" i="106" s="1"/>
  <c r="D52" i="36"/>
  <c r="D19" i="7"/>
  <c r="B1775" i="106" s="1"/>
  <c r="D1775" i="106" s="1"/>
  <c r="D274" i="5"/>
  <c r="B5914" i="106"/>
  <c r="D5914" i="106" s="1"/>
  <c r="L114" i="29"/>
  <c r="F173" i="5"/>
  <c r="L16" i="11"/>
  <c r="B2061" i="106" s="1"/>
  <c r="D2061" i="106" s="1"/>
  <c r="B7733" i="106"/>
  <c r="D7733" i="106" s="1"/>
  <c r="K26" i="12"/>
  <c r="B7743" i="106" s="1"/>
  <c r="D7743" i="106" s="1"/>
  <c r="B3670" i="106"/>
  <c r="D3670" i="106" s="1"/>
  <c r="K352" i="29"/>
  <c r="K342" i="29"/>
  <c r="F13" i="34" s="1"/>
  <c r="B1381" i="106"/>
  <c r="D1381" i="106" s="1"/>
  <c r="B1317" i="106"/>
  <c r="D1317" i="106" s="1"/>
  <c r="C114" i="29"/>
  <c r="B757" i="106" s="1"/>
  <c r="D757" i="106" s="1"/>
  <c r="C173" i="5"/>
  <c r="B5223" i="106" s="1"/>
  <c r="D5223" i="106" s="1"/>
  <c r="D4" i="4"/>
  <c r="B2564" i="106" s="1"/>
  <c r="D2564" i="106" s="1"/>
  <c r="C4" i="4"/>
  <c r="B2551" i="106" s="1"/>
  <c r="D2551"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D275" i="5"/>
  <c r="B5507" i="106"/>
  <c r="D5507" i="106" s="1"/>
  <c r="B7298" i="106"/>
  <c r="B7299" i="106"/>
  <c r="B5653" i="106" l="1"/>
  <c r="D5653" i="106" s="1"/>
  <c r="F6" i="4"/>
  <c r="B2593" i="106" s="1"/>
  <c r="D2593" i="106" s="1"/>
  <c r="F275" i="5"/>
  <c r="B5720" i="106" s="1"/>
  <c r="D5720" i="106" s="1"/>
  <c r="K13" i="4"/>
  <c r="B3572" i="106" s="1"/>
  <c r="D3572" i="106" s="1"/>
  <c r="B3672" i="106"/>
  <c r="D3672" i="106" s="1"/>
  <c r="K367" i="29"/>
  <c r="K368" i="29" s="1"/>
  <c r="B3681" i="106" s="1"/>
  <c r="D3681" i="106" s="1"/>
  <c r="J17" i="4"/>
  <c r="B7224" i="106"/>
  <c r="D7224" i="106" s="1"/>
  <c r="G41" i="108"/>
  <c r="G44" i="108" s="1"/>
  <c r="G45" i="108" s="1"/>
  <c r="E41" i="108"/>
  <c r="E44" i="108" s="1"/>
  <c r="E45" i="108" s="1"/>
  <c r="C6" i="4"/>
  <c r="B2553" i="106" s="1"/>
  <c r="D2553" i="106"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F10" i="4"/>
  <c r="B4125" i="106" s="1"/>
  <c r="D4125" i="106" s="1"/>
  <c r="D8" i="146"/>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<sst xmlns="http://schemas.openxmlformats.org/spreadsheetml/2006/main" count="5033" uniqueCount="2104">
  <si>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</si>
  <si>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</si>
  <si>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</si>
  <si>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</si>
  <si>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</si>
  <si>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</si>
  <si>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</si>
  <si>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</si>
  <si>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</si>
  <si>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</si>
  <si>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</si>
  <si>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</si>
  <si>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</si>
  <si>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</si>
  <si>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</si>
  <si>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</si>
  <si>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</si>
  <si>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</si>
  <si>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</si>
  <si>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</si>
  <si>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</si>
  <si>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</si>
  <si>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</si>
  <si>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</si>
  <si>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</si>
  <si>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</si>
  <si>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</si>
  <si>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</si>
  <si>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</si>
  <si>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</si>
  <si>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</si>
  <si>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</si>
  <si>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</si>
  <si>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</si>
  <si>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</si>
  <si>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</si>
  <si>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</si>
  <si>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</si>
  <si>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</si>
  <si>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</si>
  <si>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</si>
  <si>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</si>
  <si>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</si>
  <si>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</si>
  <si>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</si>
  <si>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</si>
  <si>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</si>
  <si>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</si>
  <si>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</si>
  <si>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</si>
  <si>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</si>
  <si>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</si>
  <si>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</si>
  <si>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</si>
  <si>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</si>
  <si>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</si>
  <si>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</si>
  <si>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</si>
  <si>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</si>
  <si>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</si>
  <si>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</si>
  <si>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</si>
  <si>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</si>
  <si>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</si>
  <si>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</si>
  <si>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</si>
  <si>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</si>
  <si>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</si>
  <si>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</si>
  <si>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</si>
  <si>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</si>
  <si>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</si>
  <si>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</si>
  <si>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</si>
  <si>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</si>
  <si>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</si>
  <si>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</si>
  <si>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</si>
  <si>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</si>
  <si>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</si>
  <si>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</si>
  <si>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</si>
  <si>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</si>
  <si>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</si>
  <si>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</si>
  <si>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</si>
  <si>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</si>
  <si>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</si>
  <si>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</si>
  <si>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</si>
  <si>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</si>
  <si>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</si>
  <si>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</si>
  <si>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</si>
  <si>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</si>
  <si>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</si>
  <si>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</si>
  <si>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</si>
  <si>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</si>
  <si>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</si>
  <si>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</si>
  <si>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</si>
  <si>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</si>
  <si>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</si>
  <si>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</si>
  <si>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</si>
  <si>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</si>
  <si>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</si>
  <si>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</si>
  <si>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</si>
  <si>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</si>
  <si>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</si>
  <si>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</si>
  <si>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</si>
  <si>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</si>
  <si>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</si>
  <si>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</si>
  <si>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</si>
  <si>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</si>
  <si>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</si>
  <si>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</si>
  <si>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</si>
  <si>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</si>
  <si>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</si>
  <si>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</si>
  <si>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</si>
  <si>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</si>
  <si>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</si>
  <si>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</si>
  <si>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</si>
  <si>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</si>
  <si>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</si>
  <si>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</si>
  <si>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</si>
  <si>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</si>
  <si>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</si>
  <si>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</si>
  <si>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</si>
  <si>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</si>
  <si>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</si>
  <si>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</si>
  <si>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</si>
  <si>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</si>
  <si>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</si>
  <si>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</si>
  <si>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</si>
  <si>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</si>
  <si>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</si>
  <si>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</si>
  <si>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</si>
  <si>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</si>
  <si>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</si>
  <si>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</si>
  <si>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</si>
  <si>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</si>
  <si>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</si>
  <si>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</si>
  <si>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</si>
  <si>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</si>
  <si>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</si>
  <si>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</si>
  <si>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</si>
  <si>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</si>
  <si>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</si>
  <si>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</si>
  <si>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</si>
  <si>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</si>
  <si>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</si>
  <si>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</si>
  <si>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</si>
  <si>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</si>
  <si>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</si>
  <si>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</si>
  <si>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</si>
  <si>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</si>
  <si>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</si>
  <si>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</si>
  <si>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</si>
  <si>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</si>
  <si>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</si>
  <si>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</si>
  <si>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</si>
  <si>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</si>
  <si>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</si>
  <si>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</si>
  <si>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</si>
  <si>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</si>
  <si>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</si>
  <si>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</si>
  <si>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</si>
  <si>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</si>
  <si>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</si>
  <si>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</si>
  <si>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</si>
  <si>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</si>
  <si>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</si>
  <si>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</si>
  <si>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</si>
  <si>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</si>
  <si>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</si>
  <si>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</si>
  <si>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</si>
  <si>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</si>
  <si>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</si>
  <si>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</si>
  <si>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</si>
  <si>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</si>
  <si>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</si>
  <si>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</si>
  <si>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</si>
  <si>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</si>
  <si>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</si>
  <si>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</si>
  <si>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</si>
  <si>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</si>
  <si>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</si>
  <si>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</si>
  <si>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</si>
  <si>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</si>
  <si>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</si>
  <si>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</si>
  <si>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</si>
  <si>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</si>
  <si>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</si>
  <si>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</si>
  <si>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</si>
  <si>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</si>
  <si>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</si>
  <si>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</si>
  <si>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</si>
  <si>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</si>
  <si>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</si>
  <si>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</si>
  <si>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</si>
  <si>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</si>
  <si>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</si>
  <si>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</si>
  <si>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</si>
  <si>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</si>
  <si>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</si>
  <si>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</si>
  <si>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</si>
  <si>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</si>
  <si>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</si>
  <si>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</si>
  <si>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</si>
  <si>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</si>
  <si>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</si>
  <si>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</si>
  <si>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</si>
  <si>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</si>
  <si>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</si>
  <si>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</si>
  <si>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</si>
  <si>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</si>
  <si>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</si>
  <si>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</si>
  <si>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</si>
  <si>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</si>
  <si>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</si>
  <si>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</si>
  <si>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</si>
  <si>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</si>
  <si>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</si>
  <si>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</si>
  <si>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</si>
  <si>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</si>
  <si>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</si>
  <si>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</si>
  <si>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</si>
  <si>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</si>
  <si>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</si>
  <si>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</si>
  <si>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</si>
  <si>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</si>
  <si>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</si>
  <si>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</si>
  <si>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</si>
  <si>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</si>
  <si>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</si>
  <si>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</si>
  <si>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</si>
  <si>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</si>
  <si>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</si>
  <si>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</si>
  <si>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</si>
  <si>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</si>
  <si>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</si>
  <si>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</si>
  <si>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</si>
  <si>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</si>
  <si>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</si>
  <si>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</si>
  <si>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</si>
  <si>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</si>
  <si>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</si>
  <si>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</si>
  <si>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</si>
  <si>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</si>
  <si>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</si>
  <si>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</si>
  <si>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</si>
  <si>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</si>
  <si>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</si>
  <si>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</si>
  <si>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</si>
  <si>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</si>
  <si>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</si>
  <si>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</si>
  <si>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</si>
  <si>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</si>
  <si>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</si>
  <si>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</si>
  <si>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</si>
  <si>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</si>
  <si>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</si>
  <si>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</si>
  <si>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</si>
  <si>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</si>
  <si>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</si>
  <si>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</si>
  <si>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</si>
  <si>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</si>
  <si>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</si>
  <si>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</si>
  <si>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</si>
  <si>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</si>
  <si>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</si>
  <si>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</si>
  <si>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</si>
  <si>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</si>
  <si>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</si>
  <si>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</si>
  <si>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</si>
  <si>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</si>
  <si>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</si>
  <si>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</si>
  <si>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</si>
  <si>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</si>
  <si>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</si>
  <si>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</si>
  <si>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</si>
  <si>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</si>
  <si>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</si>
  <si>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</si>
  <si>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</si>
  <si>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</si>
  <si>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</si>
  <si>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</si>
  <si>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</si>
  <si>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</si>
  <si>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</si>
  <si>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</si>
  <si>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</si>
  <si>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</si>
  <si>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</si>
  <si>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</si>
  <si>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</si>
  <si>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</si>
  <si>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</si>
  <si>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</si>
  <si>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</si>
  <si>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</si>
  <si>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</si>
  <si>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</si>
  <si>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</si>
  <si>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</si>
  <si>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</si>
  <si>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</si>
  <si>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</si>
  <si>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</si>
  <si>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</si>
  <si>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</si>
  <si>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</si>
  <si>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</si>
  <si>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</si>
  <si>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</si>
  <si>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</si>
  <si>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</si>
  <si>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</si>
  <si>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</si>
  <si>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</si>
  <si>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</si>
  <si>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</si>
  <si>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</si>
  <si>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</si>
  <si>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</si>
  <si>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</si>
  <si>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</si>
  <si>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</si>
  <si>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</si>
  <si>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</si>
  <si>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</si>
  <si>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</si>
  <si>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</si>
  <si>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</si>
  <si>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</si>
  <si>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</si>
  <si>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</si>
  <si>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</si>
  <si>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</si>
  <si>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</si>
  <si>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</si>
  <si>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</si>
  <si>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</si>
  <si>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</si>
  <si>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</si>
  <si>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</si>
  <si>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</si>
  <si>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</si>
  <si>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</si>
  <si>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</si>
  <si>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</si>
  <si>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</si>
  <si>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</si>
  <si>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</si>
  <si>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</si>
  <si>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</si>
  <si>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</si>
  <si>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</si>
  <si>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</si>
  <si>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</si>
  <si>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</si>
  <si>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</si>
  <si>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</si>
  <si>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</si>
  <si>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</si>
  <si>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</si>
  <si>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</si>
  <si>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</si>
  <si>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</si>
  <si>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</si>
  <si>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</si>
  <si>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</si>
  <si>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</si>
  <si>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</si>
  <si>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</si>
  <si>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</si>
  <si>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</si>
  <si>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</si>
  <si>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</si>
  <si>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</si>
  <si>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</si>
  <si>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</si>
  <si>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</si>
  <si>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</si>
  <si>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</si>
  <si>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</si>
  <si>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</si>
  <si>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</si>
  <si>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</si>
  <si>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</si>
  <si>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</si>
  <si>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</si>
  <si>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</si>
  <si>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</si>
  <si>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</si>
  <si>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</si>
  <si>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</si>
  <si>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</si>
  <si>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</si>
  <si>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</si>
  <si>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</si>
  <si>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</si>
  <si>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</si>
  <si>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</si>
  <si>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</si>
  <si>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</si>
  <si>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</si>
  <si>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</si>
  <si>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</si>
  <si>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</si>
  <si>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</si>
  <si>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</si>
  <si>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</si>
  <si>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</si>
  <si>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</si>
  <si>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</si>
  <si>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</si>
  <si>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</si>
  <si>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</si>
  <si>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</si>
  <si>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</si>
  <si>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</si>
  <si>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</si>
  <si>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</si>
  <si>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</si>
  <si>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</si>
  <si>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</si>
  <si>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</si>
  <si>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</si>
  <si>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</si>
  <si>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</si>
  <si>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</si>
  <si>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</si>
  <si>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</si>
  <si>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</si>
  <si>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</si>
  <si>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</si>
  <si>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</si>
  <si>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</si>
  <si>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</si>
  <si>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</si>
  <si>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</si>
  <si>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</si>
  <si>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</si>
  <si>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</si>
  <si>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</si>
  <si>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</si>
  <si>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</si>
  <si>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</si>
  <si>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</si>
  <si>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</si>
  <si>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</si>
  <si>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</si>
  <si>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</si>
  <si>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</si>
  <si>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</si>
  <si>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</si>
  <si>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</si>
  <si>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</si>
  <si>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</si>
  <si>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</si>
  <si>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</si>
  <si>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</si>
  <si>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</si>
  <si>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</si>
  <si>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</si>
  <si>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</si>
  <si>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</si>
  <si>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</si>
  <si>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</si>
  <si>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</si>
  <si>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</si>
  <si>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</si>
  <si>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</si>
  <si>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</si>
  <si>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</si>
  <si>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</si>
  <si>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</si>
  <si>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</si>
  <si>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</si>
  <si>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</si>
  <si>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</si>
  <si>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</si>
  <si>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</si>
  <si>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</si>
  <si>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</si>
  <si>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</si>
  <si>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</si>
  <si>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</si>
  <si>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</si>
  <si>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</si>
  <si>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</si>
  <si>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</si>
  <si>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</si>
  <si>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</si>
  <si>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</si>
  <si>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</si>
  <si>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</si>
  <si>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</si>
  <si>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</si>
  <si>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</si>
  <si>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</si>
  <si>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</si>
  <si>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</si>
  <si>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</si>
  <si>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</si>
  <si>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</si>
  <si>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</si>
  <si>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</si>
  <si>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</si>
  <si>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</si>
  <si>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</si>
  <si>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</si>
  <si>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</si>
  <si>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</si>
  <si>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</si>
  <si>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</si>
  <si>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</si>
  <si>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</si>
  <si>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</si>
  <si>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</si>
  <si>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</si>
  <si>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</si>
  <si>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</si>
  <si>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</si>
  <si>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</si>
  <si>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</si>
  <si>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</si>
  <si>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</si>
  <si>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</si>
  <si>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</si>
  <si>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</si>
  <si>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</si>
  <si>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</si>
  <si>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</si>
  <si>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</si>
  <si>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</si>
  <si>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</si>
  <si>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</si>
  <si>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</si>
  <si>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</si>
  <si>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</si>
  <si>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</si>
  <si>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</si>
  <si>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</si>
  <si>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</si>
  <si>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</si>
  <si>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</si>
  <si>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</si>
  <si>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</si>
  <si>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</si>
  <si>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</si>
  <si>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</si>
  <si>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</si>
  <si>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</si>
  <si>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</si>
  <si>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</si>
  <si>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</si>
  <si>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</si>
  <si>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</si>
  <si>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</si>
  <si>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</si>
  <si>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</si>
  <si>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</si>
  <si>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</si>
  <si>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</si>
  <si>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</si>
  <si>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</si>
  <si>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</si>
  <si>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</si>
  <si>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</si>
  <si>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</si>
  <si>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</si>
  <si>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</si>
  <si>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</si>
  <si>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</si>
  <si>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</si>
  <si>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</si>
  <si>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</si>
  <si>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</si>
  <si>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</si>
  <si>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</si>
  <si>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</si>
  <si>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</si>
  <si>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</si>
  <si>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</si>
  <si>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</si>
  <si>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</si>
  <si>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</si>
  <si>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</si>
  <si>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</si>
  <si>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</si>
  <si>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</si>
  <si>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</si>
  <si>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</si>
  <si>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</si>
  <si>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</si>
  <si>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</si>
  <si>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</si>
  <si>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</si>
  <si>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</si>
  <si>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</si>
  <si>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</si>
  <si>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</si>
  <si>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</si>
  <si>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</si>
  <si>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</si>
  <si>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</si>
  <si>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</si>
  <si>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</si>
  <si>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</si>
  <si>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</si>
  <si>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</si>
  <si>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</si>
  <si>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</si>
  <si>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</si>
  <si>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</si>
  <si>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</si>
  <si>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</si>
  <si>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</si>
  <si>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</si>
  <si>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</si>
  <si>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</si>
  <si>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</si>
  <si>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</si>
  <si>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</si>
  <si>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</si>
  <si>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</si>
  <si>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</si>
  <si>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</si>
  <si>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</si>
  <si>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</si>
  <si>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</si>
  <si>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</si>
  <si>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</si>
  <si>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</si>
  <si>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</si>
  <si>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</si>
  <si>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</si>
  <si>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</si>
  <si>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</si>
  <si>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</si>
  <si>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</si>
  <si>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</si>
  <si>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</si>
  <si>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</si>
  <si>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</si>
  <si>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</si>
  <si>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</si>
  <si>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</si>
  <si>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</si>
  <si>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</si>
  <si>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</si>
  <si>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</si>
  <si>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</si>
  <si>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</si>
  <si>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</si>
  <si>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</si>
  <si>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</si>
  <si>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</si>
  <si>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</si>
  <si>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</si>
  <si>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</si>
  <si>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</si>
  <si>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</si>
  <si>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</si>
  <si>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</si>
  <si>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</si>
  <si>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</si>
  <si>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</si>
  <si>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</si>
  <si>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</si>
  <si>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</si>
  <si>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</si>
  <si>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</si>
  <si>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</si>
  <si>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</si>
  <si>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</si>
  <si>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</si>
  <si>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</si>
  <si>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</si>
  <si>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</si>
  <si>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</si>
  <si>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</si>
  <si>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</si>
  <si>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</si>
  <si>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</si>
  <si>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</si>
  <si>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</si>
  <si>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</si>
  <si>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</si>
  <si>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</si>
  <si>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</si>
  <si>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</si>
  <si>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</si>
  <si>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</si>
  <si>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</si>
  <si>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</si>
  <si>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</si>
  <si>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</si>
  <si>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</si>
  <si>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</si>
  <si>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</si>
  <si>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</si>
  <si>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</si>
  <si>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</si>
  <si>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</si>
  <si>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</si>
  <si>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</si>
  <si>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</si>
  <si>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</si>
  <si>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</si>
  <si>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</si>
  <si>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</si>
  <si>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</si>
  <si>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</si>
  <si>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</si>
  <si>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</si>
  <si>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</si>
  <si>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</si>
  <si>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</si>
  <si>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</si>
  <si>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</si>
  <si>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</si>
  <si>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</si>
  <si>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</si>
  <si>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</si>
  <si>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</si>
  <si>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</si>
  <si>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</si>
  <si>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</si>
  <si>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</si>
  <si>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</si>
  <si>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</si>
  <si>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</si>
  <si>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</si>
  <si>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</si>
  <si>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</si>
  <si>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</si>
  <si>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</si>
  <si>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</si>
  <si>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</si>
  <si>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</si>
  <si>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</si>
  <si>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</si>
  <si>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</si>
  <si>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</si>
  <si>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</si>
  <si>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</si>
  <si>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</si>
  <si>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</si>
  <si>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</si>
  <si>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</si>
  <si>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</si>
  <si>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</si>
  <si>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</si>
  <si>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</si>
  <si>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</si>
  <si>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</si>
  <si>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</si>
  <si>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</si>
  <si>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</si>
  <si>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</si>
  <si>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</si>
  <si>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</si>
  <si>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</si>
  <si>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</si>
  <si>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</si>
  <si>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</si>
  <si>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</si>
  <si>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</si>
  <si>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</si>
  <si>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</si>
  <si>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</si>
  <si>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</si>
  <si>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</si>
  <si>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</si>
  <si>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</si>
  <si>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</si>
  <si>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</si>
  <si>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</si>
  <si>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</si>
  <si>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</si>
  <si>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</si>
  <si>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</si>
  <si>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</si>
  <si>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</si>
  <si>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</si>
  <si>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</si>
  <si>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</si>
  <si>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</si>
  <si>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</si>
  <si>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</si>
  <si>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</si>
  <si>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</si>
  <si>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</si>
  <si>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</si>
  <si>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</si>
  <si>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</si>
  <si>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</si>
  <si>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</si>
  <si>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</si>
  <si>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</si>
  <si>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</si>
  <si>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</si>
  <si>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</si>
  <si>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</si>
  <si>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</si>
  <si>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</si>
  <si>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</si>
  <si>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</si>
  <si>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</si>
  <si>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</si>
  <si>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</si>
  <si>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</si>
  <si>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</si>
  <si>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</si>
  <si>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</si>
  <si>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</si>
  <si>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</si>
  <si>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</si>
  <si>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</si>
  <si>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</si>
  <si>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</si>
  <si>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</si>
  <si>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</si>
  <si>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</si>
  <si>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</si>
  <si>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</si>
  <si>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</si>
  <si>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</si>
  <si>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</si>
  <si>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</si>
  <si>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</si>
  <si>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</si>
  <si>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</si>
  <si>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</si>
  <si>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</si>
  <si>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</si>
  <si>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</si>
  <si>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</si>
  <si>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</si>
  <si>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</si>
  <si>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</si>
  <si>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</si>
  <si>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</si>
  <si>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</si>
  <si>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</si>
  <si>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</si>
  <si>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</si>
  <si>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</si>
  <si>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</si>
  <si>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</si>
  <si>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</si>
  <si>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</si>
  <si>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</si>
  <si>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</si>
  <si>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</si>
  <si>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</si>
  <si>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</si>
  <si>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</si>
  <si>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</si>
  <si>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</si>
  <si>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</si>
  <si>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</si>
  <si>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</si>
  <si>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</si>
  <si>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</si>
  <si>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</si>
  <si>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</si>
  <si>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</si>
  <si>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</si>
  <si>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</si>
  <si>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</si>
  <si>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</si>
  <si>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</si>
  <si>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</si>
  <si>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</si>
  <si>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</si>
  <si>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</si>
  <si>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</si>
  <si>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</si>
  <si>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</si>
  <si>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</si>
  <si>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</si>
  <si>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</si>
  <si>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</si>
  <si>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</si>
  <si>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</si>
  <si>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</si>
  <si>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</si>
  <si>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</si>
  <si>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</si>
  <si>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</si>
  <si>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</si>
  <si>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</si>
  <si>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</si>
  <si>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</si>
  <si>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</si>
  <si>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</si>
  <si>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</si>
  <si>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</si>
  <si>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</si>
  <si>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</si>
  <si>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</si>
  <si>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</si>
  <si>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</si>
  <si>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</si>
  <si>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</si>
  <si>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</si>
  <si>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</si>
  <si>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</si>
  <si>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</si>
  <si>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</si>
  <si>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</si>
  <si>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</si>
  <si>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</si>
  <si>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</si>
  <si>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</si>
  <si>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</si>
  <si>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</si>
  <si>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</si>
  <si>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</si>
  <si>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</si>
  <si>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</si>
  <si>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</si>
  <si>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</si>
  <si>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</si>
  <si>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</si>
  <si>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</si>
  <si>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</si>
  <si>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</si>
  <si>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</si>
  <si>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</si>
  <si>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</si>
  <si>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</si>
  <si>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</si>
  <si>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</si>
  <si>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</si>
  <si>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</si>
  <si>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</si>
  <si>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</si>
  <si>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</si>
  <si>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</si>
  <si>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</si>
  <si>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</si>
  <si>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</si>
  <si>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</si>
  <si>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</si>
  <si>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</si>
  <si>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</si>
  <si>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</si>
  <si>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</si>
  <si>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</si>
  <si>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</si>
  <si>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</si>
  <si>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</si>
  <si>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</si>
  <si>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</si>
  <si>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</si>
  <si>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</si>
  <si>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</si>
  <si>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</si>
  <si>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</si>
  <si>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</si>
  <si>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</si>
  <si>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</si>
  <si>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</si>
  <si>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</si>
  <si>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</si>
  <si>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</si>
  <si>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</si>
  <si>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</si>
  <si>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</si>
  <si>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</si>
  <si>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</si>
  <si>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</si>
  <si>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</si>
  <si>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</si>
  <si>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</si>
  <si>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</si>
  <si>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</si>
  <si>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</si>
  <si>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</si>
  <si>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</si>
  <si>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</si>
  <si>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</si>
  <si>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</si>
  <si>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</si>
  <si>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</si>
  <si>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</si>
  <si>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</si>
  <si>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</si>
  <si>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</si>
  <si>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</si>
  <si>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</si>
  <si>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</si>
  <si>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</si>
  <si>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</si>
  <si>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</si>
  <si>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</si>
  <si>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</si>
  <si>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</si>
  <si>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</si>
  <si>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</si>
  <si>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</si>
  <si>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</si>
  <si>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</si>
  <si>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</si>
  <si>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</si>
  <si>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</si>
  <si>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</si>
  <si>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</si>
  <si>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</si>
  <si>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</si>
  <si>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</si>
  <si>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</si>
  <si>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</si>
  <si>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</si>
  <si>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</si>
  <si>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</si>
  <si>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</si>
  <si>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</si>
  <si>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</si>
  <si>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</si>
  <si>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</si>
  <si>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</si>
  <si>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</si>
  <si>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</si>
  <si>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</si>
  <si>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</si>
  <si>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</si>
  <si>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</si>
  <si>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</si>
  <si>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</si>
  <si>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</si>
  <si>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</si>
  <si>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</si>
  <si>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</si>
  <si>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</si>
  <si>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</si>
  <si>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</si>
  <si>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</si>
  <si>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</si>
  <si>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</si>
  <si>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</si>
  <si>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</si>
  <si>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</si>
  <si>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</si>
  <si>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</si>
  <si>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</si>
  <si>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</si>
  <si>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</si>
  <si>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</si>
  <si>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</si>
  <si>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</si>
  <si>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</si>
  <si>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</si>
  <si>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</si>
  <si>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</si>
  <si>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</si>
  <si>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</si>
  <si>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</si>
  <si>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</si>
  <si>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</si>
  <si>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</si>
  <si>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</si>
  <si>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</si>
  <si>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</si>
  <si>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</si>
  <si>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</si>
  <si>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</si>
  <si>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</si>
  <si>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</si>
  <si>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</si>
  <si>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</si>
  <si>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</si>
  <si>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</si>
  <si>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</si>
  <si>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</si>
  <si>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</si>
  <si>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</si>
  <si>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</si>
  <si>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</si>
  <si>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</si>
  <si>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</si>
  <si>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</si>
  <si>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</si>
  <si>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</si>
  <si>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</si>
  <si>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</si>
  <si>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</si>
  <si>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</si>
  <si>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</si>
  <si>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</si>
  <si>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</si>
  <si>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</si>
  <si>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</si>
  <si>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</si>
  <si>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</si>
  <si>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</si>
  <si>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</si>
  <si>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</si>
  <si>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</si>
  <si>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</si>
  <si>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</si>
  <si>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</si>
  <si>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</si>
  <si>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</si>
  <si>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</si>
  <si>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</si>
  <si>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</si>
  <si>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</si>
  <si>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</si>
  <si>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</si>
  <si>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</si>
  <si>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</si>
  <si>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</si>
  <si>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</si>
  <si>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</si>
  <si>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</si>
  <si>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</si>
  <si>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</si>
  <si>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</si>
  <si>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</si>
  <si>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</si>
  <si>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</si>
  <si>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</si>
  <si>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</si>
  <si>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</si>
  <si>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</si>
  <si>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</si>
  <si>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</si>
  <si>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</si>
  <si>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</si>
  <si>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</si>
  <si>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</si>
  <si>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</si>
  <si>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</si>
  <si>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</si>
  <si>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</si>
  <si>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</si>
  <si>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</si>
  <si>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</si>
  <si>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</si>
  <si>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</si>
  <si>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</si>
  <si>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</si>
  <si>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</si>
  <si>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</si>
  <si>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</si>
  <si>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</si>
  <si>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</si>
  <si>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</si>
  <si>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</si>
  <si>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</si>
  <si>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</si>
  <si>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</si>
  <si>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</si>
  <si>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</si>
  <si>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</si>
  <si>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</si>
  <si>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</si>
  <si>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</si>
  <si>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</si>
  <si>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</si>
  <si>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</si>
  <si>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</si>
  <si>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</si>
  <si>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</si>
  <si>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</si>
  <si>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</si>
  <si>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</si>
  <si>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</si>
  <si>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</si>
  <si>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</si>
  <si>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</si>
  <si>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</si>
  <si>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</si>
  <si>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</si>
  <si>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</si>
  <si>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</si>
  <si>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</si>
  <si>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</si>
  <si>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</si>
  <si>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</si>
  <si>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</si>
  <si>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</si>
  <si>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</si>
  <si>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</si>
  <si>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</si>
  <si>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</si>
  <si>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</si>
  <si>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</si>
  <si>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</si>
  <si>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</si>
  <si>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</si>
  <si>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</si>
  <si>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</si>
  <si>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</si>
  <si>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</si>
  <si>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</si>
  <si>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</si>
  <si>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</si>
  <si>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</si>
  <si>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</si>
  <si>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</si>
  <si>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</si>
  <si>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</si>
  <si>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</si>
  <si>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</si>
  <si>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</si>
  <si>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</si>
  <si>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</si>
  <si>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</si>
  <si>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</si>
  <si>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</si>
  <si>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</si>
  <si>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</si>
  <si>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</si>
  <si>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</si>
  <si>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</si>
  <si>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</si>
  <si>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</si>
  <si>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</si>
  <si>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</si>
  <si>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</si>
  <si>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</si>
  <si>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</si>
  <si>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</si>
  <si>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</si>
  <si>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</si>
  <si>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</si>
  <si>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</si>
  <si>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</si>
  <si>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</si>
  <si>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</si>
  <si>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</si>
  <si>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</si>
  <si>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</si>
  <si>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</si>
  <si>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</si>
  <si>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</si>
  <si>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</si>
  <si>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</si>
  <si>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</si>
  <si>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</si>
  <si>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</si>
  <si>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</si>
  <si>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</si>
  <si>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</si>
  <si>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</si>
  <si>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</si>
  <si>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</si>
  <si>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</si>
  <si>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</si>
  <si>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</si>
  <si>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</si>
  <si>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</si>
  <si>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</si>
  <si>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</si>
  <si>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</si>
  <si>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</si>
  <si>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</si>
  <si>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</si>
  <si>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</si>
  <si>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</si>
  <si>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</si>
  <si>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</si>
  <si>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</si>
  <si>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</si>
  <si>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</si>
  <si>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</si>
  <si>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</si>
  <si>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</si>
  <si>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</si>
  <si>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</si>
  <si>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</si>
  <si>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</si>
  <si>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</si>
  <si>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</si>
  <si>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</si>
  <si>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</si>
  <si>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</si>
  <si>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</si>
  <si>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</si>
  <si>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</si>
  <si>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</si>
  <si>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</si>
  <si>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</si>
  <si>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</si>
  <si>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</si>
  <si>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</si>
  <si>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</si>
  <si>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</si>
  <si>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</si>
  <si>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</si>
  <si>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</si>
  <si>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</si>
  <si>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</si>
  <si>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</si>
  <si>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</si>
  <si>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</si>
  <si>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</si>
  <si>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</si>
  <si>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</si>
  <si>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</si>
  <si>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</si>
  <si>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</si>
  <si>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</si>
  <si>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</si>
  <si>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</si>
  <si>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</si>
  <si>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</si>
  <si>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</si>
  <si>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</si>
  <si>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</si>
  <si>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</si>
  <si>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</si>
  <si>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</si>
  <si>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</si>
  <si>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</si>
  <si>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</si>
  <si>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</si>
  <si>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</si>
  <si>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</si>
  <si>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</si>
  <si>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</si>
  <si>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</si>
  <si>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</si>
  <si>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</si>
  <si>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</si>
  <si>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</si>
  <si>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</si>
  <si>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</si>
  <si>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</si>
  <si>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</si>
  <si>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</si>
  <si>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</si>
  <si>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</si>
  <si>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</si>
  <si>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</si>
  <si>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</si>
  <si>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</si>
  <si>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</si>
  <si>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</si>
  <si>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</si>
  <si>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</si>
  <si>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</si>
  <si>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</si>
  <si>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</si>
  <si>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</si>
  <si>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</si>
  <si>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</si>
  <si>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</si>
  <si>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</si>
  <si>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</si>
  <si>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</si>
  <si>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</si>
  <si>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</si>
  <si>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</si>
  <si>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</si>
  <si>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</si>
  <si>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</si>
  <si>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</si>
  <si>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</si>
  <si>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</si>
  <si>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</si>
  <si>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</si>
  <si>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</si>
  <si>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</si>
  <si>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</si>
  <si>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</si>
  <si>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</si>
  <si>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</si>
  <si>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</si>
  <si>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</si>
  <si>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</si>
  <si>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</si>
  <si>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</si>
  <si>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</si>
  <si>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</si>
  <si>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</si>
  <si>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</si>
  <si>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</si>
  <si>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</si>
  <si>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</si>
  <si>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</si>
  <si>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</si>
  <si>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</si>
  <si>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</si>
  <si>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</si>
  <si>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</si>
  <si>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</si>
  <si>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</si>
  <si>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</si>
  <si>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</si>
  <si>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</si>
  <si>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</si>
  <si>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</si>
  <si>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</si>
  <si>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</si>
  <si>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</si>
  <si>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</si>
  <si>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</si>
  <si>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</si>
  <si>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</si>
  <si>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</si>
  <si>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</si>
  <si>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</si>
  <si>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</si>
  <si>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</si>
  <si>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</si>
  <si>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</si>
  <si>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</si>
  <si>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</si>
  <si>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</si>
  <si>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</si>
  <si>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</si>
  <si>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</si>
  <si>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</si>
  <si>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</si>
  <si>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</si>
  <si>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</si>
  <si>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</si>
  <si>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</si>
  <si>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</si>
  <si>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</si>
  <si>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</si>
  <si>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</si>
  <si>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</si>
  <si>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</si>
  <si>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</si>
  <si>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</si>
  <si>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</si>
  <si>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</si>
  <si>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</si>
  <si>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</si>
  <si>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</si>
  <si>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</si>
  <si>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</si>
  <si>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</si>
  <si>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</si>
  <si>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</si>
  <si>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</si>
  <si>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</si>
  <si>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</si>
  <si>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</si>
  <si>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</si>
  <si>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</si>
  <si>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</si>
  <si>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</si>
  <si>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</si>
  <si>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</si>
  <si>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</si>
  <si>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</si>
  <si>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</si>
  <si>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</si>
  <si>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</si>
  <si>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</si>
  <si>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</si>
  <si>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</si>
  <si>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</si>
  <si>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</si>
  <si>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</si>
  <si>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</si>
  <si>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</si>
  <si>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</si>
  <si>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</si>
  <si>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</si>
  <si>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</si>
  <si>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</si>
  <si>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</si>
  <si>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</si>
  <si>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</si>
  <si>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</si>
  <si>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</si>
  <si>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</si>
  <si>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</si>
  <si>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</si>
  <si>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</si>
  <si>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</si>
  <si>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</si>
  <si>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</si>
  <si>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</si>
  <si>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</si>
  <si>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</si>
  <si>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</si>
  <si>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</si>
  <si>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</si>
  <si>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</si>
  <si>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</si>
  <si>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</si>
  <si>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</si>
  <si>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</si>
  <si>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</si>
  <si>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</si>
  <si>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</si>
  <si>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</si>
  <si>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</si>
  <si>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</si>
  <si>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</si>
  <si>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</si>
  <si>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</si>
  <si>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</si>
  <si>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</si>
  <si>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</si>
  <si>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</si>
  <si>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</si>
  <si>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</si>
  <si>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</si>
  <si>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</si>
  <si>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</si>
  <si>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</si>
  <si>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</si>
  <si>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</si>
  <si>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</si>
  <si>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</si>
  <si>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</si>
  <si>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</si>
  <si>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</si>
  <si>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</si>
  <si>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</si>
  <si>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</si>
  <si>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</si>
  <si>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</si>
  <si>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</si>
  <si>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</si>
  <si>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</si>
  <si>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</si>
  <si>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</si>
  <si>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</si>
  <si>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</si>
  <si>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</si>
  <si>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</si>
  <si>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</si>
  <si>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</si>
  <si>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</si>
  <si>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</si>
  <si>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</si>
  <si>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</si>
  <si>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</si>
  <si>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</si>
  <si>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</si>
  <si>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</si>
  <si>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</si>
  <si>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</si>
  <si>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</si>
  <si>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</si>
  <si>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</si>
  <si>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</si>
  <si>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</si>
  <si>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</si>
  <si>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</si>
  <si>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</si>
  <si>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</si>
  <si>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</si>
  <si>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</si>
  <si>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</si>
  <si>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</si>
  <si>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</si>
  <si>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</si>
  <si>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</si>
  <si>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</si>
  <si>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</si>
  <si>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</si>
  <si>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</si>
  <si>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</si>
  <si>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</si>
  <si>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</si>
  <si>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</si>
  <si>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</si>
  <si>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</si>
  <si>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</si>
  <si>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</si>
  <si>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</si>
  <si>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</si>
  <si>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</si>
  <si>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</si>
  <si>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</si>
  <si>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</si>
  <si>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</si>
  <si>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</si>
  <si>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</si>
  <si>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</si>
  <si>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</si>
  <si>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</si>
  <si>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</si>
  <si>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</si>
  <si>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</si>
  <si>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</si>
  <si>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</si>
  <si>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</si>
  <si>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</si>
  <si>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</si>
  <si>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</si>
  <si>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</si>
  <si>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</si>
  <si>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</si>
  <si>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</si>
  <si>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</si>
  <si>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</si>
  <si>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</si>
  <si>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</si>
  <si>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</si>
  <si>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</si>
  <si>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</si>
  <si>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</si>
  <si>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</si>
  <si>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</si>
  <si>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</si>
  <si>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</si>
  <si>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</si>
  <si>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</si>
  <si>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</si>
  <si>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</si>
  <si>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</si>
  <si>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</si>
  <si>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</si>
  <si>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</si>
  <si>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</si>
  <si>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</si>
  <si>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</si>
  <si>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</si>
  <si>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</si>
  <si>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</si>
  <si>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</si>
  <si>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</si>
  <si>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</si>
  <si>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</si>
  <si>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</si>
  <si>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</si>
  <si>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</si>
  <si>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</si>
  <si>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</si>
  <si>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</si>
  <si>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</si>
  <si>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</si>
  <si>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</si>
  <si>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</si>
  <si>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</si>
  <si>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</si>
  <si>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</si>
  <si>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</si>
  <si>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</si>
  <si>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</si>
  <si>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</si>
  <si>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</si>
  <si>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</si>
  <si>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</si>
  <si>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</si>
  <si>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</si>
  <si>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</si>
  <si>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</si>
  <si>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</si>
  <si>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</si>
  <si>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</si>
  <si>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</si>
  <si>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</si>
  <si>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</si>
  <si>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</si>
  <si>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</si>
  <si>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</si>
  <si>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</si>
  <si>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</si>
  <si>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</si>
  <si>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</si>
  <si>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</si>
  <si>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</si>
  <si>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</si>
  <si>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</si>
  <si>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</si>
  <si>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</si>
  <si>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</si>
  <si>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</si>
  <si>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</si>
  <si>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</si>
  <si>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</si>
  <si>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</si>
  <si>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</si>
  <si>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</si>
  <si>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</si>
  <si>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</si>
  <si>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</si>
  <si>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</si>
  <si>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</si>
  <si>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</si>
  <si>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</si>
  <si>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</si>
  <si>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</si>
  <si>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</si>
  <si>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</si>
  <si>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</si>
  <si>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</si>
  <si>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</si>
  <si>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</si>
  <si>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</si>
  <si>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</si>
  <si>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</si>
  <si>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</si>
  <si>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</si>
  <si>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</si>
  <si>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</si>
  <si>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</si>
  <si>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</si>
  <si>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</si>
  <si>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</si>
  <si>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</si>
  <si>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</si>
  <si>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</si>
  <si>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</si>
  <si>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</si>
  <si>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</si>
  <si>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</si>
  <si>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</si>
  <si>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</si>
  <si>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</si>
  <si>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</si>
  <si>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</si>
  <si>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</si>
  <si>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</si>
  <si>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</si>
  <si>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</si>
  <si>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</si>
  <si>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</si>
  <si>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</si>
  <si>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</si>
  <si>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</si>
  <si>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</si>
  <si>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</si>
  <si>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</si>
  <si>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</si>
  <si>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</si>
  <si>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</si>
  <si>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</si>
  <si>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</si>
  <si>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</si>
  <si>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</si>
  <si>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</si>
  <si>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</si>
  <si>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</si>
  <si>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</si>
  <si>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</si>
  <si>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</si>
  <si>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</si>
  <si>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</si>
  <si>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</si>
  <si>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</si>
  <si>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</si>
  <si>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</si>
  <si>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</si>
  <si>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</si>
  <si>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</si>
  <si>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</si>
  <si>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</si>
  <si>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</si>
  <si>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</si>
  <si>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</si>
  <si>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</si>
  <si>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</si>
  <si>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</si>
  <si>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</si>
  <si>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</si>
  <si>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</si>
  <si>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</si>
  <si>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</si>
  <si>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</si>
  <si>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</si>
  <si>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</si>
  <si>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</si>
  <si>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</si>
  <si>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</si>
  <si>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</si>
  <si>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</si>
  <si>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</si>
  <si>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</si>
  <si>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</si>
  <si>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</si>
  <si>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</si>
  <si>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</si>
  <si>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</si>
  <si>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</si>
  <si>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</si>
  <si>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</si>
  <si>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</si>
  <si>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</si>
  <si>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</si>
  <si>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</si>
  <si>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</si>
  <si>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</si>
  <si>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</si>
  <si>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</si>
  <si>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</si>
  <si>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</si>
  <si>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</si>
  <si>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</si>
  <si>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</si>
  <si>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</si>
  <si>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</si>
  <si>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</si>
  <si>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</si>
  <si>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</si>
  <si>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</si>
  <si>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</si>
  <si>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</si>
  <si>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</si>
  <si>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</si>
  <si>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</si>
  <si>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</si>
  <si>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</si>
  <si>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</si>
  <si>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</si>
  <si>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</si>
  <si>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</si>
  <si>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</si>
  <si>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</si>
  <si>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</si>
  <si>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</si>
  <si>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</si>
  <si>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</si>
  <si>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</si>
  <si>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</si>
  <si>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</si>
  <si>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</si>
  <si>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</si>
  <si>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</si>
  <si>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</si>
  <si>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</si>
  <si>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</si>
  <si>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</si>
  <si>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</si>
  <si>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</si>
  <si>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</si>
  <si>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</si>
  <si>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</si>
  <si>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</si>
  <si>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</si>
  <si>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</si>
  <si>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</si>
  <si>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</si>
  <si>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</si>
  <si>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</si>
  <si>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</si>
  <si>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</si>
  <si>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</si>
  <si>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</si>
  <si>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</si>
  <si>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</si>
  <si>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</si>
  <si>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</si>
  <si>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</si>
  <si>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</si>
  <si>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</si>
  <si>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</si>
  <si>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</si>
  <si>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</si>
  <si>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</si>
  <si>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</si>
  <si>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</si>
  <si>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</si>
  <si>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</si>
  <si>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</si>
  <si>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</si>
  <si>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</si>
  <si>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</si>
  <si>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</si>
  <si>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</si>
  <si>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</si>
  <si>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</si>
  <si>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</si>
  <si>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</si>
  <si>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</si>
  <si>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</si>
  <si>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</si>
  <si>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</si>
  <si>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</si>
  <si>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</si>
  <si>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</si>
  <si>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</si>
  <si>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</si>
  <si>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</si>
  <si>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</si>
  <si>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</si>
  <si>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</si>
  <si>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</si>
  <si>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</si>
  <si>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</si>
  <si>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</si>
  <si>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</si>
  <si>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</si>
  <si>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</si>
  <si>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</si>
  <si>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</si>
  <si>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</si>
  <si>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</si>
  <si>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</si>
  <si>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</si>
  <si>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</si>
  <si>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</si>
  <si>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</si>
  <si>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</si>
  <si>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</si>
  <si>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</si>
  <si>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</si>
  <si>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</si>
  <si>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</si>
  <si>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</si>
  <si>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</si>
  <si>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</si>
  <si>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</si>
  <si>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</si>
  <si>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</si>
  <si>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</si>
  <si>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</si>
  <si>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</si>
  <si>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</si>
  <si>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</si>
  <si>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</si>
  <si>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</si>
  <si>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</si>
  <si>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</si>
  <si>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</si>
  <si>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</si>
  <si>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</si>
  <si>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</si>
  <si>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</si>
  <si>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</si>
  <si>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</si>
  <si>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</si>
  <si>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</si>
  <si>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</si>
  <si>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</si>
  <si>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</si>
  <si>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</si>
  <si>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</si>
  <si>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</si>
  <si>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</si>
  <si>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</si>
  <si>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</si>
  <si>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</si>
  <si>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</si>
  <si>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</si>
  <si>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</si>
  <si>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</si>
  <si>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</si>
  <si>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</si>
  <si>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</si>
  <si>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</si>
  <si>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</si>
  <si>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</si>
  <si>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</si>
  <si>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</si>
  <si>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</si>
  <si>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</si>
  <si>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</si>
  <si>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</si>
  <si>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</si>
  <si>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</si>
  <si>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</si>
  <si>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</si>
  <si>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</si>
  <si>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</si>
  <si>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</si>
  <si>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</si>
  <si>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</si>
  <si>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</si>
  <si>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</si>
  <si>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</si>
  <si>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</si>
  <si>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</si>
  <si>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</si>
  <si>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</si>
  <si>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</si>
  <si>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</si>
  <si>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</si>
  <si>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</si>
  <si>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</si>
  <si>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</si>
  <si>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</si>
  <si>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</si>
  <si>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</si>
  <si>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</si>
  <si>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</si>
  <si>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</si>
  <si>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</si>
  <si>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</si>
  <si>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</si>
  <si>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</si>
  <si>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</si>
  <si>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</si>
  <si>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</si>
  <si>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</si>
  <si>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</si>
  <si>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</si>
  <si>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</si>
  <si>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</si>
  <si>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</si>
  <si>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</si>
  <si>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</si>
  <si>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</si>
  <si>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</si>
  <si>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</si>
  <si>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</si>
  <si>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</si>
  <si>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</si>
  <si>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</si>
  <si>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</si>
  <si>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</si>
  <si>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</si>
  <si>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</si>
  <si>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</si>
  <si>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</si>
  <si>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</si>
  <si>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</si>
  <si>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</si>
  <si>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</si>
  <si>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Moore &amp; Simonin, PC</t>
  </si>
  <si>
    <t>Robert E. Moore, CPA</t>
  </si>
  <si>
    <t>3636 North Belt West</t>
  </si>
  <si>
    <t>Belleville</t>
  </si>
  <si>
    <t>IL</t>
  </si>
  <si>
    <t>618-233-5049</t>
  </si>
  <si>
    <t>618-233-1061</t>
  </si>
  <si>
    <t>066-005248</t>
  </si>
  <si>
    <t>mooresimonin@mrsaccountants.com</t>
  </si>
  <si>
    <t>Randolph</t>
  </si>
  <si>
    <t>815 Locust</t>
  </si>
  <si>
    <t>Red Bud</t>
  </si>
  <si>
    <t>Fire &amp; Safety</t>
  </si>
  <si>
    <t>O&amp;M-Support Service-Purchase Service</t>
  </si>
  <si>
    <t>20-2540-300</t>
  </si>
  <si>
    <t>City of Red Bud</t>
  </si>
  <si>
    <t>TRANS-Support Service-Purchase Service</t>
  </si>
  <si>
    <t>40-2550-300</t>
  </si>
  <si>
    <t>Durham School Service</t>
  </si>
  <si>
    <t>PSIC</t>
  </si>
  <si>
    <t>Illinois Funds</t>
  </si>
  <si>
    <t>Perandoe Special Education District</t>
  </si>
  <si>
    <t>Page 11, Line 106:  Technology fees - $32,275</t>
  </si>
  <si>
    <t>Page 12, Line 171:  Library Grant - $750</t>
  </si>
  <si>
    <t>Page 11, Line 106:  E Rate - $66,324</t>
  </si>
  <si>
    <t>Red Bud CUSD 1332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</si>
</sst>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P35" sqref="P35:R3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45079132026</v>
      </c>
      <c r="B13" s="2005"/>
      <c r="C13" s="2005"/>
      <c r="D13" s="2005"/>
      <c r="E13" s="2005"/>
      <c r="F13" s="2005"/>
      <c r="G13" s="2005"/>
      <c r="H13" s="2006"/>
      <c r="I13" s="31"/>
      <c r="J13" s="30"/>
      <c r="K13" s="28"/>
      <c r="L13" s="30"/>
      <c r="M13" s="30"/>
      <c r="N13" s="30"/>
      <c r="O13" s="30"/>
      <c r="P13" s="30"/>
      <c r="Q13" s="30"/>
      <c r="R13" s="30"/>
      <c r="S13" s="30"/>
      <c r="T13" s="2009" t="s">
        <v>2078</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2087</v>
      </c>
      <c r="B15" s="2007"/>
      <c r="C15" s="2007"/>
      <c r="D15" s="2007"/>
      <c r="E15" s="2007"/>
      <c r="F15" s="2007"/>
      <c r="G15" s="2007"/>
      <c r="H15" s="2008"/>
      <c r="T15" s="1970" t="s">
        <v>2079</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2103</v>
      </c>
      <c r="B17" s="2032"/>
      <c r="C17" s="2032"/>
      <c r="D17" s="2032"/>
      <c r="E17" s="2032"/>
      <c r="F17" s="2032"/>
      <c r="G17" s="2032"/>
      <c r="H17" s="2033"/>
      <c r="T17" s="2019" t="s">
        <v>2080</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2088</v>
      </c>
      <c r="B19" s="2003"/>
      <c r="C19" s="2003"/>
      <c r="D19" s="2003"/>
      <c r="E19" s="2003"/>
      <c r="F19" s="2003"/>
      <c r="G19" s="2003"/>
      <c r="H19" s="2001"/>
      <c r="I19" s="30"/>
      <c r="J19" s="99"/>
      <c r="K19" s="40"/>
      <c r="L19" s="38"/>
      <c r="M19" s="112" t="s">
        <v>333</v>
      </c>
      <c r="P19" s="27"/>
      <c r="Q19" s="27"/>
      <c r="R19" s="27"/>
      <c r="S19" s="31"/>
      <c r="T19" s="2002" t="s">
        <v>2081</v>
      </c>
      <c r="U19" s="2000"/>
      <c r="V19" s="2000"/>
      <c r="W19" s="2001"/>
      <c r="X19" s="2017" t="s">
        <v>2082</v>
      </c>
      <c r="Y19" s="2018"/>
      <c r="Z19" s="2015">
        <v>62226</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2089</v>
      </c>
      <c r="B21" s="2000"/>
      <c r="C21" s="2000"/>
      <c r="D21" s="2000"/>
      <c r="E21" s="2000"/>
      <c r="F21" s="2000"/>
      <c r="G21" s="2000"/>
      <c r="H21" s="2001"/>
      <c r="I21" s="2025" t="s">
        <v>699</v>
      </c>
      <c r="J21" s="1988"/>
      <c r="K21" s="1988"/>
      <c r="L21" s="1988"/>
      <c r="M21" s="1988"/>
      <c r="N21" s="1988"/>
      <c r="O21" s="1988"/>
      <c r="P21" s="1988"/>
      <c r="Q21" s="1988"/>
      <c r="R21" s="1988"/>
      <c r="S21" s="1989"/>
      <c r="T21" s="1967" t="s">
        <v>2083</v>
      </c>
      <c r="U21" s="1968"/>
      <c r="V21" s="1968"/>
      <c r="W21" s="1968"/>
      <c r="X21" s="1981" t="s">
        <v>2084</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2085</v>
      </c>
      <c r="U23" s="1963"/>
      <c r="V23" s="1963"/>
      <c r="W23" s="1963"/>
      <c r="X23" s="1978">
        <v>43434</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62278</v>
      </c>
      <c r="B25" s="2000"/>
      <c r="C25" s="2000"/>
      <c r="D25" s="2000"/>
      <c r="E25" s="2000"/>
      <c r="F25" s="2000"/>
      <c r="G25" s="2000"/>
      <c r="H25" s="2001"/>
      <c r="I25" s="113"/>
      <c r="J25" s="2066"/>
      <c r="K25" s="2066"/>
      <c r="L25" s="2066"/>
      <c r="M25" s="2066"/>
      <c r="N25" s="2066"/>
      <c r="O25" s="2066"/>
      <c r="P25" s="2066"/>
      <c r="Q25" s="2066"/>
      <c r="R25" s="2066"/>
      <c r="S25" s="2067"/>
      <c r="T25" s="1959" t="s">
        <v>2086</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c r="B42" s="2049"/>
      <c r="C42" s="2050"/>
      <c r="D42" s="2063"/>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2078</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198007177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54">
        <f>ROUND(D10+F10+H10,5)</f>
        <v>2.5399999999999999E-2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11613517</v>
      </c>
      <c r="E16" s="356"/>
      <c r="F16" s="1755">
        <f>SUM('Acct Summary 7-8'!C17,'Acct Summary 7-8'!D17,'Acct Summary 7-8'!F17)</f>
        <v>9702943</v>
      </c>
      <c r="G16" s="356"/>
      <c r="H16" s="1755">
        <f>SUM(D16-F16)</f>
        <v>1910574</v>
      </c>
      <c r="I16" s="222"/>
      <c r="J16" s="1755">
        <f>SUM('Acct Summary 7-8'!C81,'Acct Summary 7-8'!D81,'Acct Summary 7-8'!F81,'Acct Summary 7-8'!I81)</f>
        <v>14418731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27324990.426000003</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3071000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Red Bud CUSD 1332</v>
      </c>
      <c r="E7" s="391"/>
      <c r="G7" s="252"/>
      <c r="H7" s="387"/>
      <c r="I7" s="387"/>
      <c r="J7" s="387"/>
      <c r="K7" s="387"/>
      <c r="L7" s="329"/>
      <c r="M7" s="329"/>
      <c r="N7" s="329"/>
      <c r="O7" s="329"/>
      <c r="P7" s="329"/>
    </row>
    <row r="8" spans="1:18" ht="12.75" x14ac:dyDescent="0.2">
      <c r="A8" s="329"/>
      <c r="B8" s="329"/>
      <c r="C8" s="389" t="s">
        <v>1187</v>
      </c>
      <c r="D8" s="392">
        <f>COVER!A13</f>
        <v>45079132026</v>
      </c>
      <c r="E8" s="393"/>
      <c r="G8" s="329"/>
      <c r="H8" s="329"/>
      <c r="I8" s="329"/>
      <c r="J8" s="329"/>
      <c r="K8" s="329"/>
      <c r="L8" s="329"/>
      <c r="M8" s="329"/>
      <c r="N8" s="329"/>
      <c r="O8" s="329"/>
      <c r="P8" s="329"/>
    </row>
    <row r="9" spans="1:18" ht="12.75" x14ac:dyDescent="0.2">
      <c r="A9" s="329"/>
      <c r="B9" s="329"/>
      <c r="C9" s="389" t="s">
        <v>737</v>
      </c>
      <c r="D9" s="394" t="str">
        <f>COVER!A15</f>
        <v>Randolph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14418731</v>
      </c>
      <c r="I12" s="404"/>
      <c r="J12" s="404"/>
      <c r="K12" s="405">
        <f>TRUNC((H12/H13*100000),5)/100000</f>
        <v>1.2415473279</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11613517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9702943</v>
      </c>
      <c r="I17" s="404"/>
      <c r="J17" s="416"/>
      <c r="K17" s="405">
        <f>TRUNC((H17/H18*100000),5)/100000</f>
        <v>0.83548704490000003</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11613517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11024576</v>
      </c>
      <c r="I24" s="422"/>
      <c r="J24" s="422"/>
      <c r="K24" s="423">
        <f>TRUNC(((H24/H25*100000)/100000),2)</f>
        <v>409.03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26952.619439999999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4274974.9514300004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3071000</v>
      </c>
      <c r="I32" s="420"/>
      <c r="J32" s="420"/>
      <c r="K32" s="423">
        <f>TRUNC(100-((((H32/H33*100))*100)/100),2)</f>
        <v>88.76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27324990.426000003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8" sqref="A8"/>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1899612</v>
      </c>
      <c r="D4" s="466">
        <v>4498575</v>
      </c>
      <c r="E4" s="466">
        <v>313476</v>
      </c>
      <c r="F4" s="466">
        <v>649878</v>
      </c>
      <c r="G4" s="466">
        <v>158871</v>
      </c>
      <c r="H4" s="466">
        <v>369568</v>
      </c>
      <c r="I4" s="466">
        <v>1182701</v>
      </c>
      <c r="J4" s="467">
        <v>54486</v>
      </c>
      <c r="K4" s="466">
        <v>129192</v>
      </c>
      <c r="L4" s="466">
        <v>559471</v>
      </c>
      <c r="M4" s="468"/>
      <c r="N4" s="469"/>
    </row>
    <row r="5" spans="1:14" x14ac:dyDescent="0.2">
      <c r="A5" s="463" t="s">
        <v>1049</v>
      </c>
      <c r="B5" s="470">
        <v>120</v>
      </c>
      <c r="C5" s="465">
        <v>2510431</v>
      </c>
      <c r="D5" s="466">
        <v>283379</v>
      </c>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v>3052763</v>
      </c>
      <c r="E7" s="467"/>
      <c r="F7" s="467"/>
      <c r="G7" s="467"/>
      <c r="H7" s="467"/>
      <c r="I7" s="467">
        <v>343575</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4410043</v>
      </c>
      <c r="D13" s="1759">
        <f t="shared" ref="D13:L13" si="0">SUM(D4:D12)</f>
        <v>7834717</v>
      </c>
      <c r="E13" s="1759">
        <f t="shared" si="0"/>
        <v>313476</v>
      </c>
      <c r="F13" s="1759">
        <f t="shared" si="0"/>
        <v>649878</v>
      </c>
      <c r="G13" s="1759">
        <f t="shared" si="0"/>
        <v>158871</v>
      </c>
      <c r="H13" s="1759">
        <f t="shared" si="0"/>
        <v>369568</v>
      </c>
      <c r="I13" s="1759">
        <f t="shared" si="0"/>
        <v>1526276</v>
      </c>
      <c r="J13" s="1759">
        <f t="shared" si="0"/>
        <v>54486</v>
      </c>
      <c r="K13" s="1759">
        <f t="shared" si="0"/>
        <v>129192</v>
      </c>
      <c r="L13" s="1759">
        <f t="shared" si="0"/>
        <v>559471</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509955</v>
      </c>
      <c r="N16" s="484"/>
    </row>
    <row r="17" spans="1:14" s="485" customFormat="1" ht="12.75" customHeight="1" x14ac:dyDescent="0.2">
      <c r="A17" s="482" t="s">
        <v>1470</v>
      </c>
      <c r="B17" s="483">
        <v>230</v>
      </c>
      <c r="C17" s="477"/>
      <c r="D17" s="477"/>
      <c r="E17" s="477"/>
      <c r="F17" s="477"/>
      <c r="G17" s="477"/>
      <c r="H17" s="477"/>
      <c r="I17" s="477"/>
      <c r="J17" s="477"/>
      <c r="K17" s="477"/>
      <c r="L17" s="477"/>
      <c r="M17" s="467">
        <v>24662548</v>
      </c>
      <c r="N17" s="484"/>
    </row>
    <row r="18" spans="1:14" s="485" customFormat="1" ht="12.75" customHeight="1" x14ac:dyDescent="0.2">
      <c r="A18" s="482" t="s">
        <v>1471</v>
      </c>
      <c r="B18" s="483">
        <v>240</v>
      </c>
      <c r="C18" s="477"/>
      <c r="D18" s="477"/>
      <c r="E18" s="477"/>
      <c r="F18" s="477"/>
      <c r="G18" s="477"/>
      <c r="H18" s="477"/>
      <c r="I18" s="477"/>
      <c r="J18" s="477"/>
      <c r="K18" s="477"/>
      <c r="L18" s="477"/>
      <c r="M18" s="467">
        <v>1339518</v>
      </c>
      <c r="N18" s="484"/>
    </row>
    <row r="19" spans="1:14" s="485" customFormat="1" ht="12.75" customHeight="1" x14ac:dyDescent="0.2">
      <c r="A19" s="482" t="s">
        <v>1472</v>
      </c>
      <c r="B19" s="483">
        <v>250</v>
      </c>
      <c r="C19" s="477"/>
      <c r="D19" s="477"/>
      <c r="E19" s="477"/>
      <c r="F19" s="477"/>
      <c r="G19" s="477"/>
      <c r="H19" s="477"/>
      <c r="I19" s="477"/>
      <c r="J19" s="477"/>
      <c r="K19" s="477"/>
      <c r="L19" s="477"/>
      <c r="M19" s="467">
        <v>1232656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3071000</v>
      </c>
    </row>
    <row r="23" spans="1:14" ht="13.5" customHeight="1" thickBot="1" x14ac:dyDescent="0.25">
      <c r="A23" s="1758" t="s">
        <v>664</v>
      </c>
      <c r="B23" s="1763"/>
      <c r="C23" s="468"/>
      <c r="D23" s="468"/>
      <c r="E23" s="468"/>
      <c r="F23" s="468"/>
      <c r="G23" s="468"/>
      <c r="H23" s="468"/>
      <c r="I23" s="468"/>
      <c r="J23" s="468"/>
      <c r="K23" s="468"/>
      <c r="L23" s="468"/>
      <c r="M23" s="1710">
        <f>SUM(M15:M22)</f>
        <v>27744677</v>
      </c>
      <c r="N23" s="1710">
        <f>SUM(N21:N22)</f>
        <v>3071000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v>343575</v>
      </c>
      <c r="F25" s="478"/>
      <c r="G25" s="478"/>
      <c r="H25" s="479">
        <v>3052763</v>
      </c>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v>2183</v>
      </c>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196659</v>
      </c>
      <c r="M33" s="468"/>
      <c r="N33" s="469"/>
    </row>
    <row r="34" spans="1:14" ht="13.5" customHeight="1" thickBot="1" x14ac:dyDescent="0.25">
      <c r="A34" s="1760" t="s">
        <v>675</v>
      </c>
      <c r="B34" s="1761"/>
      <c r="C34" s="1762">
        <f>SUM(C25:C33)</f>
        <v>0</v>
      </c>
      <c r="D34" s="1762">
        <f t="shared" ref="D34:K34" si="1">SUM(D25:D33)</f>
        <v>2183</v>
      </c>
      <c r="E34" s="1762">
        <f t="shared" si="1"/>
        <v>343575</v>
      </c>
      <c r="F34" s="1762">
        <f t="shared" si="1"/>
        <v>0</v>
      </c>
      <c r="G34" s="1762">
        <f t="shared" si="1"/>
        <v>0</v>
      </c>
      <c r="H34" s="1762">
        <f t="shared" si="1"/>
        <v>3052763</v>
      </c>
      <c r="I34" s="1762">
        <f t="shared" si="1"/>
        <v>0</v>
      </c>
      <c r="J34" s="1762">
        <f t="shared" si="1"/>
        <v>0</v>
      </c>
      <c r="K34" s="1762">
        <f t="shared" si="1"/>
        <v>0</v>
      </c>
      <c r="L34" s="1743">
        <f>SUM(L33)</f>
        <v>196659</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3071000</v>
      </c>
    </row>
    <row r="37" spans="1:14" ht="13.5" thickBot="1" x14ac:dyDescent="0.25">
      <c r="A37" s="1758" t="s">
        <v>674</v>
      </c>
      <c r="B37" s="1763"/>
      <c r="C37" s="477"/>
      <c r="D37" s="477"/>
      <c r="E37" s="477"/>
      <c r="F37" s="477"/>
      <c r="G37" s="477"/>
      <c r="H37" s="477"/>
      <c r="I37" s="477"/>
      <c r="J37" s="477"/>
      <c r="K37" s="477"/>
      <c r="L37" s="480"/>
      <c r="M37" s="468"/>
      <c r="N37" s="1710">
        <f>SUM(N36:N36)</f>
        <v>3071000</v>
      </c>
    </row>
    <row r="38" spans="1:14" s="329" customFormat="1" ht="13.5" customHeight="1" thickTop="1" x14ac:dyDescent="0.2">
      <c r="A38" s="496" t="s">
        <v>440</v>
      </c>
      <c r="B38" s="483">
        <v>714</v>
      </c>
      <c r="C38" s="466"/>
      <c r="D38" s="466">
        <v>123974</v>
      </c>
      <c r="E38" s="466"/>
      <c r="F38" s="466"/>
      <c r="G38" s="466">
        <v>15638</v>
      </c>
      <c r="H38" s="466"/>
      <c r="I38" s="466"/>
      <c r="J38" s="467"/>
      <c r="K38" s="466"/>
      <c r="L38" s="481">
        <v>362812</v>
      </c>
      <c r="M38" s="497"/>
      <c r="N38" s="497"/>
    </row>
    <row r="39" spans="1:14" s="329" customFormat="1" ht="13.5" customHeight="1" x14ac:dyDescent="0.2">
      <c r="A39" s="496" t="s">
        <v>360</v>
      </c>
      <c r="B39" s="483">
        <v>730</v>
      </c>
      <c r="C39" s="466">
        <v>4410043</v>
      </c>
      <c r="D39" s="466">
        <v>7708560</v>
      </c>
      <c r="E39" s="466">
        <v>-30099</v>
      </c>
      <c r="F39" s="466">
        <v>649878</v>
      </c>
      <c r="G39" s="466">
        <v>143233</v>
      </c>
      <c r="H39" s="466">
        <v>-2683195</v>
      </c>
      <c r="I39" s="466">
        <v>1526276</v>
      </c>
      <c r="J39" s="467">
        <v>54486</v>
      </c>
      <c r="K39" s="466">
        <v>129192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27744677</v>
      </c>
      <c r="N40" s="497"/>
    </row>
    <row r="41" spans="1:14" ht="13.5" customHeight="1" thickBot="1" x14ac:dyDescent="0.25">
      <c r="A41" s="1758" t="s">
        <v>676</v>
      </c>
      <c r="B41" s="1728"/>
      <c r="C41" s="1710">
        <f>(SUM(C34,C37,C38,C39))</f>
        <v>4410043</v>
      </c>
      <c r="D41" s="1710">
        <f t="shared" ref="D41:L41" si="2">SUM(D34,D37,D38:D39)</f>
        <v>7834717</v>
      </c>
      <c r="E41" s="1710">
        <f t="shared" si="2"/>
        <v>313476</v>
      </c>
      <c r="F41" s="1710">
        <f t="shared" si="2"/>
        <v>649878</v>
      </c>
      <c r="G41" s="1710">
        <f t="shared" si="2"/>
        <v>158871</v>
      </c>
      <c r="H41" s="1710">
        <f t="shared" si="2"/>
        <v>369568</v>
      </c>
      <c r="I41" s="1710">
        <f t="shared" si="2"/>
        <v>1526276</v>
      </c>
      <c r="J41" s="1710">
        <f t="shared" si="2"/>
        <v>54486</v>
      </c>
      <c r="K41" s="1710">
        <f t="shared" si="2"/>
        <v>129192</v>
      </c>
      <c r="L41" s="1710">
        <f t="shared" si="2"/>
        <v>559471</v>
      </c>
      <c r="M41" s="1710">
        <f>SUM(M40)</f>
        <v>27744677</v>
      </c>
      <c r="N41" s="1710">
        <f>SUM(N37)</f>
        <v>3071000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9" activePane="bottomLeft" state="frozenSplit"/>
      <selection activeCell="A8" sqref="A8"/>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6499798</v>
      </c>
      <c r="D4" s="1764">
        <f>'Revenues 9-14'!D109</f>
        <v>2065625</v>
      </c>
      <c r="E4" s="1764">
        <f>'Revenues 9-14'!E109</f>
        <v>634864</v>
      </c>
      <c r="F4" s="1764">
        <f>'Revenues 9-14'!F109</f>
        <v>714395</v>
      </c>
      <c r="G4" s="1764">
        <f>'Revenues 9-14'!G109</f>
        <v>317491</v>
      </c>
      <c r="H4" s="1764">
        <f>'Revenues 9-14'!H109</f>
        <v>646629</v>
      </c>
      <c r="I4" s="1764">
        <f>'Revenues 9-14'!I109</f>
        <v>125843</v>
      </c>
      <c r="J4" s="1764">
        <f>'Revenues 9-14'!J109</f>
        <v>471613</v>
      </c>
      <c r="K4" s="1764">
        <f>'Revenues 9-14'!K109</f>
        <v>119069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1028590</v>
      </c>
      <c r="D6" s="1765">
        <f>'Revenues 9-14'!D173</f>
        <v>0</v>
      </c>
      <c r="E6" s="1765">
        <f>'Revenues 9-14'!E173</f>
        <v>0</v>
      </c>
      <c r="F6" s="1765">
        <f>'Revenues 9-14'!F173</f>
        <v>561210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618056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8146444</v>
      </c>
      <c r="D8" s="1710">
        <f t="shared" ref="D8:K8" si="0">SUM(D4:D7)</f>
        <v>2065625</v>
      </c>
      <c r="E8" s="1710">
        <f t="shared" si="0"/>
        <v>634864</v>
      </c>
      <c r="F8" s="1710">
        <f t="shared" si="0"/>
        <v>1275605</v>
      </c>
      <c r="G8" s="1710">
        <f t="shared" si="0"/>
        <v>317491</v>
      </c>
      <c r="H8" s="1710">
        <f t="shared" si="0"/>
        <v>646629</v>
      </c>
      <c r="I8" s="1710">
        <f t="shared" si="0"/>
        <v>125843</v>
      </c>
      <c r="J8" s="1710">
        <f t="shared" si="0"/>
        <v>471613</v>
      </c>
      <c r="K8" s="1710">
        <f t="shared" si="0"/>
        <v>119069</v>
      </c>
      <c r="L8" s="347"/>
    </row>
    <row r="9" spans="1:13" ht="15.75" thickTop="1" x14ac:dyDescent="0.2">
      <c r="A9" s="514" t="s">
        <v>1752</v>
      </c>
      <c r="B9" s="515">
        <v>3998</v>
      </c>
      <c r="C9" s="481">
        <v>3683086</v>
      </c>
      <c r="D9" s="516"/>
      <c r="E9" s="481"/>
      <c r="F9" s="481"/>
      <c r="G9" s="517"/>
      <c r="H9" s="481"/>
      <c r="I9" s="509" t="s">
        <v>1231</v>
      </c>
      <c r="J9" s="478"/>
      <c r="K9" s="481"/>
      <c r="L9" s="347"/>
    </row>
    <row r="10" spans="1:13" s="519" customFormat="1" ht="13.5" thickBot="1" x14ac:dyDescent="0.25">
      <c r="A10" s="1758" t="s">
        <v>1235</v>
      </c>
      <c r="B10" s="1731"/>
      <c r="C10" s="1710">
        <f>SUM(C8:C9)</f>
        <v>11829530</v>
      </c>
      <c r="D10" s="1710">
        <f t="shared" ref="D10:K10" si="1">SUM(D8:D9)</f>
        <v>2065625</v>
      </c>
      <c r="E10" s="1710">
        <f t="shared" si="1"/>
        <v>634864</v>
      </c>
      <c r="F10" s="1710">
        <f t="shared" si="1"/>
        <v>1275605</v>
      </c>
      <c r="G10" s="1710">
        <f t="shared" si="1"/>
        <v>317491</v>
      </c>
      <c r="H10" s="1710">
        <f t="shared" si="1"/>
        <v>646629</v>
      </c>
      <c r="I10" s="1710">
        <f t="shared" si="1"/>
        <v>125843</v>
      </c>
      <c r="J10" s="1710">
        <f t="shared" si="1"/>
        <v>471613</v>
      </c>
      <c r="K10" s="1710">
        <f t="shared" si="1"/>
        <v>119069</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4996155</v>
      </c>
      <c r="D12" s="520" t="s">
        <v>1231</v>
      </c>
      <c r="E12" s="468" t="s">
        <v>1231</v>
      </c>
      <c r="F12" s="468" t="s">
        <v>1231</v>
      </c>
      <c r="G12" s="1764">
        <f>'Expenditures 15-22'!K229</f>
        <v>110656</v>
      </c>
      <c r="H12" s="521"/>
      <c r="I12" s="468" t="s">
        <v>1231</v>
      </c>
      <c r="J12" s="468" t="s">
        <v>1231</v>
      </c>
      <c r="K12" s="521" t="s">
        <v>1231</v>
      </c>
      <c r="L12" s="347"/>
    </row>
    <row r="13" spans="1:13" ht="15.75" customHeight="1" x14ac:dyDescent="0.2">
      <c r="A13" s="1598" t="s">
        <v>477</v>
      </c>
      <c r="B13" s="1600">
        <v>2000</v>
      </c>
      <c r="C13" s="1765">
        <f>'Expenditures 15-22'!K74</f>
        <v>1977044</v>
      </c>
      <c r="D13" s="1765">
        <f>'Expenditures 15-22'!K129</f>
        <v>1148837</v>
      </c>
      <c r="E13" s="469" t="s">
        <v>1231</v>
      </c>
      <c r="F13" s="1765">
        <f>'Expenditures 15-22'!K184</f>
        <v>932442</v>
      </c>
      <c r="G13" s="1765">
        <f>'Expenditures 15-22'!K279</f>
        <v>203514</v>
      </c>
      <c r="H13" s="1765">
        <f>'Expenditures 15-22'!K303</f>
        <v>377316</v>
      </c>
      <c r="I13" s="468" t="s">
        <v>1231</v>
      </c>
      <c r="J13" s="1765">
        <f>'Expenditures 15-22'!K330</f>
        <v>450129</v>
      </c>
      <c r="K13" s="1769">
        <f>'Expenditures 15-22'!K352</f>
        <v>1000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648465</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611060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7621664</v>
      </c>
      <c r="D17" s="1710">
        <f t="shared" si="2"/>
        <v>1148837</v>
      </c>
      <c r="E17" s="1710">
        <f t="shared" si="2"/>
        <v>611060</v>
      </c>
      <c r="F17" s="1710">
        <f t="shared" si="2"/>
        <v>932442</v>
      </c>
      <c r="G17" s="1710">
        <f t="shared" si="2"/>
        <v>314170</v>
      </c>
      <c r="H17" s="1710">
        <f t="shared" si="2"/>
        <v>377316</v>
      </c>
      <c r="I17" s="468"/>
      <c r="J17" s="1710">
        <f>SUM(J12:J16)</f>
        <v>450129</v>
      </c>
      <c r="K17" s="1710">
        <f>SUM(K12:K16)</f>
        <v>1000</v>
      </c>
      <c r="L17" s="347"/>
    </row>
    <row r="18" spans="1:12" ht="15" customHeight="1" thickTop="1" x14ac:dyDescent="0.2">
      <c r="A18" s="1766" t="s">
        <v>1753</v>
      </c>
      <c r="B18" s="1767">
        <v>4180</v>
      </c>
      <c r="C18" s="1764">
        <f t="shared" ref="C18:H18" si="3">C9</f>
        <v>3683086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11304750</v>
      </c>
      <c r="D19" s="1710">
        <f t="shared" si="4"/>
        <v>1148837</v>
      </c>
      <c r="E19" s="1710">
        <f t="shared" si="4"/>
        <v>611060</v>
      </c>
      <c r="F19" s="1710">
        <f t="shared" si="4"/>
        <v>932442</v>
      </c>
      <c r="G19" s="1710">
        <f t="shared" si="4"/>
        <v>314170</v>
      </c>
      <c r="H19" s="1710">
        <f t="shared" si="4"/>
        <v>377316</v>
      </c>
      <c r="I19" s="468"/>
      <c r="J19" s="1710">
        <f>SUM(J17:J18)</f>
        <v>450129</v>
      </c>
      <c r="K19" s="1710">
        <f>SUM(K17:K18)</f>
        <v>1000</v>
      </c>
      <c r="L19" s="347"/>
    </row>
    <row r="20" spans="1:12" ht="16.5" thickTop="1" thickBot="1" x14ac:dyDescent="0.25">
      <c r="A20" s="2144" t="s">
        <v>1754</v>
      </c>
      <c r="B20" s="2145"/>
      <c r="C20" s="1768">
        <f>C8-C17</f>
        <v>524780</v>
      </c>
      <c r="D20" s="1768">
        <f t="shared" ref="D20:K20" si="5">D8-D17</f>
        <v>916788</v>
      </c>
      <c r="E20" s="1768">
        <f t="shared" si="5"/>
        <v>23804</v>
      </c>
      <c r="F20" s="1768">
        <f t="shared" si="5"/>
        <v>343163</v>
      </c>
      <c r="G20" s="1768">
        <f t="shared" si="5"/>
        <v>3321</v>
      </c>
      <c r="H20" s="1768">
        <f t="shared" si="5"/>
        <v>269313</v>
      </c>
      <c r="I20" s="1768">
        <f t="shared" si="5"/>
        <v>125843</v>
      </c>
      <c r="J20" s="1768">
        <f t="shared" si="5"/>
        <v>21484</v>
      </c>
      <c r="K20" s="1768">
        <f t="shared" si="5"/>
        <v>118069</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524780</v>
      </c>
      <c r="D78" s="1724">
        <f t="shared" si="9"/>
        <v>916788</v>
      </c>
      <c r="E78" s="1724">
        <f t="shared" si="9"/>
        <v>23804</v>
      </c>
      <c r="F78" s="1724">
        <f t="shared" si="9"/>
        <v>343163</v>
      </c>
      <c r="G78" s="1724">
        <f t="shared" si="9"/>
        <v>3321</v>
      </c>
      <c r="H78" s="1724">
        <f t="shared" si="9"/>
        <v>269313</v>
      </c>
      <c r="I78" s="1724">
        <f t="shared" si="9"/>
        <v>125843</v>
      </c>
      <c r="J78" s="1724">
        <f t="shared" si="9"/>
        <v>21484</v>
      </c>
      <c r="K78" s="1724">
        <f t="shared" si="9"/>
        <v>118069</v>
      </c>
      <c r="L78" s="533"/>
    </row>
    <row r="79" spans="1:12" ht="13.5" thickTop="1" x14ac:dyDescent="0.2">
      <c r="A79" s="1516" t="s">
        <v>2071</v>
      </c>
      <c r="B79" s="534"/>
      <c r="C79" s="478">
        <v>3885263</v>
      </c>
      <c r="D79" s="535">
        <v>6915746</v>
      </c>
      <c r="E79" s="535">
        <v>-53903</v>
      </c>
      <c r="F79" s="535">
        <v>306715</v>
      </c>
      <c r="G79" s="535">
        <v>155550</v>
      </c>
      <c r="H79" s="535">
        <v>-2952508</v>
      </c>
      <c r="I79" s="535">
        <v>1400433</v>
      </c>
      <c r="J79" s="535">
        <v>33002</v>
      </c>
      <c r="K79" s="535">
        <v>11123</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4410043</v>
      </c>
      <c r="D81" s="1710">
        <f>SUM(D78:D80)</f>
        <v>7832534</v>
      </c>
      <c r="E81" s="1710">
        <f t="shared" ref="E81:K81" si="10">SUM(E78:E80)</f>
        <v>-30099</v>
      </c>
      <c r="F81" s="1710">
        <f t="shared" si="10"/>
        <v>649878</v>
      </c>
      <c r="G81" s="1710">
        <f t="shared" si="10"/>
        <v>158871</v>
      </c>
      <c r="H81" s="1710">
        <f t="shared" si="10"/>
        <v>-2683195</v>
      </c>
      <c r="I81" s="1710">
        <f t="shared" si="10"/>
        <v>1526276</v>
      </c>
      <c r="J81" s="1710">
        <f t="shared" si="10"/>
        <v>54486</v>
      </c>
      <c r="K81" s="1710">
        <f t="shared" si="10"/>
        <v>129192</v>
      </c>
      <c r="L81" s="347"/>
    </row>
    <row r="82" spans="1:12" ht="0.75" customHeight="1" thickTop="1" thickBot="1" x14ac:dyDescent="0.25">
      <c r="A82" s="536" t="s">
        <v>361</v>
      </c>
      <c r="B82" s="537"/>
      <c r="C82" s="538">
        <f>(C81-C79)</f>
        <v>524780</v>
      </c>
      <c r="D82" s="538">
        <f t="shared" ref="D82:K82" si="11">(D81-D79)</f>
        <v>916788</v>
      </c>
      <c r="E82" s="538">
        <f t="shared" si="11"/>
        <v>23804</v>
      </c>
      <c r="F82" s="538">
        <f t="shared" si="11"/>
        <v>343163</v>
      </c>
      <c r="G82" s="538">
        <f t="shared" si="11"/>
        <v>3321</v>
      </c>
      <c r="H82" s="538">
        <f t="shared" si="11"/>
        <v>269313</v>
      </c>
      <c r="I82" s="538">
        <f t="shared" si="11"/>
        <v>125843</v>
      </c>
      <c r="J82" s="538">
        <f t="shared" si="11"/>
        <v>21484</v>
      </c>
      <c r="K82" s="538">
        <f t="shared" si="11"/>
        <v>118069</v>
      </c>
    </row>
    <row r="83" spans="1:12" ht="14.25" hidden="1" thickTop="1" thickBot="1" x14ac:dyDescent="0.25">
      <c r="A83" s="539" t="s">
        <v>362</v>
      </c>
      <c r="B83" s="464"/>
      <c r="C83" s="540">
        <f>C82/C81</f>
        <v>0.1189965721422671</v>
      </c>
      <c r="D83" s="540">
        <f t="shared" ref="D83:K83" si="12">D82/D81</f>
        <v>0.11704870990665345</v>
      </c>
      <c r="E83" s="540">
        <f t="shared" si="12"/>
        <v>-0.79085683909764448</v>
      </c>
      <c r="F83" s="540">
        <f t="shared" si="12"/>
        <v>0.52804218637959743</v>
      </c>
      <c r="G83" s="540">
        <f t="shared" si="12"/>
        <v>2.0903752100760994E-2</v>
      </c>
      <c r="H83" s="540">
        <f t="shared" si="12"/>
        <v>-0.10037026753553134</v>
      </c>
      <c r="I83" s="540">
        <f t="shared" si="12"/>
        <v>8.2451011481540687E-2</v>
      </c>
      <c r="J83" s="540">
        <f t="shared" si="12"/>
        <v>0.39430312373820797</v>
      </c>
      <c r="K83" s="540">
        <f t="shared" si="12"/>
        <v>0.91390333766796705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8" sqref="A8"/>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4350947</v>
      </c>
      <c r="D5" s="481">
        <v>1182540</v>
      </c>
      <c r="E5" s="466">
        <v>632661</v>
      </c>
      <c r="F5" s="548">
        <v>473019</v>
      </c>
      <c r="G5" s="466">
        <v>79125</v>
      </c>
      <c r="H5" s="466"/>
      <c r="I5" s="466">
        <v>118251</v>
      </c>
      <c r="J5" s="467">
        <v>469761</v>
      </c>
      <c r="K5" s="466">
        <v>118251</v>
      </c>
    </row>
    <row r="6" spans="1:12" ht="15" x14ac:dyDescent="0.2">
      <c r="A6" s="463" t="s">
        <v>1761</v>
      </c>
      <c r="B6" s="470">
        <v>1130</v>
      </c>
      <c r="C6" s="466"/>
      <c r="D6" s="466">
        <v>118251</v>
      </c>
      <c r="E6" s="475"/>
      <c r="F6" s="475"/>
      <c r="G6" s="468"/>
      <c r="H6" s="468"/>
      <c r="I6" s="468"/>
      <c r="J6" s="468"/>
      <c r="K6" s="468"/>
    </row>
    <row r="7" spans="1:12" x14ac:dyDescent="0.2">
      <c r="A7" s="463" t="s">
        <v>112</v>
      </c>
      <c r="B7" s="549">
        <v>1140</v>
      </c>
      <c r="C7" s="466">
        <v>94604</v>
      </c>
      <c r="D7" s="466"/>
      <c r="E7" s="468"/>
      <c r="F7" s="467"/>
      <c r="G7" s="467"/>
      <c r="H7" s="467"/>
      <c r="I7" s="468"/>
      <c r="J7" s="468"/>
      <c r="K7" s="468"/>
    </row>
    <row r="8" spans="1:12" x14ac:dyDescent="0.2">
      <c r="A8" s="463" t="s">
        <v>433</v>
      </c>
      <c r="B8" s="470">
        <v>1150</v>
      </c>
      <c r="C8" s="475"/>
      <c r="D8" s="475"/>
      <c r="E8" s="477"/>
      <c r="F8" s="477"/>
      <c r="G8" s="481">
        <v>179011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4445551</v>
      </c>
      <c r="D12" s="1729">
        <f t="shared" si="0"/>
        <v>1300791</v>
      </c>
      <c r="E12" s="1729">
        <f t="shared" si="0"/>
        <v>632661</v>
      </c>
      <c r="F12" s="1729">
        <f t="shared" si="0"/>
        <v>473019</v>
      </c>
      <c r="G12" s="1729">
        <f t="shared" si="0"/>
        <v>258136</v>
      </c>
      <c r="H12" s="1729">
        <f t="shared" si="0"/>
        <v>0</v>
      </c>
      <c r="I12" s="1729">
        <f t="shared" si="0"/>
        <v>118251</v>
      </c>
      <c r="J12" s="1729">
        <f t="shared" si="0"/>
        <v>469761</v>
      </c>
      <c r="K12" s="1710">
        <f t="shared" si="0"/>
        <v>118251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17401</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1075000</v>
      </c>
      <c r="D16" s="466">
        <v>657117</v>
      </c>
      <c r="E16" s="466"/>
      <c r="F16" s="466">
        <v>230000</v>
      </c>
      <c r="G16" s="466">
        <v>58000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1092401</v>
      </c>
      <c r="D18" s="1732">
        <f t="shared" ref="D18:K18" si="1">SUM(D14:D17)</f>
        <v>657117</v>
      </c>
      <c r="E18" s="1732">
        <f t="shared" si="1"/>
        <v>0</v>
      </c>
      <c r="F18" s="1732">
        <f t="shared" si="1"/>
        <v>230000</v>
      </c>
      <c r="G18" s="1732">
        <f t="shared" si="1"/>
        <v>58000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v>552809</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552809</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v>5384</v>
      </c>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5384</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67852</v>
      </c>
      <c r="D65" s="466">
        <v>38513</v>
      </c>
      <c r="E65" s="466">
        <v>2203</v>
      </c>
      <c r="F65" s="467">
        <v>5992</v>
      </c>
      <c r="G65" s="466">
        <v>1355</v>
      </c>
      <c r="H65" s="466">
        <v>2254</v>
      </c>
      <c r="I65" s="466">
        <v>7592</v>
      </c>
      <c r="J65" s="467">
        <v>1852</v>
      </c>
      <c r="K65" s="466">
        <v>818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67852</v>
      </c>
      <c r="D67" s="1710">
        <f t="shared" ref="D67:K67" si="2">SUM(D65:D66)</f>
        <v>38513</v>
      </c>
      <c r="E67" s="1710">
        <f t="shared" si="2"/>
        <v>2203</v>
      </c>
      <c r="F67" s="1710">
        <f t="shared" si="2"/>
        <v>5992</v>
      </c>
      <c r="G67" s="1710">
        <f t="shared" si="2"/>
        <v>1355</v>
      </c>
      <c r="H67" s="1710">
        <f t="shared" si="2"/>
        <v>2254</v>
      </c>
      <c r="I67" s="1710">
        <f t="shared" si="2"/>
        <v>7592</v>
      </c>
      <c r="J67" s="1710">
        <f t="shared" si="2"/>
        <v>1852</v>
      </c>
      <c r="K67" s="1710">
        <f t="shared" si="2"/>
        <v>818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236919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236919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24279</v>
      </c>
      <c r="D77" s="466">
        <v>2880</v>
      </c>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12200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36479</v>
      </c>
      <c r="D82" s="1710">
        <f>SUM(D77:D81)</f>
        <v>2880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24303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24303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1569</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3834</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5806</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644375</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32275</v>
      </c>
      <c r="D106" s="489"/>
      <c r="E106" s="467"/>
      <c r="F106" s="467"/>
      <c r="G106" s="467"/>
      <c r="H106" s="467"/>
      <c r="I106" s="521"/>
      <c r="J106" s="467"/>
      <c r="K106" s="467"/>
    </row>
    <row r="107" spans="1:12" ht="12.75" customHeight="1" x14ac:dyDescent="0.2">
      <c r="A107" s="463" t="s">
        <v>80</v>
      </c>
      <c r="B107" s="470">
        <v>1999</v>
      </c>
      <c r="C107" s="551"/>
      <c r="D107" s="466">
        <v>66324</v>
      </c>
      <c r="E107" s="466"/>
      <c r="F107" s="466"/>
      <c r="G107" s="466"/>
      <c r="H107" s="466"/>
      <c r="I107" s="466"/>
      <c r="J107" s="467"/>
      <c r="K107" s="466"/>
    </row>
    <row r="108" spans="1:12" ht="12.75" customHeight="1" thickBot="1" x14ac:dyDescent="0.25">
      <c r="A108" s="1730" t="s">
        <v>508</v>
      </c>
      <c r="B108" s="1734"/>
      <c r="C108" s="1729">
        <f>SUM(C95:C107)</f>
        <v>43484</v>
      </c>
      <c r="D108" s="1729">
        <f t="shared" ref="D108:K108" si="3">SUM(D95:D107)</f>
        <v>66324</v>
      </c>
      <c r="E108" s="1729">
        <f t="shared" si="3"/>
        <v>0</v>
      </c>
      <c r="F108" s="1729">
        <f t="shared" si="3"/>
        <v>0</v>
      </c>
      <c r="G108" s="1729">
        <f t="shared" si="3"/>
        <v>0</v>
      </c>
      <c r="H108" s="1729">
        <f t="shared" si="3"/>
        <v>644375</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6499798</v>
      </c>
      <c r="D109" s="1737">
        <f t="shared" si="4"/>
        <v>2065625</v>
      </c>
      <c r="E109" s="1737">
        <f t="shared" si="4"/>
        <v>634864</v>
      </c>
      <c r="F109" s="1737">
        <f t="shared" si="4"/>
        <v>714395</v>
      </c>
      <c r="G109" s="1737">
        <f t="shared" si="4"/>
        <v>317491</v>
      </c>
      <c r="H109" s="1737">
        <f t="shared" si="4"/>
        <v>646629</v>
      </c>
      <c r="I109" s="1737">
        <f t="shared" si="4"/>
        <v>125843</v>
      </c>
      <c r="J109" s="1737">
        <f t="shared" si="4"/>
        <v>471613</v>
      </c>
      <c r="K109" s="1724">
        <f t="shared" si="4"/>
        <v>119069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819109</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819109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39774</v>
      </c>
      <c r="D124" s="561"/>
      <c r="E124" s="468"/>
      <c r="F124" s="548"/>
      <c r="G124" s="468"/>
      <c r="H124" s="468"/>
      <c r="I124" s="468"/>
      <c r="J124" s="468"/>
      <c r="K124" s="468"/>
    </row>
    <row r="125" spans="1:11" ht="12.75" customHeight="1" x14ac:dyDescent="0.2">
      <c r="A125" s="463" t="s">
        <v>1521</v>
      </c>
      <c r="B125" s="562">
        <v>3105</v>
      </c>
      <c r="C125" s="466">
        <v>62163</v>
      </c>
      <c r="D125" s="561"/>
      <c r="E125" s="468"/>
      <c r="F125" s="466"/>
      <c r="G125" s="468"/>
      <c r="H125" s="468"/>
      <c r="I125" s="468"/>
      <c r="J125" s="468"/>
      <c r="K125" s="468"/>
    </row>
    <row r="126" spans="1:11" ht="12.75" customHeight="1" x14ac:dyDescent="0.2">
      <c r="A126" s="463" t="s">
        <v>922</v>
      </c>
      <c r="B126" s="562">
        <v>3110</v>
      </c>
      <c r="C126" s="551">
        <v>70618</v>
      </c>
      <c r="D126" s="466"/>
      <c r="E126" s="468"/>
      <c r="F126" s="466"/>
      <c r="G126" s="468"/>
      <c r="H126" s="468"/>
      <c r="I126" s="468"/>
      <c r="J126" s="468"/>
      <c r="K126" s="468"/>
    </row>
    <row r="127" spans="1:11" ht="12.75" customHeight="1" x14ac:dyDescent="0.2">
      <c r="A127" s="463" t="s">
        <v>107</v>
      </c>
      <c r="B127" s="562">
        <v>3120</v>
      </c>
      <c r="C127" s="466">
        <v>5203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367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178125</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9638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9638</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3618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17350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287493</v>
      </c>
      <c r="G151" s="467"/>
      <c r="H151" s="468"/>
      <c r="I151" s="468"/>
      <c r="J151" s="468"/>
      <c r="K151" s="468"/>
    </row>
    <row r="152" spans="1:11" ht="12.75" customHeight="1" x14ac:dyDescent="0.2">
      <c r="A152" s="463" t="s">
        <v>1117</v>
      </c>
      <c r="B152" s="562">
        <v>3510</v>
      </c>
      <c r="C152" s="551"/>
      <c r="D152" s="466"/>
      <c r="E152" s="561"/>
      <c r="F152" s="466">
        <v>273717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561210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209481</v>
      </c>
      <c r="D172" s="1744">
        <f t="shared" si="6"/>
        <v>0</v>
      </c>
      <c r="E172" s="1744">
        <f t="shared" si="6"/>
        <v>0</v>
      </c>
      <c r="F172" s="1744">
        <f t="shared" si="6"/>
        <v>561210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1028590</v>
      </c>
      <c r="D173" s="1737">
        <f>SUM(D121,D172)</f>
        <v>0</v>
      </c>
      <c r="E173" s="1737">
        <f>SUM(E121,E172)</f>
        <v>0</v>
      </c>
      <c r="F173" s="1737">
        <f t="shared" ref="F173:K173" si="7">SUM(F121,F172)</f>
        <v>561210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181479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39473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220952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141797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141797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163994</v>
      </c>
      <c r="D220" s="466"/>
      <c r="E220" s="468"/>
      <c r="F220" s="466"/>
      <c r="G220" s="466"/>
      <c r="H220" s="468"/>
      <c r="I220" s="468"/>
      <c r="J220" s="468"/>
      <c r="K220" s="468"/>
    </row>
    <row r="221" spans="1:11" ht="12.75" customHeight="1" x14ac:dyDescent="0.2">
      <c r="A221" s="463" t="s">
        <v>1114</v>
      </c>
      <c r="B221" s="470">
        <v>4625</v>
      </c>
      <c r="C221" s="551">
        <v>509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164503</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38323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9796</v>
      </c>
      <c r="D270" s="576"/>
      <c r="E270" s="468"/>
      <c r="F270" s="576"/>
      <c r="G270" s="576"/>
      <c r="H270" s="468"/>
      <c r="I270" s="468"/>
      <c r="J270" s="468"/>
      <c r="K270" s="468"/>
    </row>
    <row r="271" spans="1:11" ht="12.75" customHeight="1" thickTop="1" thickBot="1" x14ac:dyDescent="0.25">
      <c r="A271" s="463" t="s">
        <v>395</v>
      </c>
      <c r="B271" s="470">
        <v>4992</v>
      </c>
      <c r="C271" s="575">
        <v>42685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618056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618056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8146444</v>
      </c>
      <c r="D275" s="1737">
        <f t="shared" si="12"/>
        <v>2065625</v>
      </c>
      <c r="E275" s="1737">
        <f t="shared" si="12"/>
        <v>634864</v>
      </c>
      <c r="F275" s="1737">
        <f t="shared" si="12"/>
        <v>1275605</v>
      </c>
      <c r="G275" s="1737">
        <f t="shared" si="12"/>
        <v>317491</v>
      </c>
      <c r="H275" s="1737">
        <f t="shared" si="12"/>
        <v>646629</v>
      </c>
      <c r="I275" s="1737">
        <f t="shared" si="12"/>
        <v>125843</v>
      </c>
      <c r="J275" s="1737">
        <f t="shared" si="12"/>
        <v>471613</v>
      </c>
      <c r="K275" s="1724">
        <f t="shared" si="12"/>
        <v>119069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&amp;L&amp;8See notes.
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8" sqref="A8"/>
      <selection pane="bottomLeft" activeCell="C5" sqref="C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2740531</v>
      </c>
      <c r="D5" s="466">
        <v>585573</v>
      </c>
      <c r="E5" s="466">
        <v>4084</v>
      </c>
      <c r="F5" s="466">
        <v>88264</v>
      </c>
      <c r="G5" s="466"/>
      <c r="H5" s="466">
        <v>75</v>
      </c>
      <c r="I5" s="467">
        <v>7428</v>
      </c>
      <c r="J5" s="467"/>
      <c r="K5" s="1693">
        <f>SUM(C5:J5)</f>
        <v>3425955</v>
      </c>
      <c r="L5" s="466">
        <v>3511341</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67261</v>
      </c>
      <c r="D7" s="467">
        <v>16095</v>
      </c>
      <c r="E7" s="467"/>
      <c r="F7" s="467">
        <v>299</v>
      </c>
      <c r="G7" s="467"/>
      <c r="H7" s="467"/>
      <c r="I7" s="467"/>
      <c r="J7" s="467"/>
      <c r="K7" s="1693">
        <f t="shared" ref="K7:K32" si="0">SUM(C7:J7)</f>
        <v>83655</v>
      </c>
      <c r="L7" s="466">
        <v>84723</v>
      </c>
    </row>
    <row r="8" spans="1:14" x14ac:dyDescent="0.2">
      <c r="A8" s="1526" t="s">
        <v>166</v>
      </c>
      <c r="B8" s="615">
        <v>1200</v>
      </c>
      <c r="C8" s="466">
        <v>382176</v>
      </c>
      <c r="D8" s="466">
        <v>110946</v>
      </c>
      <c r="E8" s="466">
        <v>502</v>
      </c>
      <c r="F8" s="466">
        <v>7004</v>
      </c>
      <c r="G8" s="466"/>
      <c r="H8" s="466"/>
      <c r="I8" s="467"/>
      <c r="J8" s="467"/>
      <c r="K8" s="1693">
        <f t="shared" si="0"/>
        <v>500628</v>
      </c>
      <c r="L8" s="466">
        <v>656168</v>
      </c>
    </row>
    <row r="9" spans="1:14" x14ac:dyDescent="0.2">
      <c r="A9" s="1526" t="s">
        <v>745</v>
      </c>
      <c r="B9" s="615" t="s">
        <v>1025</v>
      </c>
      <c r="C9" s="467">
        <v>69097</v>
      </c>
      <c r="D9" s="467">
        <v>12018</v>
      </c>
      <c r="E9" s="467"/>
      <c r="F9" s="467">
        <v>185</v>
      </c>
      <c r="G9" s="467"/>
      <c r="H9" s="467"/>
      <c r="I9" s="467"/>
      <c r="J9" s="467"/>
      <c r="K9" s="1693">
        <f t="shared" si="0"/>
        <v>81300</v>
      </c>
      <c r="L9" s="466">
        <v>83339</v>
      </c>
    </row>
    <row r="10" spans="1:14" x14ac:dyDescent="0.2">
      <c r="A10" s="1526" t="s">
        <v>746</v>
      </c>
      <c r="B10" s="615">
        <v>1250</v>
      </c>
      <c r="C10" s="466">
        <v>84497</v>
      </c>
      <c r="D10" s="466">
        <v>10053</v>
      </c>
      <c r="E10" s="466">
        <v>20940</v>
      </c>
      <c r="F10" s="466">
        <v>39977</v>
      </c>
      <c r="G10" s="466"/>
      <c r="H10" s="466"/>
      <c r="I10" s="467"/>
      <c r="J10" s="467"/>
      <c r="K10" s="1693">
        <f t="shared" si="0"/>
        <v>155467</v>
      </c>
      <c r="L10" s="466">
        <v>143236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180168</v>
      </c>
      <c r="D13" s="466">
        <v>37552</v>
      </c>
      <c r="E13" s="466">
        <v>6</v>
      </c>
      <c r="F13" s="466">
        <v>37897</v>
      </c>
      <c r="G13" s="466"/>
      <c r="H13" s="466">
        <v>335</v>
      </c>
      <c r="I13" s="467">
        <v>959</v>
      </c>
      <c r="J13" s="467"/>
      <c r="K13" s="1693">
        <f t="shared" si="0"/>
        <v>256917</v>
      </c>
      <c r="L13" s="466">
        <v>257507</v>
      </c>
    </row>
    <row r="14" spans="1:14" x14ac:dyDescent="0.2">
      <c r="A14" s="1526" t="s">
        <v>1020</v>
      </c>
      <c r="B14" s="615">
        <v>1500</v>
      </c>
      <c r="C14" s="466">
        <v>168659</v>
      </c>
      <c r="D14" s="466">
        <v>15080</v>
      </c>
      <c r="E14" s="466">
        <v>35704</v>
      </c>
      <c r="F14" s="466">
        <v>45127</v>
      </c>
      <c r="G14" s="466"/>
      <c r="H14" s="466"/>
      <c r="I14" s="467">
        <v>11751</v>
      </c>
      <c r="J14" s="467"/>
      <c r="K14" s="1693">
        <f t="shared" si="0"/>
        <v>276321</v>
      </c>
      <c r="L14" s="466">
        <v>284920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53327</v>
      </c>
      <c r="D17" s="467">
        <v>12987</v>
      </c>
      <c r="E17" s="467">
        <v>478</v>
      </c>
      <c r="F17" s="467">
        <v>1793</v>
      </c>
      <c r="G17" s="467"/>
      <c r="H17" s="467"/>
      <c r="I17" s="467"/>
      <c r="J17" s="467"/>
      <c r="K17" s="1693">
        <f t="shared" si="0"/>
        <v>68585</v>
      </c>
      <c r="L17" s="466">
        <v>69696</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v>2584</v>
      </c>
      <c r="I21" s="617"/>
      <c r="J21" s="477"/>
      <c r="K21" s="1693">
        <f t="shared" si="0"/>
        <v>2584</v>
      </c>
      <c r="L21" s="471"/>
    </row>
    <row r="22" spans="1:12" x14ac:dyDescent="0.2">
      <c r="A22" s="1527" t="s">
        <v>764</v>
      </c>
      <c r="B22" s="603" t="s">
        <v>751</v>
      </c>
      <c r="C22" s="477"/>
      <c r="D22" s="477"/>
      <c r="E22" s="477"/>
      <c r="F22" s="477"/>
      <c r="G22" s="477"/>
      <c r="H22" s="474">
        <v>144743</v>
      </c>
      <c r="I22" s="617"/>
      <c r="J22" s="477"/>
      <c r="K22" s="1693">
        <f t="shared" si="0"/>
        <v>144743</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3745716</v>
      </c>
      <c r="D33" s="1692">
        <f t="shared" ref="D33:L33" si="1">SUM(D5:D32)</f>
        <v>800304</v>
      </c>
      <c r="E33" s="1692">
        <f t="shared" si="1"/>
        <v>61714</v>
      </c>
      <c r="F33" s="1692">
        <f t="shared" si="1"/>
        <v>220546</v>
      </c>
      <c r="G33" s="1692">
        <f t="shared" si="1"/>
        <v>0</v>
      </c>
      <c r="H33" s="1692">
        <f t="shared" si="1"/>
        <v>147737</v>
      </c>
      <c r="I33" s="1692">
        <f t="shared" si="1"/>
        <v>20138</v>
      </c>
      <c r="J33" s="1692">
        <f t="shared" si="1"/>
        <v>0</v>
      </c>
      <c r="K33" s="1692">
        <f t="shared" si="1"/>
        <v>4996155</v>
      </c>
      <c r="L33" s="1692">
        <f t="shared" si="1"/>
        <v>5090930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47430</v>
      </c>
      <c r="D36" s="481">
        <v>11339</v>
      </c>
      <c r="E36" s="481"/>
      <c r="F36" s="481">
        <v>96</v>
      </c>
      <c r="G36" s="481"/>
      <c r="H36" s="481"/>
      <c r="I36" s="467"/>
      <c r="J36" s="467"/>
      <c r="K36" s="1693">
        <f t="shared" ref="K36:K41" si="2">SUM(C36:J36)</f>
        <v>58865</v>
      </c>
      <c r="L36" s="466">
        <v>60746</v>
      </c>
    </row>
    <row r="37" spans="1:14" x14ac:dyDescent="0.2">
      <c r="A37" s="1526" t="s">
        <v>1151</v>
      </c>
      <c r="B37" s="615">
        <v>2120</v>
      </c>
      <c r="C37" s="466">
        <v>93539</v>
      </c>
      <c r="D37" s="466">
        <v>6962</v>
      </c>
      <c r="E37" s="466">
        <v>169</v>
      </c>
      <c r="F37" s="466">
        <v>366</v>
      </c>
      <c r="G37" s="466"/>
      <c r="H37" s="466"/>
      <c r="I37" s="467"/>
      <c r="J37" s="467"/>
      <c r="K37" s="1693">
        <f t="shared" si="2"/>
        <v>101036</v>
      </c>
      <c r="L37" s="466">
        <v>102105</v>
      </c>
    </row>
    <row r="38" spans="1:14" x14ac:dyDescent="0.2">
      <c r="A38" s="1526" t="s">
        <v>207</v>
      </c>
      <c r="B38" s="615">
        <v>2130</v>
      </c>
      <c r="C38" s="466">
        <v>27995</v>
      </c>
      <c r="D38" s="466">
        <v>12166</v>
      </c>
      <c r="E38" s="466">
        <v>172</v>
      </c>
      <c r="F38" s="466">
        <v>673</v>
      </c>
      <c r="G38" s="466"/>
      <c r="H38" s="466"/>
      <c r="I38" s="467"/>
      <c r="J38" s="467"/>
      <c r="K38" s="1693">
        <f t="shared" si="2"/>
        <v>41006</v>
      </c>
      <c r="L38" s="466">
        <v>43340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62154</v>
      </c>
      <c r="D40" s="466">
        <v>13192</v>
      </c>
      <c r="E40" s="466"/>
      <c r="F40" s="466">
        <v>254</v>
      </c>
      <c r="G40" s="466"/>
      <c r="H40" s="466"/>
      <c r="I40" s="467"/>
      <c r="J40" s="467"/>
      <c r="K40" s="1693">
        <f t="shared" si="2"/>
        <v>75600</v>
      </c>
      <c r="L40" s="466">
        <v>77720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231118</v>
      </c>
      <c r="D42" s="1692">
        <f t="shared" ref="D42:L42" si="3">SUM(D36:D41)</f>
        <v>43659</v>
      </c>
      <c r="E42" s="1692">
        <f t="shared" si="3"/>
        <v>341</v>
      </c>
      <c r="F42" s="1692">
        <f t="shared" si="3"/>
        <v>1389</v>
      </c>
      <c r="G42" s="1692">
        <f t="shared" si="3"/>
        <v>0</v>
      </c>
      <c r="H42" s="1692">
        <f t="shared" si="3"/>
        <v>0</v>
      </c>
      <c r="I42" s="1692">
        <f t="shared" si="3"/>
        <v>0</v>
      </c>
      <c r="J42" s="1692">
        <f t="shared" si="3"/>
        <v>0</v>
      </c>
      <c r="K42" s="1692">
        <f t="shared" si="3"/>
        <v>276507</v>
      </c>
      <c r="L42" s="1692">
        <f t="shared" si="3"/>
        <v>283911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7385</v>
      </c>
      <c r="D44" s="481">
        <v>1675</v>
      </c>
      <c r="E44" s="481">
        <v>32929</v>
      </c>
      <c r="F44" s="481"/>
      <c r="G44" s="481"/>
      <c r="H44" s="481"/>
      <c r="I44" s="467"/>
      <c r="J44" s="467"/>
      <c r="K44" s="1694">
        <f>SUM(C44:J44)</f>
        <v>41989</v>
      </c>
      <c r="L44" s="481">
        <v>39244</v>
      </c>
    </row>
    <row r="45" spans="1:14" x14ac:dyDescent="0.2">
      <c r="A45" s="1526" t="s">
        <v>869</v>
      </c>
      <c r="B45" s="615">
        <v>2220</v>
      </c>
      <c r="C45" s="466">
        <v>161703</v>
      </c>
      <c r="D45" s="466">
        <v>25887</v>
      </c>
      <c r="E45" s="466">
        <v>2277</v>
      </c>
      <c r="F45" s="466">
        <v>25905</v>
      </c>
      <c r="G45" s="466"/>
      <c r="H45" s="466">
        <v>70</v>
      </c>
      <c r="I45" s="467"/>
      <c r="J45" s="467"/>
      <c r="K45" s="1694">
        <f>SUM(C45:J45)</f>
        <v>215842</v>
      </c>
      <c r="L45" s="466">
        <v>223183</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169088</v>
      </c>
      <c r="D47" s="1692">
        <f t="shared" ref="D47:K47" si="4">SUM(D44:D46)</f>
        <v>27562</v>
      </c>
      <c r="E47" s="1692">
        <f t="shared" si="4"/>
        <v>35206</v>
      </c>
      <c r="F47" s="1692">
        <f t="shared" si="4"/>
        <v>25905</v>
      </c>
      <c r="G47" s="1692">
        <f t="shared" si="4"/>
        <v>0</v>
      </c>
      <c r="H47" s="1692">
        <f t="shared" si="4"/>
        <v>70</v>
      </c>
      <c r="I47" s="1692">
        <f t="shared" si="4"/>
        <v>0</v>
      </c>
      <c r="J47" s="1692">
        <f t="shared" si="4"/>
        <v>0</v>
      </c>
      <c r="K47" s="1692">
        <f t="shared" si="4"/>
        <v>257831</v>
      </c>
      <c r="L47" s="1692">
        <f>SUM(L44:L46)</f>
        <v>262427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45615</v>
      </c>
      <c r="F49" s="481">
        <v>589</v>
      </c>
      <c r="G49" s="481"/>
      <c r="H49" s="481">
        <v>4964</v>
      </c>
      <c r="I49" s="467"/>
      <c r="J49" s="467"/>
      <c r="K49" s="1694">
        <f>SUM(C49:J49)</f>
        <v>51168</v>
      </c>
      <c r="L49" s="481">
        <v>67000</v>
      </c>
    </row>
    <row r="50" spans="1:14" x14ac:dyDescent="0.2">
      <c r="A50" s="1526" t="s">
        <v>872</v>
      </c>
      <c r="B50" s="615">
        <v>2320</v>
      </c>
      <c r="C50" s="466">
        <v>175706</v>
      </c>
      <c r="D50" s="466">
        <v>20686</v>
      </c>
      <c r="E50" s="466">
        <v>7392</v>
      </c>
      <c r="F50" s="466">
        <v>10938</v>
      </c>
      <c r="G50" s="466"/>
      <c r="H50" s="466">
        <v>2384</v>
      </c>
      <c r="I50" s="467">
        <v>8156</v>
      </c>
      <c r="J50" s="467"/>
      <c r="K50" s="1694">
        <f>SUM(C50:J50)</f>
        <v>225262</v>
      </c>
      <c r="L50" s="466">
        <v>234477</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175706</v>
      </c>
      <c r="D53" s="1692">
        <f t="shared" ref="D53:L53" si="5">SUM(D49:D52)</f>
        <v>20686</v>
      </c>
      <c r="E53" s="1692">
        <f t="shared" si="5"/>
        <v>53007</v>
      </c>
      <c r="F53" s="1692">
        <f t="shared" si="5"/>
        <v>11527</v>
      </c>
      <c r="G53" s="1692">
        <f t="shared" si="5"/>
        <v>0</v>
      </c>
      <c r="H53" s="1692">
        <f t="shared" si="5"/>
        <v>7348</v>
      </c>
      <c r="I53" s="1692">
        <f t="shared" si="5"/>
        <v>8156</v>
      </c>
      <c r="J53" s="1692">
        <f t="shared" si="5"/>
        <v>0</v>
      </c>
      <c r="K53" s="1692">
        <f t="shared" si="5"/>
        <v>276430</v>
      </c>
      <c r="L53" s="1692">
        <f t="shared" si="5"/>
        <v>301477</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554841</v>
      </c>
      <c r="D55" s="481">
        <v>90864</v>
      </c>
      <c r="E55" s="481">
        <v>2331</v>
      </c>
      <c r="F55" s="481">
        <v>3938</v>
      </c>
      <c r="G55" s="481"/>
      <c r="H55" s="481">
        <v>977</v>
      </c>
      <c r="I55" s="467"/>
      <c r="J55" s="467"/>
      <c r="K55" s="1694">
        <f>SUM(C55:J55)</f>
        <v>652951</v>
      </c>
      <c r="L55" s="481">
        <v>655630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554841</v>
      </c>
      <c r="D57" s="1696">
        <f t="shared" ref="D57:K57" si="6">SUM(D55:D56)</f>
        <v>90864</v>
      </c>
      <c r="E57" s="1696">
        <f t="shared" si="6"/>
        <v>2331</v>
      </c>
      <c r="F57" s="1696">
        <f t="shared" si="6"/>
        <v>3938</v>
      </c>
      <c r="G57" s="1696">
        <f t="shared" si="6"/>
        <v>0</v>
      </c>
      <c r="H57" s="1696">
        <f t="shared" si="6"/>
        <v>977</v>
      </c>
      <c r="I57" s="1696">
        <f t="shared" si="6"/>
        <v>0</v>
      </c>
      <c r="J57" s="1696">
        <f t="shared" si="6"/>
        <v>0</v>
      </c>
      <c r="K57" s="1696">
        <f t="shared" si="6"/>
        <v>652951</v>
      </c>
      <c r="L57" s="1692">
        <f>SUM(L55:L56)</f>
        <v>655630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41362</v>
      </c>
      <c r="D60" s="466"/>
      <c r="E60" s="466">
        <v>4709</v>
      </c>
      <c r="F60" s="466">
        <v>609</v>
      </c>
      <c r="G60" s="466"/>
      <c r="H60" s="466"/>
      <c r="I60" s="467"/>
      <c r="J60" s="467"/>
      <c r="K60" s="1694">
        <f t="shared" si="7"/>
        <v>46680</v>
      </c>
      <c r="L60" s="466">
        <v>50200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182457</v>
      </c>
      <c r="D63" s="466">
        <v>15230</v>
      </c>
      <c r="E63" s="466">
        <v>943</v>
      </c>
      <c r="F63" s="466">
        <v>161672</v>
      </c>
      <c r="G63" s="466"/>
      <c r="H63" s="466"/>
      <c r="I63" s="467">
        <v>675</v>
      </c>
      <c r="J63" s="467"/>
      <c r="K63" s="1694">
        <f t="shared" si="7"/>
        <v>360977</v>
      </c>
      <c r="L63" s="466">
        <v>392520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223819</v>
      </c>
      <c r="D65" s="1692">
        <f t="shared" ref="D65:L65" si="8">SUM(D59:D64)</f>
        <v>15230</v>
      </c>
      <c r="E65" s="1692">
        <f t="shared" si="8"/>
        <v>5652</v>
      </c>
      <c r="F65" s="1692">
        <f t="shared" si="8"/>
        <v>162281</v>
      </c>
      <c r="G65" s="1692">
        <f t="shared" si="8"/>
        <v>0</v>
      </c>
      <c r="H65" s="1692">
        <f t="shared" si="8"/>
        <v>0</v>
      </c>
      <c r="I65" s="1692">
        <f t="shared" si="8"/>
        <v>675</v>
      </c>
      <c r="J65" s="1692">
        <f t="shared" si="8"/>
        <v>0</v>
      </c>
      <c r="K65" s="1692">
        <f t="shared" si="8"/>
        <v>407657</v>
      </c>
      <c r="L65" s="1692">
        <f t="shared" si="8"/>
        <v>442720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v>15757</v>
      </c>
      <c r="F69" s="466">
        <v>869</v>
      </c>
      <c r="G69" s="466"/>
      <c r="H69" s="466"/>
      <c r="I69" s="467">
        <v>89042</v>
      </c>
      <c r="J69" s="467"/>
      <c r="K69" s="1694">
        <f>SUM(C69:J69)</f>
        <v>105668</v>
      </c>
      <c r="L69" s="466">
        <v>109000</v>
      </c>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15757</v>
      </c>
      <c r="F72" s="1692">
        <f t="shared" si="9"/>
        <v>869</v>
      </c>
      <c r="G72" s="1692">
        <f t="shared" si="9"/>
        <v>0</v>
      </c>
      <c r="H72" s="1692">
        <f t="shared" si="9"/>
        <v>0</v>
      </c>
      <c r="I72" s="1692">
        <f t="shared" si="9"/>
        <v>89042</v>
      </c>
      <c r="J72" s="1692">
        <f t="shared" si="9"/>
        <v>0</v>
      </c>
      <c r="K72" s="1692">
        <f t="shared" si="9"/>
        <v>105668</v>
      </c>
      <c r="L72" s="1692">
        <f>SUM(L67:L71)</f>
        <v>109000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1354572</v>
      </c>
      <c r="D74" s="1699">
        <f t="shared" ref="D74:K74" si="10">SUM(D42,D47,D53,D57,D65,D72,D73)</f>
        <v>198001</v>
      </c>
      <c r="E74" s="1699">
        <f t="shared" si="10"/>
        <v>112294</v>
      </c>
      <c r="F74" s="1699">
        <f t="shared" si="10"/>
        <v>205909</v>
      </c>
      <c r="G74" s="1699">
        <f t="shared" si="10"/>
        <v>0</v>
      </c>
      <c r="H74" s="1699">
        <f t="shared" si="10"/>
        <v>8395</v>
      </c>
      <c r="I74" s="1699">
        <f t="shared" si="10"/>
        <v>97873</v>
      </c>
      <c r="J74" s="1699">
        <f t="shared" si="10"/>
        <v>0</v>
      </c>
      <c r="K74" s="1699">
        <f t="shared" si="10"/>
        <v>1977044</v>
      </c>
      <c r="L74" s="1699">
        <f>SUM(L42,L47,L53,L57,L65,L72,L73)</f>
        <v>2055165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13590</v>
      </c>
    </row>
    <row r="79" spans="1:14" x14ac:dyDescent="0.2">
      <c r="A79" s="1526" t="s">
        <v>322</v>
      </c>
      <c r="B79" s="615">
        <v>4120</v>
      </c>
      <c r="C79" s="617"/>
      <c r="D79" s="617"/>
      <c r="E79" s="466">
        <v>269143</v>
      </c>
      <c r="F79" s="617"/>
      <c r="G79" s="617"/>
      <c r="H79" s="466"/>
      <c r="I79" s="477"/>
      <c r="J79" s="477"/>
      <c r="K79" s="1693">
        <f t="shared" si="11"/>
        <v>269143</v>
      </c>
      <c r="L79" s="466">
        <v>599239</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16884</v>
      </c>
      <c r="F81" s="617"/>
      <c r="G81" s="617"/>
      <c r="H81" s="466"/>
      <c r="I81" s="477"/>
      <c r="J81" s="477"/>
      <c r="K81" s="1693">
        <f t="shared" si="11"/>
        <v>16884</v>
      </c>
      <c r="L81" s="466">
        <v>37000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286027</v>
      </c>
      <c r="F84" s="617"/>
      <c r="G84" s="617"/>
      <c r="H84" s="1692">
        <f>SUM(H78:H83)</f>
        <v>0</v>
      </c>
      <c r="I84" s="477"/>
      <c r="J84" s="477"/>
      <c r="K84" s="1692">
        <f>SUM(K78:K83)</f>
        <v>286027</v>
      </c>
      <c r="L84" s="1692">
        <f>SUM(L78:L83)</f>
        <v>649829</v>
      </c>
    </row>
    <row r="85" spans="1:12" ht="12.75" customHeight="1" thickTop="1" thickBot="1" x14ac:dyDescent="0.25">
      <c r="A85" s="1533" t="s">
        <v>273</v>
      </c>
      <c r="B85" s="636">
        <v>4210</v>
      </c>
      <c r="C85" s="617"/>
      <c r="D85" s="617"/>
      <c r="E85" s="637"/>
      <c r="F85" s="617"/>
      <c r="G85" s="617"/>
      <c r="H85" s="535">
        <v>87</v>
      </c>
      <c r="I85" s="477"/>
      <c r="J85" s="477"/>
      <c r="K85" s="1699">
        <f>H85</f>
        <v>87</v>
      </c>
      <c r="L85" s="530"/>
    </row>
    <row r="86" spans="1:12" ht="12.75" customHeight="1" thickTop="1" thickBot="1" x14ac:dyDescent="0.25">
      <c r="A86" s="1534" t="s">
        <v>723</v>
      </c>
      <c r="B86" s="638">
        <v>4220</v>
      </c>
      <c r="C86" s="617"/>
      <c r="D86" s="617"/>
      <c r="E86" s="639"/>
      <c r="F86" s="617"/>
      <c r="G86" s="617"/>
      <c r="H86" s="467">
        <v>342513</v>
      </c>
      <c r="I86" s="477"/>
      <c r="J86" s="477"/>
      <c r="K86" s="1699">
        <f t="shared" ref="K86:K98" si="12">H86</f>
        <v>342513</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19838</v>
      </c>
      <c r="I88" s="477"/>
      <c r="J88" s="477"/>
      <c r="K88" s="1699">
        <f t="shared" si="12"/>
        <v>19838</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362438</v>
      </c>
      <c r="I92" s="477"/>
      <c r="J92" s="477"/>
      <c r="K92" s="1699">
        <f t="shared" si="12"/>
        <v>362438</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286027</v>
      </c>
      <c r="F102" s="617"/>
      <c r="G102" s="617"/>
      <c r="H102" s="1699">
        <f>SUM(H84,H92,H100,H101)</f>
        <v>362438</v>
      </c>
      <c r="I102" s="477"/>
      <c r="J102" s="477"/>
      <c r="K102" s="1699">
        <f>SUM(K84,K92,K100,K101)</f>
        <v>648465</v>
      </c>
      <c r="L102" s="1699">
        <f>SUM(L84,L92,L100,L101)</f>
        <v>649829</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5100288</v>
      </c>
      <c r="D114" s="1692">
        <f t="shared" ref="D114:K114" si="13">SUM(D33,D74,D75,D102,D112,D113)</f>
        <v>998305</v>
      </c>
      <c r="E114" s="1692">
        <f t="shared" si="13"/>
        <v>460035</v>
      </c>
      <c r="F114" s="1692">
        <f t="shared" si="13"/>
        <v>426455</v>
      </c>
      <c r="G114" s="1692">
        <f t="shared" si="13"/>
        <v>0</v>
      </c>
      <c r="H114" s="1692">
        <f>SUM(H33,H74,H75,H102,H112,H113)</f>
        <v>518570</v>
      </c>
      <c r="I114" s="1692">
        <f t="shared" si="13"/>
        <v>118011</v>
      </c>
      <c r="J114" s="1692">
        <f t="shared" si="13"/>
        <v>0</v>
      </c>
      <c r="K114" s="1692">
        <f t="shared" si="13"/>
        <v>7621664</v>
      </c>
      <c r="L114" s="1692">
        <f>SUM(L33,L74,L75,L102,L112,L113)</f>
        <v>7795924</v>
      </c>
    </row>
    <row r="115" spans="1:14" ht="13.5" thickTop="1" x14ac:dyDescent="0.2">
      <c r="A115" s="2199" t="s">
        <v>1053</v>
      </c>
      <c r="B115" s="2200"/>
      <c r="C115" s="619"/>
      <c r="D115" s="619"/>
      <c r="E115" s="619"/>
      <c r="F115" s="619"/>
      <c r="G115" s="619"/>
      <c r="H115" s="619"/>
      <c r="I115" s="619"/>
      <c r="J115" s="619"/>
      <c r="K115" s="1706">
        <f>'Revenues 9-14'!C275-'Expenditures 15-22'!K114</f>
        <v>524780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474201</v>
      </c>
      <c r="D124" s="466">
        <v>50520</v>
      </c>
      <c r="E124" s="466">
        <v>510250</v>
      </c>
      <c r="F124" s="466">
        <v>76847</v>
      </c>
      <c r="G124" s="466">
        <v>36309</v>
      </c>
      <c r="H124" s="466"/>
      <c r="I124" s="467">
        <v>710</v>
      </c>
      <c r="J124" s="467"/>
      <c r="K124" s="1692">
        <f>SUM(C124:J124)</f>
        <v>1148837</v>
      </c>
      <c r="L124" s="466">
        <v>1224555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474201</v>
      </c>
      <c r="D127" s="1692">
        <f t="shared" ref="D127:L127" si="14">SUM(D122:D126)</f>
        <v>50520</v>
      </c>
      <c r="E127" s="1692">
        <f t="shared" si="14"/>
        <v>510250</v>
      </c>
      <c r="F127" s="1692">
        <f t="shared" si="14"/>
        <v>76847</v>
      </c>
      <c r="G127" s="1692">
        <f t="shared" si="14"/>
        <v>36309</v>
      </c>
      <c r="H127" s="1692">
        <f t="shared" si="14"/>
        <v>0</v>
      </c>
      <c r="I127" s="1692">
        <f t="shared" si="14"/>
        <v>710</v>
      </c>
      <c r="J127" s="1692">
        <f t="shared" si="14"/>
        <v>0</v>
      </c>
      <c r="K127" s="1692">
        <f t="shared" si="14"/>
        <v>1148837</v>
      </c>
      <c r="L127" s="1692">
        <f t="shared" si="14"/>
        <v>1224555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474201</v>
      </c>
      <c r="D129" s="1699">
        <f t="shared" ref="D129:L129" si="15">SUM(D120,D127,D128)</f>
        <v>50520</v>
      </c>
      <c r="E129" s="1699">
        <f t="shared" si="15"/>
        <v>510250</v>
      </c>
      <c r="F129" s="1699">
        <f t="shared" si="15"/>
        <v>76847</v>
      </c>
      <c r="G129" s="1699">
        <f t="shared" si="15"/>
        <v>36309</v>
      </c>
      <c r="H129" s="1699">
        <f t="shared" si="15"/>
        <v>0</v>
      </c>
      <c r="I129" s="1699">
        <f t="shared" si="15"/>
        <v>710</v>
      </c>
      <c r="J129" s="1699">
        <f t="shared" si="15"/>
        <v>0</v>
      </c>
      <c r="K129" s="1699">
        <f t="shared" si="15"/>
        <v>1148837</v>
      </c>
      <c r="L129" s="1699">
        <f t="shared" si="15"/>
        <v>1224555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474201</v>
      </c>
      <c r="D151" s="1692">
        <f t="shared" ref="D151:K151" si="16">SUM(D129,D130,D139,D149,D150)</f>
        <v>50520</v>
      </c>
      <c r="E151" s="1692">
        <f t="shared" si="16"/>
        <v>510250</v>
      </c>
      <c r="F151" s="1692">
        <f t="shared" si="16"/>
        <v>76847</v>
      </c>
      <c r="G151" s="1692">
        <f t="shared" si="16"/>
        <v>36309</v>
      </c>
      <c r="H151" s="1692">
        <f t="shared" si="16"/>
        <v>0</v>
      </c>
      <c r="I151" s="1692">
        <f t="shared" si="16"/>
        <v>710</v>
      </c>
      <c r="J151" s="1692">
        <f t="shared" si="16"/>
        <v>0</v>
      </c>
      <c r="K151" s="1692">
        <f t="shared" si="16"/>
        <v>1148837</v>
      </c>
      <c r="L151" s="1692">
        <f>SUM(L129,L130,L139,L149,L150)</f>
        <v>1224555</v>
      </c>
    </row>
    <row r="152" spans="1:14" ht="12.75" customHeight="1" thickTop="1" x14ac:dyDescent="0.2">
      <c r="A152" s="2192" t="s">
        <v>1240</v>
      </c>
      <c r="B152" s="2193"/>
      <c r="C152" s="619"/>
      <c r="D152" s="619"/>
      <c r="E152" s="619"/>
      <c r="F152" s="619"/>
      <c r="G152" s="619"/>
      <c r="H152" s="619"/>
      <c r="I152" s="619"/>
      <c r="J152" s="617"/>
      <c r="K152" s="1706">
        <f>'Revenues 9-14'!D275-'Expenditures 15-22'!K151</f>
        <v>916788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87060</v>
      </c>
      <c r="I169" s="617"/>
      <c r="J169" s="617"/>
      <c r="K169" s="1693">
        <f>SUM(C169:H169)</f>
        <v>87060</v>
      </c>
      <c r="L169" s="657">
        <v>87102</v>
      </c>
    </row>
    <row r="170" spans="1:14" ht="33.75" customHeight="1" x14ac:dyDescent="0.2">
      <c r="A170" s="670" t="s">
        <v>1769</v>
      </c>
      <c r="B170" s="672" t="s">
        <v>31</v>
      </c>
      <c r="C170" s="617"/>
      <c r="D170" s="617"/>
      <c r="E170" s="617"/>
      <c r="F170" s="617"/>
      <c r="G170" s="617"/>
      <c r="H170" s="569">
        <v>524000</v>
      </c>
      <c r="I170" s="617"/>
      <c r="J170" s="617"/>
      <c r="K170" s="1693">
        <f>SUM(C170:J170)</f>
        <v>524000</v>
      </c>
      <c r="L170" s="569">
        <v>524000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611060</v>
      </c>
      <c r="I172" s="639"/>
      <c r="J172" s="617"/>
      <c r="K172" s="1699">
        <f>SUM(K168,K169,K170,K171)</f>
        <v>611060</v>
      </c>
      <c r="L172" s="1699">
        <f>SUM(L168,L169,L170,L171)</f>
        <v>611102</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611060</v>
      </c>
      <c r="I174" s="639"/>
      <c r="J174" s="617"/>
      <c r="K174" s="1699">
        <f>SUM(K160,K172,K173)</f>
        <v>611060</v>
      </c>
      <c r="L174" s="1699">
        <f>SUM(L160,L172,L173)</f>
        <v>611102</v>
      </c>
    </row>
    <row r="175" spans="1:14" ht="13.5" thickTop="1" x14ac:dyDescent="0.2">
      <c r="A175" s="2199" t="s">
        <v>1053</v>
      </c>
      <c r="B175" s="2200"/>
      <c r="C175" s="617"/>
      <c r="D175" s="617"/>
      <c r="E175" s="617"/>
      <c r="F175" s="617"/>
      <c r="G175" s="617"/>
      <c r="H175" s="619"/>
      <c r="I175" s="617"/>
      <c r="J175" s="617"/>
      <c r="K175" s="1706">
        <f>'Revenues 9-14'!E275-'Expenditures 15-22'!K174</f>
        <v>23804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7420</v>
      </c>
      <c r="D182" s="466">
        <v>854</v>
      </c>
      <c r="E182" s="466">
        <v>918347</v>
      </c>
      <c r="F182" s="466">
        <v>5821</v>
      </c>
      <c r="G182" s="466"/>
      <c r="H182" s="466"/>
      <c r="I182" s="467"/>
      <c r="J182" s="467"/>
      <c r="K182" s="1693">
        <f>SUM(C182:J182)</f>
        <v>932442</v>
      </c>
      <c r="L182" s="466">
        <v>931251</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7420</v>
      </c>
      <c r="D184" s="1699">
        <f t="shared" ref="D184:J184" si="17">SUM(D180,D182,D183)</f>
        <v>854</v>
      </c>
      <c r="E184" s="1699">
        <f t="shared" si="17"/>
        <v>918347</v>
      </c>
      <c r="F184" s="1699">
        <f t="shared" si="17"/>
        <v>5821</v>
      </c>
      <c r="G184" s="1699">
        <f t="shared" si="17"/>
        <v>0</v>
      </c>
      <c r="H184" s="1699">
        <f t="shared" si="17"/>
        <v>0</v>
      </c>
      <c r="I184" s="1699">
        <f t="shared" si="17"/>
        <v>0</v>
      </c>
      <c r="J184" s="1699">
        <f t="shared" si="17"/>
        <v>0</v>
      </c>
      <c r="K184" s="1699">
        <f>SUM(K180,K182,K183)</f>
        <v>932442</v>
      </c>
      <c r="L184" s="1699">
        <f>SUM(L180, L182:L183)</f>
        <v>931251</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7420</v>
      </c>
      <c r="D210" s="1692">
        <f>SUM(D184,D185)</f>
        <v>854</v>
      </c>
      <c r="E210" s="1692">
        <f>SUM(E184,E185,E196)</f>
        <v>918347</v>
      </c>
      <c r="F210" s="1692">
        <f>SUM(F184,F185)</f>
        <v>5821</v>
      </c>
      <c r="G210" s="1692">
        <f>SUM(G184,G185)</f>
        <v>0</v>
      </c>
      <c r="H210" s="1692">
        <f>SUM(H184,H185,H196,H208,H209)</f>
        <v>0</v>
      </c>
      <c r="I210" s="1692">
        <f>SUM(I184,I185)</f>
        <v>0</v>
      </c>
      <c r="J210" s="1692">
        <f>SUM(J184,J185)</f>
        <v>0</v>
      </c>
      <c r="K210" s="1693">
        <f>SUM(K184,K185,K196,K208,K209)</f>
        <v>932442</v>
      </c>
      <c r="L210" s="1692">
        <f>SUM(L184,L185,L196,L208,L209)</f>
        <v>931251</v>
      </c>
    </row>
    <row r="211" spans="1:14" ht="13.5" thickTop="1" x14ac:dyDescent="0.2">
      <c r="A211" s="2199" t="s">
        <v>1053</v>
      </c>
      <c r="B211" s="2200"/>
      <c r="C211" s="619"/>
      <c r="D211" s="619"/>
      <c r="E211" s="619"/>
      <c r="F211" s="619"/>
      <c r="G211" s="619"/>
      <c r="H211" s="619"/>
      <c r="I211" s="617"/>
      <c r="J211" s="617"/>
      <c r="K211" s="1706">
        <f>'Revenues 9-14'!F275-'Expenditures 15-22'!K210</f>
        <v>343163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47438</v>
      </c>
      <c r="E215" s="617"/>
      <c r="F215" s="617"/>
      <c r="G215" s="617"/>
      <c r="H215" s="617"/>
      <c r="I215" s="617"/>
      <c r="J215" s="617"/>
      <c r="K215" s="1693">
        <f>D215</f>
        <v>47438</v>
      </c>
      <c r="L215" s="466">
        <v>49175</v>
      </c>
    </row>
    <row r="216" spans="1:14" x14ac:dyDescent="0.2">
      <c r="A216" s="1526" t="s">
        <v>165</v>
      </c>
      <c r="B216" s="615" t="s">
        <v>1024</v>
      </c>
      <c r="C216" s="617"/>
      <c r="D216" s="467">
        <v>5800</v>
      </c>
      <c r="E216" s="617"/>
      <c r="F216" s="617"/>
      <c r="G216" s="617"/>
      <c r="H216" s="617"/>
      <c r="I216" s="617"/>
      <c r="J216" s="617"/>
      <c r="K216" s="1693">
        <f t="shared" ref="K216:K228" si="19">D216</f>
        <v>5800</v>
      </c>
      <c r="L216" s="466">
        <v>5477</v>
      </c>
    </row>
    <row r="217" spans="1:14" x14ac:dyDescent="0.2">
      <c r="A217" s="1526" t="s">
        <v>166</v>
      </c>
      <c r="B217" s="615">
        <v>1200</v>
      </c>
      <c r="C217" s="617"/>
      <c r="D217" s="466">
        <v>31192</v>
      </c>
      <c r="E217" s="617"/>
      <c r="F217" s="617"/>
      <c r="G217" s="617"/>
      <c r="H217" s="617"/>
      <c r="I217" s="617"/>
      <c r="J217" s="617"/>
      <c r="K217" s="1693">
        <f t="shared" si="19"/>
        <v>31192</v>
      </c>
      <c r="L217" s="466">
        <v>33509</v>
      </c>
    </row>
    <row r="218" spans="1:14" x14ac:dyDescent="0.2">
      <c r="A218" s="1526" t="s">
        <v>296</v>
      </c>
      <c r="B218" s="615" t="s">
        <v>1025</v>
      </c>
      <c r="C218" s="617"/>
      <c r="D218" s="467">
        <v>3766</v>
      </c>
      <c r="E218" s="617"/>
      <c r="F218" s="617"/>
      <c r="G218" s="617"/>
      <c r="H218" s="617"/>
      <c r="I218" s="617"/>
      <c r="J218" s="617"/>
      <c r="K218" s="1693">
        <f t="shared" si="19"/>
        <v>3766</v>
      </c>
      <c r="L218" s="466">
        <v>4064</v>
      </c>
    </row>
    <row r="219" spans="1:14" x14ac:dyDescent="0.2">
      <c r="A219" s="1526" t="s">
        <v>297</v>
      </c>
      <c r="B219" s="615">
        <v>1250</v>
      </c>
      <c r="C219" s="617"/>
      <c r="D219" s="466">
        <v>14472</v>
      </c>
      <c r="E219" s="617"/>
      <c r="F219" s="617"/>
      <c r="G219" s="617"/>
      <c r="H219" s="617"/>
      <c r="I219" s="617"/>
      <c r="J219" s="617"/>
      <c r="K219" s="1693">
        <f t="shared" si="19"/>
        <v>14472</v>
      </c>
      <c r="L219" s="466">
        <v>14472</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2521</v>
      </c>
      <c r="E222" s="617"/>
      <c r="F222" s="617"/>
      <c r="G222" s="617"/>
      <c r="H222" s="617"/>
      <c r="I222" s="617"/>
      <c r="J222" s="617"/>
      <c r="K222" s="1693">
        <f t="shared" si="19"/>
        <v>2521</v>
      </c>
      <c r="L222" s="466">
        <v>2506</v>
      </c>
    </row>
    <row r="223" spans="1:14" x14ac:dyDescent="0.2">
      <c r="A223" s="1526" t="s">
        <v>1020</v>
      </c>
      <c r="B223" s="615">
        <v>1500</v>
      </c>
      <c r="C223" s="617"/>
      <c r="D223" s="466">
        <v>4725</v>
      </c>
      <c r="E223" s="617"/>
      <c r="F223" s="617"/>
      <c r="G223" s="617"/>
      <c r="H223" s="617"/>
      <c r="I223" s="617"/>
      <c r="J223" s="617"/>
      <c r="K223" s="1693">
        <f t="shared" si="19"/>
        <v>4725</v>
      </c>
      <c r="L223" s="466">
        <v>4782</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742</v>
      </c>
      <c r="E226" s="617"/>
      <c r="F226" s="617"/>
      <c r="G226" s="617"/>
      <c r="H226" s="617"/>
      <c r="I226" s="617"/>
      <c r="J226" s="617"/>
      <c r="K226" s="1693">
        <f t="shared" si="19"/>
        <v>742</v>
      </c>
      <c r="L226" s="466">
        <v>831</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110656</v>
      </c>
      <c r="E229" s="617"/>
      <c r="F229" s="617"/>
      <c r="G229" s="617"/>
      <c r="H229" s="617"/>
      <c r="I229" s="617"/>
      <c r="J229" s="617"/>
      <c r="K229" s="1692">
        <f>SUM(K215:K228)</f>
        <v>110656</v>
      </c>
      <c r="L229" s="1692">
        <f>SUM(L215:L228)</f>
        <v>114816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686</v>
      </c>
      <c r="E232" s="617"/>
      <c r="F232" s="617"/>
      <c r="G232" s="617"/>
      <c r="H232" s="617"/>
      <c r="I232" s="617"/>
      <c r="J232" s="617"/>
      <c r="K232" s="1693">
        <f t="shared" ref="K232:K237" si="20">D232</f>
        <v>686</v>
      </c>
      <c r="L232" s="466">
        <v>695</v>
      </c>
    </row>
    <row r="233" spans="1:12" x14ac:dyDescent="0.2">
      <c r="A233" s="1526" t="s">
        <v>1151</v>
      </c>
      <c r="B233" s="615">
        <v>2120</v>
      </c>
      <c r="C233" s="617"/>
      <c r="D233" s="466">
        <v>8927</v>
      </c>
      <c r="E233" s="617"/>
      <c r="F233" s="617"/>
      <c r="G233" s="617"/>
      <c r="H233" s="617"/>
      <c r="I233" s="617"/>
      <c r="J233" s="617"/>
      <c r="K233" s="1693">
        <f t="shared" si="20"/>
        <v>8927</v>
      </c>
      <c r="L233" s="466">
        <v>8897</v>
      </c>
    </row>
    <row r="234" spans="1:12" x14ac:dyDescent="0.2">
      <c r="A234" s="1526" t="s">
        <v>207</v>
      </c>
      <c r="B234" s="615">
        <v>2130</v>
      </c>
      <c r="C234" s="617"/>
      <c r="D234" s="466">
        <v>829</v>
      </c>
      <c r="E234" s="617"/>
      <c r="F234" s="617"/>
      <c r="G234" s="617"/>
      <c r="H234" s="617"/>
      <c r="I234" s="617"/>
      <c r="J234" s="617"/>
      <c r="K234" s="1693">
        <f t="shared" si="20"/>
        <v>829</v>
      </c>
      <c r="L234" s="466">
        <v>844</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852</v>
      </c>
      <c r="E236" s="617"/>
      <c r="F236" s="617"/>
      <c r="G236" s="617"/>
      <c r="H236" s="617"/>
      <c r="I236" s="617"/>
      <c r="J236" s="617"/>
      <c r="K236" s="1693">
        <f t="shared" si="20"/>
        <v>852</v>
      </c>
      <c r="L236" s="466">
        <v>907</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11294</v>
      </c>
      <c r="E238" s="617"/>
      <c r="F238" s="617"/>
      <c r="G238" s="617"/>
      <c r="H238" s="617"/>
      <c r="I238" s="617"/>
      <c r="J238" s="617"/>
      <c r="K238" s="1692">
        <f>SUM(K232:K237)</f>
        <v>11294</v>
      </c>
      <c r="L238" s="1692">
        <f>SUM(L232:L237)</f>
        <v>11343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107</v>
      </c>
      <c r="E240" s="617"/>
      <c r="F240" s="617"/>
      <c r="G240" s="617"/>
      <c r="H240" s="617"/>
      <c r="I240" s="617"/>
      <c r="J240" s="617"/>
      <c r="K240" s="1694">
        <f>D240</f>
        <v>107</v>
      </c>
      <c r="L240" s="481">
        <v>108</v>
      </c>
    </row>
    <row r="241" spans="1:12" x14ac:dyDescent="0.2">
      <c r="A241" s="1526" t="s">
        <v>869</v>
      </c>
      <c r="B241" s="615">
        <v>2220</v>
      </c>
      <c r="C241" s="617"/>
      <c r="D241" s="466">
        <v>8550</v>
      </c>
      <c r="E241" s="617"/>
      <c r="F241" s="617"/>
      <c r="G241" s="617"/>
      <c r="H241" s="617"/>
      <c r="I241" s="617"/>
      <c r="J241" s="617"/>
      <c r="K241" s="1694">
        <f>D241</f>
        <v>8550</v>
      </c>
      <c r="L241" s="466">
        <v>9007</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8657</v>
      </c>
      <c r="E243" s="617"/>
      <c r="F243" s="617"/>
      <c r="G243" s="617"/>
      <c r="H243" s="617"/>
      <c r="I243" s="617"/>
      <c r="J243" s="617"/>
      <c r="K243" s="1692">
        <f>SUM(K240:K242)</f>
        <v>8657</v>
      </c>
      <c r="L243" s="1692">
        <f>SUM(L240:L242)</f>
        <v>9115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11363</v>
      </c>
      <c r="E246" s="617"/>
      <c r="F246" s="617"/>
      <c r="G246" s="617"/>
      <c r="H246" s="617"/>
      <c r="I246" s="617"/>
      <c r="J246" s="617"/>
      <c r="K246" s="1694">
        <f t="shared" ref="K246:K256" si="21">D246</f>
        <v>11363</v>
      </c>
      <c r="L246" s="466">
        <v>11585</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11363</v>
      </c>
      <c r="E257" s="617"/>
      <c r="F257" s="617"/>
      <c r="G257" s="617"/>
      <c r="H257" s="617"/>
      <c r="I257" s="617"/>
      <c r="J257" s="617"/>
      <c r="K257" s="1692">
        <f>SUM(K245:K256)</f>
        <v>11363</v>
      </c>
      <c r="L257" s="1692">
        <f>SUM(L245:L256)</f>
        <v>11585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43471</v>
      </c>
      <c r="E259" s="617"/>
      <c r="F259" s="617"/>
      <c r="G259" s="617"/>
      <c r="H259" s="617"/>
      <c r="I259" s="617"/>
      <c r="J259" s="617"/>
      <c r="K259" s="1694">
        <f>D259</f>
        <v>43471</v>
      </c>
      <c r="L259" s="481">
        <v>43799</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43471</v>
      </c>
      <c r="E261" s="617"/>
      <c r="F261" s="617"/>
      <c r="G261" s="617"/>
      <c r="H261" s="617"/>
      <c r="I261" s="617"/>
      <c r="J261" s="617"/>
      <c r="K261" s="1692">
        <f>SUM(K259:K260)</f>
        <v>43471</v>
      </c>
      <c r="L261" s="1692">
        <f>SUM(L259:L260)</f>
        <v>43799</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7975</v>
      </c>
      <c r="E264" s="617"/>
      <c r="F264" s="617"/>
      <c r="G264" s="617"/>
      <c r="H264" s="617"/>
      <c r="I264" s="617"/>
      <c r="J264" s="617"/>
      <c r="K264" s="1694">
        <f t="shared" ref="K264:K269" si="22">D264</f>
        <v>7975</v>
      </c>
      <c r="L264" s="466">
        <v>8280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86966</v>
      </c>
      <c r="E266" s="617"/>
      <c r="F266" s="617"/>
      <c r="G266" s="617"/>
      <c r="H266" s="617"/>
      <c r="I266" s="617"/>
      <c r="J266" s="617"/>
      <c r="K266" s="1694">
        <f t="shared" si="22"/>
        <v>86966</v>
      </c>
      <c r="L266" s="466">
        <v>88975</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33788</v>
      </c>
      <c r="E268" s="617"/>
      <c r="F268" s="617"/>
      <c r="G268" s="617"/>
      <c r="H268" s="617"/>
      <c r="I268" s="617"/>
      <c r="J268" s="617"/>
      <c r="K268" s="1694">
        <f t="shared" si="22"/>
        <v>33788</v>
      </c>
      <c r="L268" s="466">
        <v>35606</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128729</v>
      </c>
      <c r="E270" s="617"/>
      <c r="F270" s="617"/>
      <c r="G270" s="617"/>
      <c r="H270" s="617"/>
      <c r="I270" s="617"/>
      <c r="J270" s="617"/>
      <c r="K270" s="1692">
        <f>SUM(K263:K269)</f>
        <v>128729</v>
      </c>
      <c r="L270" s="1692">
        <f>SUM(L263:L269)</f>
        <v>132861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203514</v>
      </c>
      <c r="E279" s="617"/>
      <c r="F279" s="617"/>
      <c r="G279" s="617"/>
      <c r="H279" s="617"/>
      <c r="I279" s="617"/>
      <c r="J279" s="617"/>
      <c r="K279" s="1699">
        <f>SUM(K238,K243,K257,K261,K270,K277,K278)</f>
        <v>203514</v>
      </c>
      <c r="L279" s="1699">
        <f>SUM(L238,L243,L257,L261,L270,L277,L278)</f>
        <v>208703</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314170</v>
      </c>
      <c r="E295" s="617"/>
      <c r="F295" s="617"/>
      <c r="G295" s="617"/>
      <c r="H295" s="1692">
        <f>H293</f>
        <v>0</v>
      </c>
      <c r="I295" s="617"/>
      <c r="J295" s="617"/>
      <c r="K295" s="1692">
        <f>SUM(K229,K279,K280,K285,K293,K294)</f>
        <v>314170</v>
      </c>
      <c r="L295" s="1692">
        <f>SUM(L229,L279,L280,L285,L293,L294)</f>
        <v>323519</v>
      </c>
    </row>
    <row r="296" spans="1:14" ht="13.5" thickTop="1" x14ac:dyDescent="0.2">
      <c r="A296" s="2199" t="s">
        <v>1053</v>
      </c>
      <c r="B296" s="2200"/>
      <c r="C296" s="617"/>
      <c r="D296" s="619"/>
      <c r="E296" s="617"/>
      <c r="F296" s="617"/>
      <c r="G296" s="617"/>
      <c r="H296" s="688"/>
      <c r="I296" s="617"/>
      <c r="J296" s="617"/>
      <c r="K296" s="1706">
        <f>'Revenues 9-14'!G275-'Expenditures 15-22'!K295</f>
        <v>3321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377316</v>
      </c>
      <c r="H301" s="466"/>
      <c r="I301" s="467"/>
      <c r="J301" s="467"/>
      <c r="K301" s="1693">
        <f>SUM(C301:J301)</f>
        <v>377316</v>
      </c>
      <c r="L301" s="467">
        <v>378095</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377316</v>
      </c>
      <c r="H303" s="1699">
        <f t="shared" si="23"/>
        <v>0</v>
      </c>
      <c r="I303" s="1699">
        <f t="shared" si="23"/>
        <v>0</v>
      </c>
      <c r="J303" s="1699">
        <f t="shared" si="23"/>
        <v>0</v>
      </c>
      <c r="K303" s="1699">
        <f t="shared" si="23"/>
        <v>377316</v>
      </c>
      <c r="L303" s="1699">
        <f t="shared" si="23"/>
        <v>378095</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377316</v>
      </c>
      <c r="H312" s="1692">
        <f>SUM(H303,H310)</f>
        <v>0</v>
      </c>
      <c r="I312" s="1692">
        <f>SUM(I303)</f>
        <v>0</v>
      </c>
      <c r="J312" s="1692">
        <f>SUM(J303)</f>
        <v>0</v>
      </c>
      <c r="K312" s="1692">
        <f>SUM(K303,K310,K311)</f>
        <v>377316</v>
      </c>
      <c r="L312" s="1692">
        <f>SUM(L303,L310,L311)</f>
        <v>378095</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269313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101471</v>
      </c>
      <c r="F322" s="467"/>
      <c r="G322" s="467"/>
      <c r="H322" s="467"/>
      <c r="I322" s="467"/>
      <c r="J322" s="467"/>
      <c r="K322" s="1693">
        <f t="shared" si="24"/>
        <v>101471</v>
      </c>
      <c r="L322" s="467">
        <v>101471</v>
      </c>
      <c r="M322" s="666"/>
      <c r="N322" s="666"/>
    </row>
    <row r="323" spans="1:14" s="675" customFormat="1" x14ac:dyDescent="0.2">
      <c r="A323" s="1541" t="s">
        <v>726</v>
      </c>
      <c r="B323" s="698" t="s">
        <v>303</v>
      </c>
      <c r="C323" s="467"/>
      <c r="D323" s="467"/>
      <c r="E323" s="467">
        <v>2700</v>
      </c>
      <c r="F323" s="467"/>
      <c r="G323" s="467"/>
      <c r="H323" s="467"/>
      <c r="I323" s="467"/>
      <c r="J323" s="467"/>
      <c r="K323" s="1693">
        <f t="shared" si="24"/>
        <v>2700</v>
      </c>
      <c r="L323" s="467">
        <v>2700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345958</v>
      </c>
      <c r="D325" s="467"/>
      <c r="E325" s="467"/>
      <c r="F325" s="467"/>
      <c r="G325" s="467"/>
      <c r="H325" s="467"/>
      <c r="I325" s="467"/>
      <c r="J325" s="467"/>
      <c r="K325" s="1693">
        <f t="shared" si="24"/>
        <v>345958</v>
      </c>
      <c r="L325" s="467">
        <v>360958</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345958</v>
      </c>
      <c r="D330" s="1692">
        <f t="shared" ref="D330:J330" si="25">SUM(D319:D329)</f>
        <v>0</v>
      </c>
      <c r="E330" s="1692">
        <f t="shared" si="25"/>
        <v>104171</v>
      </c>
      <c r="F330" s="1692">
        <f t="shared" si="25"/>
        <v>0</v>
      </c>
      <c r="G330" s="1692">
        <f t="shared" si="25"/>
        <v>0</v>
      </c>
      <c r="H330" s="1692">
        <f t="shared" si="25"/>
        <v>0</v>
      </c>
      <c r="I330" s="1692">
        <f t="shared" si="25"/>
        <v>0</v>
      </c>
      <c r="J330" s="1692">
        <f t="shared" si="25"/>
        <v>0</v>
      </c>
      <c r="K330" s="1692">
        <f>SUM(K319:K329)</f>
        <v>450129</v>
      </c>
      <c r="L330" s="1692">
        <f>SUM(L319:L329)</f>
        <v>465129</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345958</v>
      </c>
      <c r="D342" s="1692">
        <f>SUM(D330)</f>
        <v>0</v>
      </c>
      <c r="E342" s="1692">
        <f>SUM(E330)</f>
        <v>104171</v>
      </c>
      <c r="F342" s="1692">
        <f>SUM(F330)</f>
        <v>0</v>
      </c>
      <c r="G342" s="1692">
        <f>SUM(G330)</f>
        <v>0</v>
      </c>
      <c r="H342" s="1692">
        <f>SUM(H330,H334,H340)</f>
        <v>0</v>
      </c>
      <c r="I342" s="1692">
        <f>SUM(I330)</f>
        <v>0</v>
      </c>
      <c r="J342" s="1692">
        <f>SUM(J330)</f>
        <v>0</v>
      </c>
      <c r="K342" s="1692">
        <f>SUM(K330,K334,K340)</f>
        <v>450129</v>
      </c>
      <c r="L342" s="1699">
        <f>SUM(L330,L340,L341)</f>
        <v>465129</v>
      </c>
    </row>
    <row r="343" spans="1:14" ht="12.75" customHeight="1" thickTop="1" x14ac:dyDescent="0.2">
      <c r="A343" s="2185" t="s">
        <v>1053</v>
      </c>
      <c r="B343" s="2186"/>
      <c r="C343" s="617"/>
      <c r="D343" s="617"/>
      <c r="E343" s="617"/>
      <c r="F343" s="617"/>
      <c r="G343" s="617"/>
      <c r="H343" s="617"/>
      <c r="I343" s="617"/>
      <c r="J343" s="617"/>
      <c r="K343" s="1706">
        <f>'Revenues 9-14'!J275-'Expenditures 15-22'!K342</f>
        <v>21484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1000</v>
      </c>
      <c r="F348" s="466"/>
      <c r="G348" s="466"/>
      <c r="H348" s="466"/>
      <c r="I348" s="467"/>
      <c r="J348" s="467"/>
      <c r="K348" s="1693">
        <f>SUM(C348:J348)</f>
        <v>1000</v>
      </c>
      <c r="L348" s="466">
        <v>1000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1000</v>
      </c>
      <c r="F350" s="1692">
        <f t="shared" si="26"/>
        <v>0</v>
      </c>
      <c r="G350" s="1692">
        <f t="shared" si="26"/>
        <v>0</v>
      </c>
      <c r="H350" s="1692">
        <f t="shared" si="26"/>
        <v>0</v>
      </c>
      <c r="I350" s="1692">
        <f t="shared" si="26"/>
        <v>0</v>
      </c>
      <c r="J350" s="1692">
        <f t="shared" si="26"/>
        <v>0</v>
      </c>
      <c r="K350" s="1692">
        <f t="shared" si="26"/>
        <v>1000</v>
      </c>
      <c r="L350" s="1692">
        <f t="shared" si="26"/>
        <v>1000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1000</v>
      </c>
      <c r="F352" s="1692">
        <f t="shared" si="27"/>
        <v>0</v>
      </c>
      <c r="G352" s="1692">
        <f t="shared" si="27"/>
        <v>0</v>
      </c>
      <c r="H352" s="1692">
        <f t="shared" si="27"/>
        <v>0</v>
      </c>
      <c r="I352" s="1692">
        <f t="shared" si="27"/>
        <v>0</v>
      </c>
      <c r="J352" s="1692">
        <f t="shared" si="27"/>
        <v>0</v>
      </c>
      <c r="K352" s="1692">
        <f t="shared" si="27"/>
        <v>1000</v>
      </c>
      <c r="L352" s="1692">
        <f t="shared" si="27"/>
        <v>1000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1000</v>
      </c>
      <c r="F367" s="1692">
        <f t="shared" si="28"/>
        <v>0</v>
      </c>
      <c r="G367" s="1692">
        <f t="shared" si="28"/>
        <v>0</v>
      </c>
      <c r="H367" s="1692">
        <f t="shared" si="28"/>
        <v>0</v>
      </c>
      <c r="I367" s="1692">
        <f t="shared" si="28"/>
        <v>0</v>
      </c>
      <c r="J367" s="1692">
        <f t="shared" si="28"/>
        <v>0</v>
      </c>
      <c r="K367" s="1692">
        <f t="shared" si="28"/>
        <v>1000</v>
      </c>
      <c r="L367" s="1692">
        <f t="shared" si="28"/>
        <v>1000</v>
      </c>
    </row>
    <row r="368" spans="1:14" ht="13.5" thickTop="1" x14ac:dyDescent="0.2">
      <c r="A368" s="2199" t="s">
        <v>1053</v>
      </c>
      <c r="B368" s="2200"/>
      <c r="C368" s="655"/>
      <c r="D368" s="655"/>
      <c r="E368" s="627"/>
      <c r="F368" s="627"/>
      <c r="G368" s="627"/>
      <c r="H368" s="627"/>
      <c r="I368" s="627"/>
      <c r="J368" s="624"/>
      <c r="K368" s="1693">
        <f>'Revenues 9-14'!K275-'Expenditures 15-22'!K367</f>
        <v>118069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
See notes.
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4350947</v>
      </c>
      <c r="C4" s="1546"/>
      <c r="D4" s="1774">
        <f>B4-C4</f>
        <v>4350947</v>
      </c>
      <c r="E4" s="1546">
        <v>3592595</v>
      </c>
      <c r="F4" s="1774">
        <f>E4-C4</f>
        <v>3592595</v>
      </c>
    </row>
    <row r="5" spans="1:6" ht="13.7" customHeight="1" x14ac:dyDescent="0.2">
      <c r="A5" s="716" t="s">
        <v>925</v>
      </c>
      <c r="B5" s="1772">
        <f>'Revenues 9-14'!D5</f>
        <v>1182540</v>
      </c>
      <c r="C5" s="585"/>
      <c r="D5" s="1775">
        <f t="shared" ref="D5:D18" si="0">B5-C5</f>
        <v>1182540</v>
      </c>
      <c r="E5" s="585">
        <v>976249</v>
      </c>
      <c r="F5" s="1775">
        <f>E5-C5</f>
        <v>976249</v>
      </c>
    </row>
    <row r="6" spans="1:6" ht="13.7" customHeight="1" x14ac:dyDescent="0.2">
      <c r="A6" s="716" t="s">
        <v>431</v>
      </c>
      <c r="B6" s="1772">
        <f>'Revenues 9-14'!E5</f>
        <v>632661</v>
      </c>
      <c r="C6" s="585"/>
      <c r="D6" s="1775">
        <f t="shared" si="0"/>
        <v>632661</v>
      </c>
      <c r="E6" s="585">
        <v>636529</v>
      </c>
      <c r="F6" s="1775">
        <f t="shared" ref="F6:F18" si="1">E6-C6</f>
        <v>636529</v>
      </c>
    </row>
    <row r="7" spans="1:6" ht="13.7" customHeight="1" x14ac:dyDescent="0.2">
      <c r="A7" s="716" t="s">
        <v>157</v>
      </c>
      <c r="B7" s="1772">
        <f>'Revenues 9-14'!F5</f>
        <v>473019</v>
      </c>
      <c r="C7" s="585"/>
      <c r="D7" s="1775">
        <f t="shared" si="0"/>
        <v>473019</v>
      </c>
      <c r="E7" s="585">
        <v>390499</v>
      </c>
      <c r="F7" s="1775">
        <f t="shared" si="1"/>
        <v>390499</v>
      </c>
    </row>
    <row r="8" spans="1:6" ht="13.7" customHeight="1" x14ac:dyDescent="0.2">
      <c r="A8" s="716" t="s">
        <v>1241</v>
      </c>
      <c r="B8" s="1772">
        <f>'Revenues 9-14'!G5</f>
        <v>79125</v>
      </c>
      <c r="C8" s="585"/>
      <c r="D8" s="1775">
        <f t="shared" si="0"/>
        <v>79125</v>
      </c>
      <c r="E8" s="585">
        <v>80253</v>
      </c>
      <c r="F8" s="1775">
        <f t="shared" si="1"/>
        <v>80253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118251</v>
      </c>
      <c r="C10" s="585"/>
      <c r="D10" s="1775">
        <f t="shared" si="0"/>
        <v>118251</v>
      </c>
      <c r="E10" s="585">
        <v>97625</v>
      </c>
      <c r="F10" s="1775">
        <f t="shared" si="1"/>
        <v>97625</v>
      </c>
    </row>
    <row r="11" spans="1:6" x14ac:dyDescent="0.2">
      <c r="A11" s="716" t="s">
        <v>429</v>
      </c>
      <c r="B11" s="1772">
        <f>'Revenues 9-14'!J5</f>
        <v>469761</v>
      </c>
      <c r="C11" s="585"/>
      <c r="D11" s="1775">
        <f t="shared" si="0"/>
        <v>469761</v>
      </c>
      <c r="E11" s="585">
        <v>501504</v>
      </c>
      <c r="F11" s="1775">
        <f t="shared" si="1"/>
        <v>501504</v>
      </c>
    </row>
    <row r="12" spans="1:6" ht="13.7" customHeight="1" x14ac:dyDescent="0.2">
      <c r="A12" s="716" t="s">
        <v>159</v>
      </c>
      <c r="B12" s="1772">
        <f>'Revenues 9-14'!K5</f>
        <v>118251</v>
      </c>
      <c r="C12" s="585"/>
      <c r="D12" s="1775">
        <f t="shared" si="0"/>
        <v>118251</v>
      </c>
      <c r="E12" s="585">
        <v>97625</v>
      </c>
      <c r="F12" s="1775">
        <f t="shared" si="1"/>
        <v>97625</v>
      </c>
    </row>
    <row r="13" spans="1:6" ht="13.7" customHeight="1" x14ac:dyDescent="0.2">
      <c r="A13" s="716" t="s">
        <v>993</v>
      </c>
      <c r="B13" s="1772">
        <f>SUM('Revenues 9-14'!C6:D6)</f>
        <v>118251</v>
      </c>
      <c r="C13" s="585"/>
      <c r="D13" s="1775">
        <f t="shared" si="0"/>
        <v>118251</v>
      </c>
      <c r="E13" s="585">
        <v>97625</v>
      </c>
      <c r="F13" s="1775">
        <f t="shared" si="1"/>
        <v>97625</v>
      </c>
    </row>
    <row r="14" spans="1:6" ht="13.7" customHeight="1" x14ac:dyDescent="0.2">
      <c r="A14" s="716" t="s">
        <v>430</v>
      </c>
      <c r="B14" s="1772">
        <f>SUM('Revenues 9-14'!C7:D7,'Revenues 9-14'!F7:H7)</f>
        <v>94604</v>
      </c>
      <c r="C14" s="585"/>
      <c r="D14" s="1775">
        <f t="shared" si="0"/>
        <v>94604</v>
      </c>
      <c r="E14" s="585">
        <v>78100</v>
      </c>
      <c r="F14" s="1775">
        <f t="shared" si="1"/>
        <v>78100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179011</v>
      </c>
      <c r="C16" s="585"/>
      <c r="D16" s="1775">
        <f t="shared" si="0"/>
        <v>179011</v>
      </c>
      <c r="E16" s="585">
        <v>175533</v>
      </c>
      <c r="F16" s="1775">
        <f t="shared" si="1"/>
        <v>175533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7816421</v>
      </c>
      <c r="C19" s="1773">
        <f>SUM(C4:C18)</f>
        <v>0</v>
      </c>
      <c r="D19" s="1773">
        <f>SUM(D4:D18)</f>
        <v>7816421</v>
      </c>
      <c r="E19" s="1773">
        <f>SUM(E4:E18)</f>
        <v>6724137</v>
      </c>
      <c r="F19" s="1773">
        <f>SUM(F4:F18)</f>
        <v>6724137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A34" sqref="A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2036</v>
      </c>
      <c r="D2" s="724" t="s">
        <v>2043</v>
      </c>
      <c r="E2" s="724" t="s">
        <v>2044</v>
      </c>
      <c r="F2" s="1909" t="s">
        <v>2037</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2090</v>
      </c>
      <c r="B31" s="734">
        <v>40241</v>
      </c>
      <c r="C31" s="735">
        <v>1450000</v>
      </c>
      <c r="D31" s="736">
        <v>4</v>
      </c>
      <c r="E31" s="735">
        <v>495000</v>
      </c>
      <c r="F31" s="735"/>
      <c r="G31" s="735"/>
      <c r="H31" s="735">
        <v>160000</v>
      </c>
      <c r="I31" s="1778">
        <f>((E31+F31)-H31)+G31</f>
        <v>335000</v>
      </c>
      <c r="J31" s="735">
        <v>335000</v>
      </c>
      <c r="K31" s="737"/>
    </row>
    <row r="32" spans="1:11" ht="12" customHeight="1" x14ac:dyDescent="0.2">
      <c r="A32" s="733" t="s">
        <v>2090</v>
      </c>
      <c r="B32" s="734">
        <v>41067</v>
      </c>
      <c r="C32" s="735">
        <v>3100000</v>
      </c>
      <c r="D32" s="736">
        <v>4</v>
      </c>
      <c r="E32" s="735">
        <v>1600000</v>
      </c>
      <c r="F32" s="735"/>
      <c r="G32" s="735"/>
      <c r="H32" s="735">
        <v>310000</v>
      </c>
      <c r="I32" s="1778">
        <f>((E32+F32)-H32)+G32</f>
        <v>1290000</v>
      </c>
      <c r="J32" s="735">
        <v>1290000</v>
      </c>
      <c r="K32" s="737"/>
    </row>
    <row r="33" spans="1:11" ht="12" customHeight="1" x14ac:dyDescent="0.2">
      <c r="A33" s="733" t="s">
        <v>2090</v>
      </c>
      <c r="B33" s="734">
        <v>42444</v>
      </c>
      <c r="C33" s="735">
        <v>1500000</v>
      </c>
      <c r="D33" s="736">
        <v>4</v>
      </c>
      <c r="E33" s="735">
        <v>1500000</v>
      </c>
      <c r="F33" s="735"/>
      <c r="G33" s="735"/>
      <c r="H33" s="735">
        <v>54000</v>
      </c>
      <c r="I33" s="1778">
        <f t="shared" ref="I33:I48" si="1">((E33+F33)-H33)+G33</f>
        <v>1446000</v>
      </c>
      <c r="J33" s="735">
        <v>1446000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6050000</v>
      </c>
      <c r="D49" s="746"/>
      <c r="E49" s="1778">
        <f t="shared" ref="E49:J49" si="2">SUM(E31:E48)</f>
        <v>3595000</v>
      </c>
      <c r="F49" s="1778">
        <f t="shared" si="2"/>
        <v>0</v>
      </c>
      <c r="G49" s="1778">
        <f t="shared" si="2"/>
        <v>0</v>
      </c>
      <c r="H49" s="1778">
        <f t="shared" si="2"/>
        <v>524000</v>
      </c>
      <c r="I49" s="1778">
        <f t="shared" si="2"/>
        <v>3071000</v>
      </c>
      <c r="J49" s="1778">
        <f t="shared" si="2"/>
        <v>3071000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v>-2952508</v>
      </c>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94604</v>
      </c>
      <c r="I5" s="773"/>
      <c r="J5" s="774"/>
      <c r="K5" s="774"/>
    </row>
    <row r="6" spans="1:11" x14ac:dyDescent="0.2">
      <c r="A6" s="775" t="s">
        <v>744</v>
      </c>
      <c r="B6" s="776"/>
      <c r="C6" s="776"/>
      <c r="D6" s="776"/>
      <c r="E6" s="777"/>
      <c r="F6" s="778" t="s">
        <v>904</v>
      </c>
      <c r="G6" s="765"/>
      <c r="H6" s="765"/>
      <c r="I6" s="765"/>
      <c r="J6" s="766">
        <v>2254</v>
      </c>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644375</v>
      </c>
      <c r="K8" s="770"/>
    </row>
    <row r="9" spans="1:11" x14ac:dyDescent="0.2">
      <c r="A9" s="779" t="s">
        <v>140</v>
      </c>
      <c r="B9" s="780"/>
      <c r="C9" s="780"/>
      <c r="D9" s="780"/>
      <c r="E9" s="781"/>
      <c r="F9" s="778" t="s">
        <v>908</v>
      </c>
      <c r="G9" s="783"/>
      <c r="H9" s="772"/>
      <c r="I9" s="772"/>
      <c r="J9" s="782"/>
      <c r="K9" s="766">
        <v>17350</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94604</v>
      </c>
      <c r="I12" s="1780">
        <f>SUM(I5:I11)</f>
        <v>0</v>
      </c>
      <c r="J12" s="1780">
        <f>SUM(J5:J11)</f>
        <v>646629</v>
      </c>
      <c r="K12" s="1780">
        <f>SUM(K5:K11)</f>
        <v>17350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94604</v>
      </c>
      <c r="I14" s="772"/>
      <c r="J14" s="774"/>
      <c r="K14" s="766">
        <v>17350</v>
      </c>
    </row>
    <row r="15" spans="1:11" x14ac:dyDescent="0.2">
      <c r="A15" s="2232" t="s">
        <v>4</v>
      </c>
      <c r="B15" s="2232"/>
      <c r="C15" s="2232"/>
      <c r="D15" s="2232"/>
      <c r="E15" s="2260"/>
      <c r="F15" s="790" t="s">
        <v>910</v>
      </c>
      <c r="G15" s="772"/>
      <c r="H15" s="765"/>
      <c r="I15" s="765"/>
      <c r="J15" s="766">
        <v>377316</v>
      </c>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94604</v>
      </c>
      <c r="I23" s="1780">
        <f>SUM(I14:I16,I21,I22)</f>
        <v>0</v>
      </c>
      <c r="J23" s="1780">
        <f>SUM(J14:J16,J21,J22)</f>
        <v>377316</v>
      </c>
      <c r="K23" s="1780">
        <f>SUM(K14:K16,K21,K22)</f>
        <v>17350</v>
      </c>
    </row>
    <row r="24" spans="1:11" ht="14.25" thickTop="1" thickBot="1" x14ac:dyDescent="0.25">
      <c r="A24" s="2253" t="s">
        <v>2024</v>
      </c>
      <c r="B24" s="2252"/>
      <c r="C24" s="2252"/>
      <c r="D24" s="2252"/>
      <c r="E24" s="2252"/>
      <c r="F24" s="1784"/>
      <c r="G24" s="1785">
        <f>SUM(G3,G12)-G23</f>
        <v>0</v>
      </c>
      <c r="H24" s="1785">
        <f>SUM(H3,H12)-H23</f>
        <v>0</v>
      </c>
      <c r="I24" s="1785">
        <f>SUM(I3,I12)-I23</f>
        <v>0</v>
      </c>
      <c r="J24" s="1785">
        <f>SUM(J3,J12)-J23</f>
        <v>-2683195</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-2683195</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509955</v>
      </c>
      <c r="D5" s="842"/>
      <c r="E5" s="842"/>
      <c r="F5" s="1782">
        <f>(C5+D5)-E5</f>
        <v>509955</v>
      </c>
      <c r="G5" s="838"/>
      <c r="H5" s="843"/>
      <c r="I5" s="843"/>
      <c r="J5" s="843"/>
      <c r="K5" s="794"/>
      <c r="L5" s="1791">
        <f>F5-K5</f>
        <v>509955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24351259</v>
      </c>
      <c r="D8" s="845">
        <v>311289</v>
      </c>
      <c r="E8" s="845"/>
      <c r="F8" s="1782">
        <f>(C8+D8)-E8</f>
        <v>24662548</v>
      </c>
      <c r="G8" s="844">
        <v>50</v>
      </c>
      <c r="H8" s="766">
        <v>8749301</v>
      </c>
      <c r="I8" s="766">
        <v>758115</v>
      </c>
      <c r="J8" s="766"/>
      <c r="K8" s="1791">
        <f>(H8+I8)-J8</f>
        <v>9507416</v>
      </c>
      <c r="L8" s="1791">
        <f>F8-K8</f>
        <v>15155132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1339518</v>
      </c>
      <c r="D10" s="847"/>
      <c r="E10" s="847"/>
      <c r="F10" s="1786">
        <f>(C10+D10)-E10</f>
        <v>1339518</v>
      </c>
      <c r="G10" s="844">
        <v>20</v>
      </c>
      <c r="H10" s="848">
        <v>592667</v>
      </c>
      <c r="I10" s="848">
        <v>67980</v>
      </c>
      <c r="J10" s="848"/>
      <c r="K10" s="1791">
        <f>(H10+I10)-J10</f>
        <v>660647</v>
      </c>
      <c r="L10" s="1791">
        <f>F10-K10</f>
        <v>678871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963047</v>
      </c>
      <c r="D12" s="845">
        <v>102335</v>
      </c>
      <c r="E12" s="845">
        <v>60339</v>
      </c>
      <c r="F12" s="1782">
        <f>(C12+D12)-E12</f>
        <v>1005043</v>
      </c>
      <c r="G12" s="844">
        <v>10</v>
      </c>
      <c r="H12" s="766">
        <v>746228</v>
      </c>
      <c r="I12" s="766">
        <v>68579</v>
      </c>
      <c r="J12" s="766">
        <v>60339</v>
      </c>
      <c r="K12" s="1791">
        <f>(H12+I12)-J12</f>
        <v>754468</v>
      </c>
      <c r="L12" s="1791">
        <f>F12-K12</f>
        <v>250575</v>
      </c>
    </row>
    <row r="13" spans="1:14" ht="14.25" thickTop="1" thickBot="1" x14ac:dyDescent="0.25">
      <c r="A13" s="849" t="s">
        <v>1184</v>
      </c>
      <c r="B13" s="841">
        <v>252</v>
      </c>
      <c r="C13" s="845">
        <v>350922</v>
      </c>
      <c r="D13" s="845"/>
      <c r="E13" s="845">
        <v>158721</v>
      </c>
      <c r="F13" s="1782">
        <f>(C13+D13)-E13</f>
        <v>192201</v>
      </c>
      <c r="G13" s="844">
        <v>5</v>
      </c>
      <c r="H13" s="766">
        <v>320188</v>
      </c>
      <c r="I13" s="766">
        <v>7928</v>
      </c>
      <c r="J13" s="766">
        <v>158721</v>
      </c>
      <c r="K13" s="1791">
        <f>(H13+I13)-J13</f>
        <v>169395</v>
      </c>
      <c r="L13" s="1791">
        <f>F13-K13</f>
        <v>22806</v>
      </c>
    </row>
    <row r="14" spans="1:14" ht="14.25" thickTop="1" thickBot="1" x14ac:dyDescent="0.25">
      <c r="A14" s="849" t="s">
        <v>1185</v>
      </c>
      <c r="B14" s="841">
        <v>253</v>
      </c>
      <c r="C14" s="766">
        <v>71838</v>
      </c>
      <c r="D14" s="766"/>
      <c r="E14" s="766">
        <v>36426</v>
      </c>
      <c r="F14" s="1782">
        <f>(C14+D14)-E14</f>
        <v>35412</v>
      </c>
      <c r="G14" s="844">
        <v>3</v>
      </c>
      <c r="H14" s="766">
        <v>71838</v>
      </c>
      <c r="I14" s="766"/>
      <c r="J14" s="766">
        <v>36426</v>
      </c>
      <c r="K14" s="1791">
        <f>(H14+I14)-J14</f>
        <v>35412</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27586539</v>
      </c>
      <c r="D16" s="1782">
        <f>SUM(D3,D5:D6,D8:D10,D12:D15)</f>
        <v>413624</v>
      </c>
      <c r="E16" s="1782">
        <f>SUM(E3,E5:E6,E8:E10,E12:E15)</f>
        <v>255486</v>
      </c>
      <c r="F16" s="1782">
        <f>SUM(F3,F5:F6,F8:F10,F12:F15)</f>
        <v>27744677</v>
      </c>
      <c r="G16" s="844"/>
      <c r="H16" s="1782">
        <f>SUM(H3,H6,H8:H10,H12:H14,)</f>
        <v>10480222</v>
      </c>
      <c r="I16" s="1782">
        <f>SUM(I3,I6,I8:I10,I12:I14,)</f>
        <v>902602</v>
      </c>
      <c r="J16" s="1782">
        <f>SUM(J3,J6,J8:J10,J12:J14,)</f>
        <v>255486</v>
      </c>
      <c r="K16" s="1782">
        <f>(H16+I16)-J16</f>
        <v>11127338</v>
      </c>
      <c r="L16" s="1782">
        <f>F16-K16</f>
        <v>16617339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118721</v>
      </c>
      <c r="G17" s="838">
        <v>10</v>
      </c>
      <c r="H17" s="770"/>
      <c r="I17" s="1791">
        <f>F17/G17</f>
        <v>11872.1</v>
      </c>
      <c r="J17" s="770"/>
      <c r="K17" s="796"/>
      <c r="L17" s="796"/>
    </row>
    <row r="18" spans="1:12" ht="14.25" thickTop="1" thickBot="1" x14ac:dyDescent="0.25">
      <c r="A18" s="1789" t="s">
        <v>706</v>
      </c>
      <c r="B18" s="1790"/>
      <c r="C18" s="772"/>
      <c r="D18" s="772"/>
      <c r="E18" s="772"/>
      <c r="F18" s="851"/>
      <c r="G18" s="852"/>
      <c r="H18" s="774"/>
      <c r="I18" s="1782">
        <f>SUM(I16,I17)</f>
        <v>914474.1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2" activePane="bottomLeft" state="frozen"/>
      <selection activeCell="A8" sqref="A8"/>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7621664</v>
      </c>
      <c r="G8" s="866"/>
    </row>
    <row r="9" spans="1:7" x14ac:dyDescent="0.2">
      <c r="A9" s="870" t="s">
        <v>480</v>
      </c>
      <c r="B9" s="871" t="s">
        <v>1988</v>
      </c>
      <c r="C9" s="872"/>
      <c r="D9" s="870" t="s">
        <v>522</v>
      </c>
      <c r="E9" s="869"/>
      <c r="F9" s="1935">
        <f>'Expenditures 15-22'!K151</f>
        <v>1148837</v>
      </c>
      <c r="G9" s="873"/>
    </row>
    <row r="10" spans="1:7" x14ac:dyDescent="0.2">
      <c r="A10" s="870" t="s">
        <v>520</v>
      </c>
      <c r="B10" s="871" t="s">
        <v>1989</v>
      </c>
      <c r="C10" s="872"/>
      <c r="D10" s="870" t="s">
        <v>522</v>
      </c>
      <c r="E10" s="869"/>
      <c r="F10" s="1935">
        <f>'Expenditures 15-22'!K174</f>
        <v>611060</v>
      </c>
      <c r="G10" s="873"/>
    </row>
    <row r="11" spans="1:7" x14ac:dyDescent="0.2">
      <c r="A11" s="870" t="s">
        <v>481</v>
      </c>
      <c r="B11" s="871" t="s">
        <v>1990</v>
      </c>
      <c r="C11" s="872"/>
      <c r="D11" s="870" t="s">
        <v>522</v>
      </c>
      <c r="E11" s="869"/>
      <c r="F11" s="1935">
        <f>'Expenditures 15-22'!K210</f>
        <v>932442</v>
      </c>
      <c r="G11" s="873"/>
    </row>
    <row r="12" spans="1:7" x14ac:dyDescent="0.2">
      <c r="A12" s="870" t="s">
        <v>482</v>
      </c>
      <c r="B12" s="871" t="s">
        <v>1991</v>
      </c>
      <c r="C12" s="872"/>
      <c r="D12" s="870" t="s">
        <v>522</v>
      </c>
      <c r="E12" s="869"/>
      <c r="F12" s="1935">
        <f>'Expenditures 15-22'!K295</f>
        <v>314170</v>
      </c>
      <c r="G12" s="873"/>
    </row>
    <row r="13" spans="1:7" x14ac:dyDescent="0.2">
      <c r="A13" s="870" t="s">
        <v>108</v>
      </c>
      <c r="B13" s="871" t="s">
        <v>1992</v>
      </c>
      <c r="C13" s="872"/>
      <c r="D13" s="870" t="s">
        <v>522</v>
      </c>
      <c r="E13" s="869"/>
      <c r="F13" s="1935">
        <f>'Expenditures 15-22'!K342</f>
        <v>450129</v>
      </c>
      <c r="G13" s="874"/>
    </row>
    <row r="14" spans="1:7" ht="12" customHeight="1" thickBot="1" x14ac:dyDescent="0.25">
      <c r="A14" s="1792"/>
      <c r="B14" s="1793"/>
      <c r="C14" s="1794"/>
      <c r="D14" s="1795" t="s">
        <v>522</v>
      </c>
      <c r="E14" s="1796" t="s">
        <v>1015</v>
      </c>
      <c r="F14" s="1797">
        <f>SUM(F8:F13)</f>
        <v>11078302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5384</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83655</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81300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2584</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144743</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648465</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118011</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36309</v>
      </c>
      <c r="G58" s="866"/>
    </row>
    <row r="59" spans="1:7" x14ac:dyDescent="0.2">
      <c r="A59" s="894" t="s">
        <v>480</v>
      </c>
      <c r="B59" s="857" t="s">
        <v>1995</v>
      </c>
      <c r="C59" s="895" t="s">
        <v>1039</v>
      </c>
      <c r="D59" s="857" t="s">
        <v>309</v>
      </c>
      <c r="F59" s="1942">
        <f>'Expenditures 15-22'!I151</f>
        <v>710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524000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5800</v>
      </c>
      <c r="G67" s="866"/>
    </row>
    <row r="68" spans="1:8" x14ac:dyDescent="0.2">
      <c r="A68" s="870" t="s">
        <v>482</v>
      </c>
      <c r="B68" s="870" t="s">
        <v>1555</v>
      </c>
      <c r="C68" s="887" t="str">
        <f>'Expenditures 15-22'!B218</f>
        <v>1225</v>
      </c>
      <c r="D68" s="893" t="str">
        <f>'Expenditures 15-22'!A218</f>
        <v>Special Education Programs - Pre-K</v>
      </c>
      <c r="E68" s="869"/>
      <c r="F68" s="1939">
        <f>'Expenditures 15-22'!K218</f>
        <v>3766</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1654727</v>
      </c>
      <c r="G76" s="866"/>
    </row>
    <row r="77" spans="1:8" s="894" customFormat="1" ht="12" customHeight="1" thickTop="1" thickBot="1" x14ac:dyDescent="0.25">
      <c r="A77" s="1801"/>
      <c r="B77" s="1798"/>
      <c r="C77" s="1794"/>
      <c r="D77" s="1799" t="s">
        <v>2011</v>
      </c>
      <c r="E77" s="1796"/>
      <c r="F77" s="1802">
        <f>(F14-F76)</f>
        <v>9423575</v>
      </c>
      <c r="G77" s="870"/>
    </row>
    <row r="78" spans="1:8" s="894" customFormat="1" ht="12" customHeight="1" thickTop="1" x14ac:dyDescent="0.2">
      <c r="A78" s="1803"/>
      <c r="B78" s="1798"/>
      <c r="C78" s="1794"/>
      <c r="D78" s="1799" t="s">
        <v>2057</v>
      </c>
      <c r="E78" s="1796"/>
      <c r="F78" s="899">
        <v>950.78</v>
      </c>
      <c r="G78" s="900"/>
      <c r="H78" s="870"/>
    </row>
    <row r="79" spans="1:8" s="894" customFormat="1" ht="12" customHeight="1" thickBot="1" x14ac:dyDescent="0.25">
      <c r="A79" s="1804"/>
      <c r="B79" s="1798"/>
      <c r="C79" s="1794"/>
      <c r="D79" s="1799" t="s">
        <v>2012</v>
      </c>
      <c r="E79" s="1796" t="s">
        <v>1015</v>
      </c>
      <c r="F79" s="1805">
        <f>IF(F78&gt;0,F77/F78," Complete Line 78")</f>
        <v>9911.4148383432548</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236919</v>
      </c>
      <c r="G94" s="913"/>
    </row>
    <row r="95" spans="1:7" x14ac:dyDescent="0.2">
      <c r="A95" s="909" t="s">
        <v>142</v>
      </c>
      <c r="B95" s="909" t="s">
        <v>177</v>
      </c>
      <c r="C95" s="911">
        <v>1700</v>
      </c>
      <c r="D95" s="919" t="str">
        <f>'Revenues 9-14'!A82</f>
        <v>Total District/School Activity Income</v>
      </c>
      <c r="E95" s="907"/>
      <c r="F95" s="1811">
        <f>SUM('Revenues 9-14'!C82,'Revenues 9-14'!D82)</f>
        <v>39359</v>
      </c>
      <c r="G95" s="913"/>
    </row>
    <row r="96" spans="1:7" x14ac:dyDescent="0.2">
      <c r="A96" s="909" t="s">
        <v>479</v>
      </c>
      <c r="B96" s="909" t="s">
        <v>178</v>
      </c>
      <c r="C96" s="911">
        <f>'Revenues 9-14'!B84</f>
        <v>1811</v>
      </c>
      <c r="D96" s="912" t="str">
        <f>'Revenues 9-14'!A84</f>
        <v>Rentals - Regular Textbooks</v>
      </c>
      <c r="E96" s="907"/>
      <c r="F96" s="1811">
        <f>'Revenues 9-14'!C84</f>
        <v>24303</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32275</v>
      </c>
      <c r="G104" s="913"/>
    </row>
    <row r="105" spans="1:7" x14ac:dyDescent="0.2">
      <c r="A105" s="909" t="s">
        <v>524</v>
      </c>
      <c r="B105" s="909" t="s">
        <v>842</v>
      </c>
      <c r="C105" s="914">
        <v>3100</v>
      </c>
      <c r="D105" s="920" t="str">
        <f>'Revenues 9-14'!A131</f>
        <v>Total Special Education</v>
      </c>
      <c r="E105" s="907"/>
      <c r="F105" s="1811">
        <f>SUM('Revenues 9-14'!C131:D131,'Revenues 9-14'!F131)</f>
        <v>178125</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9638</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3618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17350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561210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220952</v>
      </c>
      <c r="G129" s="931"/>
    </row>
    <row r="130" spans="1:7" x14ac:dyDescent="0.2">
      <c r="A130" s="928" t="s">
        <v>689</v>
      </c>
      <c r="B130" s="928" t="s">
        <v>804</v>
      </c>
      <c r="C130" s="933">
        <v>4300</v>
      </c>
      <c r="D130" s="934" t="str">
        <f>'Revenues 9-14'!A211</f>
        <v>Total Title I</v>
      </c>
      <c r="E130" s="907"/>
      <c r="F130" s="1811">
        <f>SUM('Revenues 9-14'!C211,'Revenues 9-14'!D211,'Revenues 9-14'!F211,'Revenues 9-14'!G211)</f>
        <v>141797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163994</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509</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38323</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9796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42685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1721603</v>
      </c>
    </row>
    <row r="179" spans="1:7" ht="12" customHeight="1" x14ac:dyDescent="0.2">
      <c r="A179" s="1792"/>
      <c r="B179" s="1806"/>
      <c r="C179" s="1807"/>
      <c r="D179" s="1808" t="s">
        <v>2014</v>
      </c>
      <c r="E179" s="1809"/>
      <c r="F179" s="1811">
        <f>'PCTC-OEPP 27-28'!F77-F178</f>
        <v>7701972</v>
      </c>
    </row>
    <row r="180" spans="1:7" ht="12" customHeight="1" x14ac:dyDescent="0.2">
      <c r="A180" s="1792"/>
      <c r="B180" s="1806"/>
      <c r="C180" s="1807"/>
      <c r="D180" s="1808" t="s">
        <v>1924</v>
      </c>
      <c r="E180" s="1809"/>
      <c r="F180" s="1811">
        <f>'Cap Outlay Deprec 26'!I18</f>
        <v>914474.1</v>
      </c>
    </row>
    <row r="181" spans="1:7" ht="12" customHeight="1" x14ac:dyDescent="0.2">
      <c r="A181" s="1792"/>
      <c r="B181" s="1806"/>
      <c r="C181" s="1807"/>
      <c r="D181" s="1808" t="s">
        <v>2015</v>
      </c>
      <c r="E181" s="1809"/>
      <c r="F181" s="1811">
        <f>F179+F180</f>
        <v>8616446.0999999996</v>
      </c>
    </row>
    <row r="182" spans="1:7" ht="12" customHeight="1" x14ac:dyDescent="0.2">
      <c r="A182" s="1792"/>
      <c r="B182" s="1812"/>
      <c r="C182" s="1807"/>
      <c r="D182" s="1808" t="str">
        <f>D78</f>
        <v>9 Month ADA from District Average Daily Attendance/Prior General State Aid Inquiry 2017-2018</v>
      </c>
      <c r="E182" s="1809"/>
      <c r="F182" s="1813">
        <f>'PCTC-OEPP 27-28'!F78</f>
        <v>950.78</v>
      </c>
      <c r="G182" s="931"/>
    </row>
    <row r="183" spans="1:7" ht="12" customHeight="1" thickBot="1" x14ac:dyDescent="0.25">
      <c r="A183" s="1792"/>
      <c r="B183" s="1812"/>
      <c r="C183" s="1807"/>
      <c r="D183" s="1808" t="s">
        <v>2016</v>
      </c>
      <c r="E183" s="1809" t="s">
        <v>1626</v>
      </c>
      <c r="F183" s="1814">
        <f>F181/F182</f>
        <v>9062.5024716548523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8" sqref="A8"/>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2091</v>
      </c>
      <c r="B17" s="1957" t="s">
        <v>2092</v>
      </c>
      <c r="C17" s="1958" t="s">
        <v>2093</v>
      </c>
      <c r="D17" s="1867">
        <v>255150</v>
      </c>
      <c r="E17" s="1562">
        <f t="shared" ref="E17:E141" si="1">IF(D17&lt;=25000,D17,IF(D17&gt;25000,25000,0))</f>
        <v>25000</v>
      </c>
      <c r="F17" s="1815">
        <f t="shared" si="0"/>
        <v>25000</v>
      </c>
      <c r="G17" s="1816">
        <f>IF(F17=0,0,D17-F17)</f>
        <v>230150</v>
      </c>
      <c r="H17" s="1669"/>
    </row>
    <row r="18" spans="1:8" x14ac:dyDescent="0.25">
      <c r="A18" s="1956" t="s">
        <v>2094</v>
      </c>
      <c r="B18" s="1957" t="s">
        <v>2095</v>
      </c>
      <c r="C18" s="1958" t="s">
        <v>2096</v>
      </c>
      <c r="D18" s="1867">
        <v>914050</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889050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1169200</v>
      </c>
      <c r="E141" s="1563">
        <f t="shared" si="1"/>
        <v>25000</v>
      </c>
      <c r="F141" s="1817">
        <f>SUM(F17:F140)</f>
        <v>50000</v>
      </c>
      <c r="G141" s="1818">
        <f>SUM(G17:G140)</f>
        <v>1119200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162615</v>
      </c>
      <c r="F10" s="975"/>
      <c r="G10" s="976"/>
      <c r="H10" s="162"/>
      <c r="I10" s="162"/>
    </row>
    <row r="11" spans="1:9" s="669" customFormat="1" ht="22.5" customHeight="1" x14ac:dyDescent="0.2">
      <c r="A11" s="2305" t="s">
        <v>1944</v>
      </c>
      <c r="B11" s="2306"/>
      <c r="C11" s="2306"/>
      <c r="D11" s="2307"/>
      <c r="E11" s="978">
        <v>34348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5086673</v>
      </c>
      <c r="F19" s="1822"/>
      <c r="G19" s="1824">
        <f>'Expenditures 15-22'!K33-SUM('Expenditures 15-22'!G33,'Expenditures 15-22'!I33)+'Expenditures 15-22'!D229</f>
        <v>5086673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287801</v>
      </c>
      <c r="F21" s="1825"/>
      <c r="G21" s="1828">
        <f>'Expenditures 15-22'!K42-SUM('Expenditures 15-22'!G42,'Expenditures 15-22'!I42)+'Expenditures 15-22'!K120-SUM('Expenditures 15-22'!G120,'Expenditures 15-22'!I120)+'Expenditures 15-22'!K180-SUM('Expenditures 15-22'!G180,'Expenditures 15-22'!I180)+'Expenditures 15-22'!D238</f>
        <v>287801</v>
      </c>
      <c r="H21" s="988"/>
      <c r="I21" s="162"/>
    </row>
    <row r="22" spans="1:9" s="669" customFormat="1" ht="12" customHeight="1" x14ac:dyDescent="0.2">
      <c r="A22" s="995" t="s">
        <v>585</v>
      </c>
      <c r="B22" s="996"/>
      <c r="C22" s="994">
        <v>2200</v>
      </c>
      <c r="D22" s="1825"/>
      <c r="E22" s="1827">
        <f>'Expenditures 15-22'!K47-SUM('Expenditures 15-22'!G47,'Expenditures 15-22'!I47)+'Expenditures 15-22'!D243</f>
        <v>266488</v>
      </c>
      <c r="F22" s="1825"/>
      <c r="G22" s="1828">
        <f>'Expenditures 15-22'!K47-SUM('Expenditures 15-22'!G47,'Expenditures 15-22'!I47)+'Expenditures 15-22'!D243</f>
        <v>266488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729766</v>
      </c>
      <c r="F23" s="1825"/>
      <c r="G23" s="1827">
        <f>'Expenditures 15-22'!K53-SUM('Expenditures 15-22'!G53,'Expenditures 15-22'!I53)+'Expenditures 15-22'!D257+'Expenditures 15-22'!K330-SUM('Expenditures 15-22'!G330,'Expenditures 15-22'!I330)</f>
        <v>729766</v>
      </c>
      <c r="H23" s="988"/>
      <c r="I23" s="162"/>
    </row>
    <row r="24" spans="1:9" s="669" customFormat="1" ht="12" customHeight="1" x14ac:dyDescent="0.2">
      <c r="A24" s="995" t="s">
        <v>587</v>
      </c>
      <c r="B24" s="996"/>
      <c r="C24" s="994">
        <v>2400</v>
      </c>
      <c r="D24" s="1825"/>
      <c r="E24" s="1827">
        <f>'Expenditures 15-22'!K57-SUM('Expenditures 15-22'!G57,'Expenditures 15-22'!I57)+'Expenditures 15-22'!D261</f>
        <v>696422</v>
      </c>
      <c r="F24" s="1825"/>
      <c r="G24" s="1828">
        <f>'Expenditures 15-22'!K57-SUM('Expenditures 15-22'!G57,'Expenditures 15-22'!I57)+'Expenditures 15-22'!D261</f>
        <v>696422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54655</v>
      </c>
      <c r="E27" s="1827">
        <f>E8</f>
        <v>0</v>
      </c>
      <c r="F27" s="1827">
        <f>'Expenditures 15-22'!K60-SUM('Expenditures 15-22'!G60,'Expenditures 15-22'!I60)+'Expenditures 15-22'!D264-E8</f>
        <v>54655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1198784</v>
      </c>
      <c r="F28" s="1829">
        <f>'Expenditures 15-22'!K61-SUM('Expenditures 15-22'!G61,'Expenditures 15-22'!I61)+'Expenditures 15-22'!K124-SUM('Expenditures 15-22'!G124,'Expenditures 15-22'!I124)+'Expenditures 15-22'!D266-E9</f>
        <v>1198784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932442</v>
      </c>
      <c r="F29" s="1825"/>
      <c r="G29" s="1828">
        <f>'Expenditures 15-22'!K62-SUM('Expenditures 15-22'!G62,'Expenditures 15-22'!I62)+'Expenditures 15-22'!K125-SUM('Expenditures 15-22'!G125,'Expenditures 15-22'!I125)+'Expenditures 15-22'!K182-SUM('Expenditures 15-22'!G182,'Expenditures 15-22'!I182)+'Expenditures 15-22'!D267</f>
        <v>932442</v>
      </c>
      <c r="H29" s="986"/>
    </row>
    <row r="30" spans="1:9" ht="12" customHeight="1" x14ac:dyDescent="0.2">
      <c r="A30" s="995" t="s">
        <v>102</v>
      </c>
      <c r="B30" s="998"/>
      <c r="C30" s="994">
        <v>2560</v>
      </c>
      <c r="D30" s="1825"/>
      <c r="E30" s="1827">
        <f>'Expenditures 15-22'!K63-SUM('Expenditures 15-22'!G63,'Expenditures 15-22'!I63)+'Expenditures 15-22'!D268-E10</f>
        <v>231475</v>
      </c>
      <c r="F30" s="1825"/>
      <c r="G30" s="1827">
        <f>'Expenditures 15-22'!K63-SUM('Expenditures 15-22'!G63,'Expenditures 15-22'!I63)+'Expenditures 15-22'!D268-E10</f>
        <v>231475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16626</v>
      </c>
      <c r="F35" s="1825"/>
      <c r="G35" s="1827">
        <f>'Expenditures 15-22'!K69-SUM('Expenditures 15-22'!G69,'Expenditures 15-22'!I69)+'Expenditures 15-22'!D274</f>
        <v>16626</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-1119200</v>
      </c>
      <c r="F40" s="1825"/>
      <c r="G40" s="1829">
        <f>-'Contracts Paid in CY 29'!G141</f>
        <v>-1119200</v>
      </c>
    </row>
    <row r="41" spans="1:7" ht="12" customHeight="1" x14ac:dyDescent="0.2">
      <c r="A41" s="999" t="s">
        <v>158</v>
      </c>
      <c r="B41" s="1000"/>
      <c r="C41" s="1001"/>
      <c r="D41" s="1829">
        <f>SUM(D19:D39)</f>
        <v>54655</v>
      </c>
      <c r="E41" s="1829">
        <f>SUM(E19:E40)</f>
        <v>8327277</v>
      </c>
      <c r="F41" s="1829">
        <f>SUM(F19:F39)</f>
        <v>1253439</v>
      </c>
      <c r="G41" s="1829">
        <f>SUM(G19:G40)</f>
        <v>7128493</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54655</v>
      </c>
      <c r="F43" s="1830" t="s">
        <v>495</v>
      </c>
      <c r="G43" s="1831">
        <f>F41</f>
        <v>1253439</v>
      </c>
    </row>
    <row r="44" spans="1:7" ht="12" customHeight="1" x14ac:dyDescent="0.2">
      <c r="A44" s="988"/>
      <c r="B44" s="162"/>
      <c r="C44" s="1002"/>
      <c r="D44" s="1830" t="s">
        <v>494</v>
      </c>
      <c r="E44" s="1831">
        <f>E41</f>
        <v>8327277</v>
      </c>
      <c r="F44" s="1830" t="s">
        <v>494</v>
      </c>
      <c r="G44" s="1831">
        <f>G41</f>
        <v>7128493</v>
      </c>
    </row>
    <row r="45" spans="1:7" ht="12" customHeight="1" x14ac:dyDescent="0.2">
      <c r="A45" s="988"/>
      <c r="B45" s="162"/>
      <c r="C45" s="162"/>
      <c r="D45" s="1832" t="s">
        <v>1063</v>
      </c>
      <c r="E45" s="1833">
        <f>(E43/E44)</f>
        <v>6.563369994777404E-3</v>
      </c>
      <c r="F45" s="1832" t="s">
        <v>1063</v>
      </c>
      <c r="G45" s="1833">
        <f>(G43/G44)</f>
        <v>0.17583506079054859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8" sqref="A8"/>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Red Bud CUSD 1332</v>
      </c>
      <c r="D6" s="2315"/>
      <c r="E6" s="2315"/>
      <c r="F6" s="1877"/>
    </row>
    <row r="7" spans="1:10" ht="11.25" customHeight="1" thickBot="1" x14ac:dyDescent="0.3">
      <c r="A7" s="1875"/>
      <c r="B7" s="1876"/>
      <c r="C7" s="2316">
        <f>COVER!A13</f>
        <v>45079132026</v>
      </c>
      <c r="D7" s="2316"/>
      <c r="E7" s="231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c r="F19" s="1892" t="s">
        <v>2097</v>
      </c>
      <c r="H19" s="1903">
        <f t="shared" si="0"/>
        <v>5</v>
      </c>
      <c r="I19" s="1903">
        <f t="shared" si="1"/>
        <v>5</v>
      </c>
      <c r="J19" s="1903">
        <f t="shared" si="2"/>
        <v>0</v>
      </c>
    </row>
    <row r="20" spans="1:12" ht="12" customHeight="1" x14ac:dyDescent="0.2">
      <c r="A20" s="1888" t="s">
        <v>1609</v>
      </c>
      <c r="B20" s="1889"/>
      <c r="C20" s="1890" t="s">
        <v>2077</v>
      </c>
      <c r="D20" s="1890" t="s">
        <v>2077</v>
      </c>
      <c r="E20" s="1893"/>
      <c r="F20" s="1892" t="s">
        <v>2098</v>
      </c>
      <c r="H20" s="1903">
        <f t="shared" si="0"/>
        <v>5</v>
      </c>
      <c r="I20" s="1903">
        <f t="shared" si="1"/>
        <v>5</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2099</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15</v>
      </c>
      <c r="I34" s="1903">
        <f>SUM(I11:I32)</f>
        <v>15</v>
      </c>
      <c r="J34" s="1903">
        <f>SUM(J11:J32)</f>
        <v>0</v>
      </c>
      <c r="K34" s="1903">
        <f>SUM(H34:J34)</f>
        <v>30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8" sqref="A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Red Bud CUSD 1332</v>
      </c>
      <c r="J6" s="2336"/>
      <c r="Q6" s="1686"/>
    </row>
    <row r="7" spans="1:17" x14ac:dyDescent="0.2">
      <c r="A7" s="2337" t="s">
        <v>924</v>
      </c>
      <c r="B7" s="2338"/>
      <c r="C7" s="2338"/>
      <c r="D7" s="2338"/>
      <c r="E7" s="2339"/>
      <c r="F7" s="1018"/>
      <c r="G7" s="1010"/>
      <c r="H7" s="1017" t="s">
        <v>390</v>
      </c>
      <c r="I7" s="2340">
        <f>COVER!A13</f>
        <v>45079132026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225262</v>
      </c>
      <c r="F12" s="1040"/>
      <c r="G12" s="1834">
        <f t="shared" ref="G12:G18" si="0">SUM(E12:F12)</f>
        <v>225262</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225262</v>
      </c>
      <c r="F19" s="1836">
        <f t="shared" si="2"/>
        <v>0</v>
      </c>
      <c r="G19" s="1836">
        <f t="shared" si="2"/>
        <v>225262</v>
      </c>
      <c r="H19" s="1836">
        <f t="shared" si="2"/>
        <v>0</v>
      </c>
      <c r="I19" s="1836">
        <f t="shared" si="2"/>
        <v>0</v>
      </c>
      <c r="J19" s="1836">
        <f t="shared" si="2"/>
        <v>0</v>
      </c>
    </row>
    <row r="20" spans="1:10" ht="13.5" thickTop="1" x14ac:dyDescent="0.2">
      <c r="A20" s="1036">
        <v>9</v>
      </c>
      <c r="B20" s="2347" t="s">
        <v>1703</v>
      </c>
      <c r="C20" s="2347"/>
      <c r="D20" s="2348"/>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2100</v>
      </c>
    </row>
    <row r="6" spans="1:2" x14ac:dyDescent="0.2">
      <c r="A6" s="1069">
        <v>2</v>
      </c>
      <c r="B6" s="329" t="s">
        <v>2101</v>
      </c>
    </row>
    <row r="7" spans="1:2" x14ac:dyDescent="0.2">
      <c r="A7" s="1069">
        <v>3</v>
      </c>
      <c r="B7" s="329" t="s">
        <v>2102</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Red Bud CUSD 1332</v>
      </c>
    </row>
    <row r="65" spans="2:2" x14ac:dyDescent="0.2">
      <c r="B65" s="1071">
        <f>COVER!A13</f>
        <v>45079132026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8" sqref="A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8"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Document" dvAspect="DVASPECT_ICON" shapeId="5017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8" sqref="A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8146444</v>
      </c>
      <c r="C8" s="1838">
        <f>'Acct Summary 7-8'!D8</f>
        <v>2065625</v>
      </c>
      <c r="D8" s="1838">
        <f>'Acct Summary 7-8'!F8</f>
        <v>1275605</v>
      </c>
      <c r="E8" s="1838">
        <f>'Acct Summary 7-8'!I8</f>
        <v>125843</v>
      </c>
      <c r="F8" s="1838">
        <f>SUM(B8:E8)</f>
        <v>11613517</v>
      </c>
    </row>
    <row r="9" spans="1:8" s="1080" customFormat="1" ht="14.25" customHeight="1" thickBot="1" x14ac:dyDescent="0.25">
      <c r="A9" s="1079" t="s">
        <v>1436</v>
      </c>
      <c r="B9" s="1839">
        <f>'Acct Summary 7-8'!C17</f>
        <v>7621664</v>
      </c>
      <c r="C9" s="1839">
        <f>'Acct Summary 7-8'!D17</f>
        <v>1148837</v>
      </c>
      <c r="D9" s="1839">
        <f>'Acct Summary 7-8'!F17</f>
        <v>932442</v>
      </c>
      <c r="E9" s="1838"/>
      <c r="F9" s="1838">
        <f>SUM(B9:E9)</f>
        <v>9702943</v>
      </c>
    </row>
    <row r="10" spans="1:8" s="1080" customFormat="1" ht="14.25" thickTop="1" thickBot="1" x14ac:dyDescent="0.25">
      <c r="A10" s="1081" t="s">
        <v>1437</v>
      </c>
      <c r="B10" s="1840">
        <f>(B8-B9)</f>
        <v>524780</v>
      </c>
      <c r="C10" s="1840">
        <f>(C8-C9)</f>
        <v>916788</v>
      </c>
      <c r="D10" s="1840">
        <f>(D8-D9)</f>
        <v>343163</v>
      </c>
      <c r="E10" s="1839">
        <f>(E8-E9)</f>
        <v>125843</v>
      </c>
      <c r="F10" s="1841">
        <f>SUM(F8-F9)</f>
        <v>1910574</v>
      </c>
    </row>
    <row r="11" spans="1:8" s="1080" customFormat="1" ht="14.25" thickTop="1" thickBot="1" x14ac:dyDescent="0.25">
      <c r="A11" s="1082" t="s">
        <v>1785</v>
      </c>
      <c r="B11" s="1842">
        <f>'Acct Summary 7-8'!C81</f>
        <v>4410043</v>
      </c>
      <c r="C11" s="1842">
        <f>'Acct Summary 7-8'!D81</f>
        <v>7832534</v>
      </c>
      <c r="D11" s="1842">
        <f>'Acct Summary 7-8'!F81</f>
        <v>649878</v>
      </c>
      <c r="E11" s="1842">
        <f>'Acct Summary 7-8'!I81</f>
        <v>1526276</v>
      </c>
      <c r="F11" s="1843">
        <f>SUM(B11:E11)</f>
        <v>14418731</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45079132026</v>
      </c>
    </row>
    <row r="3" spans="1:2" x14ac:dyDescent="0.2">
      <c r="A3" t="s">
        <v>1013</v>
      </c>
      <c r="B3" s="138" t="str">
        <f>COVER!A15</f>
        <v>Randolph</v>
      </c>
    </row>
    <row r="4" spans="1:2" x14ac:dyDescent="0.2">
      <c r="A4" t="s">
        <v>1064</v>
      </c>
      <c r="B4" s="138" t="str">
        <f>COVER!A17</f>
        <v>Red Bud CUSD 1332</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066-005248</v>
      </c>
    </row>
    <row r="16" spans="1:2" x14ac:dyDescent="0.2">
      <c r="A16" t="s">
        <v>442</v>
      </c>
      <c r="B16" s="138" t="str">
        <f>COVER!T13</f>
        <v>Moore &amp; Simonin, PC</v>
      </c>
    </row>
    <row r="17" spans="1:2" x14ac:dyDescent="0.2">
      <c r="A17" t="s">
        <v>939</v>
      </c>
      <c r="B17" s="138" t="str">
        <f>COVER!T15</f>
        <v>Robert E. Moore, CPA</v>
      </c>
    </row>
    <row r="18" spans="1:2" x14ac:dyDescent="0.2">
      <c r="A18" t="s">
        <v>1212</v>
      </c>
      <c r="B18" s="138" t="str">
        <f>COVER!T17</f>
        <v>3636 North Belt West</v>
      </c>
    </row>
    <row r="19" spans="1:2" x14ac:dyDescent="0.2">
      <c r="A19" t="s">
        <v>941</v>
      </c>
      <c r="B19" s="138" t="str">
        <f>COVER!T25</f>
        <v>mooresimonin@mrsaccountants.com</v>
      </c>
    </row>
    <row r="20" spans="1:2" x14ac:dyDescent="0.2">
      <c r="A20" t="s">
        <v>942</v>
      </c>
      <c r="B20" s="138" t="str">
        <f>COVER!T19</f>
        <v>Belleville</v>
      </c>
    </row>
    <row r="21" spans="1:2" x14ac:dyDescent="0.2">
      <c r="A21" t="s">
        <v>500</v>
      </c>
      <c r="B21" s="138" t="str">
        <f>COVER!X19</f>
        <v>IL</v>
      </c>
    </row>
    <row r="22" spans="1:2" x14ac:dyDescent="0.2">
      <c r="A22" t="s">
        <v>943</v>
      </c>
      <c r="B22" s="138">
        <f>COVER!Z19</f>
        <v>62226</v>
      </c>
    </row>
    <row r="23" spans="1:2" x14ac:dyDescent="0.2">
      <c r="A23" t="s">
        <v>1214</v>
      </c>
      <c r="B23" s="138" t="str">
        <f>COVER!T21</f>
        <v>618-233-5049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2510431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4410043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4410043</v>
      </c>
      <c r="D92" s="2" t="str">
        <f t="shared" si="0"/>
        <v>Error?</v>
      </c>
    </row>
    <row r="93" spans="1:4" x14ac:dyDescent="0.2">
      <c r="A93" s="5">
        <v>32</v>
      </c>
      <c r="B93" s="138">
        <f>'Assets-Liab 5-6'!C41</f>
        <v>4410043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283379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7834717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2183</v>
      </c>
      <c r="C122" s="2" t="s">
        <v>594</v>
      </c>
      <c r="D122" s="2" t="str">
        <f t="shared" si="0"/>
        <v>Error?</v>
      </c>
    </row>
    <row r="123" spans="1:4" x14ac:dyDescent="0.2">
      <c r="A123" s="5">
        <v>62</v>
      </c>
      <c r="B123" s="138">
        <f>'Assets-Liab 5-6'!D39</f>
        <v>7708560</v>
      </c>
      <c r="D123" s="2" t="str">
        <f t="shared" si="0"/>
        <v>Error?</v>
      </c>
    </row>
    <row r="124" spans="1:4" x14ac:dyDescent="0.2">
      <c r="A124" s="5">
        <v>63</v>
      </c>
      <c r="B124" s="138">
        <f>'Assets-Liab 5-6'!D41</f>
        <v>7834717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313476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343575</v>
      </c>
      <c r="C139" s="2" t="s">
        <v>594</v>
      </c>
      <c r="D139" s="2" t="str">
        <f t="shared" si="1"/>
        <v>Error?</v>
      </c>
    </row>
    <row r="140" spans="1:4" x14ac:dyDescent="0.2">
      <c r="A140" s="5">
        <v>79</v>
      </c>
      <c r="B140" s="138">
        <f>'Assets-Liab 5-6'!E39</f>
        <v>-30099</v>
      </c>
      <c r="D140" s="2" t="str">
        <f t="shared" si="1"/>
        <v>Error?</v>
      </c>
    </row>
    <row r="141" spans="1:4" x14ac:dyDescent="0.2">
      <c r="A141" s="5">
        <v>80</v>
      </c>
      <c r="B141" s="138">
        <f>'Assets-Liab 5-6'!E41</f>
        <v>313476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649878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649878</v>
      </c>
      <c r="D170" s="2" t="str">
        <f t="shared" si="1"/>
        <v>Error?</v>
      </c>
    </row>
    <row r="171" spans="1:4" x14ac:dyDescent="0.2">
      <c r="A171" s="5">
        <v>110</v>
      </c>
      <c r="B171" s="138">
        <f>'Assets-Liab 5-6'!F41</f>
        <v>649878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158871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143233</v>
      </c>
      <c r="D189" s="2" t="str">
        <f t="shared" si="1"/>
        <v>Error?</v>
      </c>
    </row>
    <row r="190" spans="1:4" x14ac:dyDescent="0.2">
      <c r="A190" s="5">
        <v>129</v>
      </c>
      <c r="B190" s="138">
        <f>'Assets-Liab 5-6'!G41</f>
        <v>158871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369568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3052763</v>
      </c>
      <c r="C211" s="2" t="s">
        <v>594</v>
      </c>
      <c r="D211" s="2" t="str">
        <f t="shared" si="2"/>
        <v>Error?</v>
      </c>
    </row>
    <row r="212" spans="1:4" x14ac:dyDescent="0.2">
      <c r="A212" s="5">
        <v>151</v>
      </c>
      <c r="B212" s="138">
        <f>'Assets-Liab 5-6'!H39</f>
        <v>-2683195</v>
      </c>
      <c r="D212" s="2" t="str">
        <f t="shared" si="2"/>
        <v>Error?</v>
      </c>
    </row>
    <row r="213" spans="1:4" x14ac:dyDescent="0.2">
      <c r="A213" s="12">
        <v>152</v>
      </c>
      <c r="B213" s="138">
        <f>'Assets-Liab 5-6'!H41</f>
        <v>369568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509955</v>
      </c>
      <c r="D273" s="2" t="str">
        <f t="shared" si="3"/>
        <v>Error?</v>
      </c>
    </row>
    <row r="274" spans="1:4" x14ac:dyDescent="0.2">
      <c r="A274" s="5">
        <v>213</v>
      </c>
      <c r="B274" s="138">
        <f>'Assets-Liab 5-6'!M17</f>
        <v>24662548</v>
      </c>
      <c r="D274" s="2" t="str">
        <f t="shared" si="3"/>
        <v>Error?</v>
      </c>
    </row>
    <row r="275" spans="1:4" x14ac:dyDescent="0.2">
      <c r="A275" s="5">
        <v>214</v>
      </c>
      <c r="B275" s="138">
        <f>'Assets-Liab 5-6'!M18</f>
        <v>1339518</v>
      </c>
      <c r="D275" s="2" t="str">
        <f t="shared" si="3"/>
        <v>Error?</v>
      </c>
    </row>
    <row r="276" spans="1:4" x14ac:dyDescent="0.2">
      <c r="A276" s="5">
        <v>215</v>
      </c>
      <c r="B276" s="138">
        <f>'Assets-Liab 5-6'!M19</f>
        <v>1232656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27744677</v>
      </c>
      <c r="C279" s="2" t="s">
        <v>594</v>
      </c>
      <c r="D279" s="2" t="str">
        <f t="shared" si="3"/>
        <v>Error?</v>
      </c>
    </row>
    <row r="280" spans="1:4" x14ac:dyDescent="0.2">
      <c r="A280" s="5">
        <v>219</v>
      </c>
      <c r="B280" s="138">
        <f>'Assets-Liab 5-6'!M40</f>
        <v>27744677</v>
      </c>
      <c r="D280" s="2" t="str">
        <f t="shared" si="3"/>
        <v>Error?</v>
      </c>
    </row>
    <row r="281" spans="1:4" x14ac:dyDescent="0.2">
      <c r="A281" s="5">
        <v>220</v>
      </c>
      <c r="B281" s="138">
        <f>'Assets-Liab 5-6'!M41</f>
        <v>27744677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3071000</v>
      </c>
      <c r="D283" s="2" t="str">
        <f t="shared" si="3"/>
        <v>Error?</v>
      </c>
    </row>
    <row r="284" spans="1:4" x14ac:dyDescent="0.2">
      <c r="A284" s="5">
        <v>223</v>
      </c>
      <c r="B284" s="138">
        <f>'Assets-Liab 5-6'!N23</f>
        <v>3071000</v>
      </c>
      <c r="C284" s="2" t="s">
        <v>594</v>
      </c>
      <c r="D284" s="2" t="str">
        <f t="shared" si="3"/>
        <v>Error?</v>
      </c>
    </row>
    <row r="285" spans="1:4" x14ac:dyDescent="0.2">
      <c r="A285" s="5">
        <v>224</v>
      </c>
      <c r="B285" s="138">
        <f>'Assets-Liab 5-6'!N36</f>
        <v>3071000</v>
      </c>
      <c r="D285" s="2" t="str">
        <f t="shared" si="3"/>
        <v>Error?</v>
      </c>
    </row>
    <row r="286" spans="1:4" x14ac:dyDescent="0.2">
      <c r="A286" s="10">
        <v>225</v>
      </c>
      <c r="D286" s="2" t="str">
        <f t="shared" si="3"/>
        <v>OK</v>
      </c>
    </row>
    <row r="287" spans="1:4" x14ac:dyDescent="0.2">
      <c r="A287" s="5">
        <v>226</v>
      </c>
      <c r="B287" s="138">
        <f>'Assets-Liab 5-6'!N37</f>
        <v>3071000</v>
      </c>
      <c r="C287" s="2" t="s">
        <v>594</v>
      </c>
      <c r="D287" s="2" t="str">
        <f t="shared" si="3"/>
        <v>Error?</v>
      </c>
    </row>
    <row r="288" spans="1:4" x14ac:dyDescent="0.2">
      <c r="A288" s="5">
        <v>227</v>
      </c>
      <c r="B288" s="138">
        <f>'Assets-Liab 5-6'!N41</f>
        <v>3071000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2740531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180168</v>
      </c>
      <c r="D717" s="2" t="str">
        <f t="shared" si="10"/>
        <v>Error?</v>
      </c>
    </row>
    <row r="718" spans="1:4" x14ac:dyDescent="0.2">
      <c r="A718" s="5">
        <v>657</v>
      </c>
      <c r="B718" s="138">
        <f>'Expenditures 15-22'!C14</f>
        <v>168659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3745716</v>
      </c>
      <c r="C720" s="2" t="s">
        <v>594</v>
      </c>
      <c r="D720" s="2" t="str">
        <f t="shared" si="10"/>
        <v>Error?</v>
      </c>
    </row>
    <row r="721" spans="1:4" x14ac:dyDescent="0.2">
      <c r="A721" s="5">
        <v>660</v>
      </c>
      <c r="B721" s="138">
        <f>'Expenditures 15-22'!C36</f>
        <v>47430</v>
      </c>
      <c r="D721" s="2" t="str">
        <f t="shared" si="10"/>
        <v>Error?</v>
      </c>
    </row>
    <row r="722" spans="1:4" x14ac:dyDescent="0.2">
      <c r="A722" s="5">
        <v>661</v>
      </c>
      <c r="B722" s="138">
        <f>'Expenditures 15-22'!C37</f>
        <v>93539</v>
      </c>
      <c r="D722" s="2" t="str">
        <f t="shared" si="10"/>
        <v>Error?</v>
      </c>
    </row>
    <row r="723" spans="1:4" x14ac:dyDescent="0.2">
      <c r="A723" s="5">
        <v>662</v>
      </c>
      <c r="B723" s="138">
        <f>'Expenditures 15-22'!C38</f>
        <v>27995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62154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231118</v>
      </c>
      <c r="C727" s="2" t="s">
        <v>594</v>
      </c>
      <c r="D727" s="2" t="str">
        <f t="shared" si="10"/>
        <v>Error?</v>
      </c>
    </row>
    <row r="728" spans="1:4" x14ac:dyDescent="0.2">
      <c r="A728" s="5">
        <v>667</v>
      </c>
      <c r="B728" s="138">
        <f>'Expenditures 15-22'!C44</f>
        <v>7385</v>
      </c>
      <c r="D728" s="2" t="str">
        <f t="shared" si="10"/>
        <v>Error?</v>
      </c>
    </row>
    <row r="729" spans="1:4" x14ac:dyDescent="0.2">
      <c r="A729" s="5">
        <v>668</v>
      </c>
      <c r="B729" s="138">
        <f>'Expenditures 15-22'!C45</f>
        <v>161703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169088</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175706</v>
      </c>
      <c r="D733" s="2" t="str">
        <f t="shared" si="10"/>
        <v>Error?</v>
      </c>
    </row>
    <row r="734" spans="1:4" x14ac:dyDescent="0.2">
      <c r="A734" s="5">
        <v>673</v>
      </c>
      <c r="B734" s="138">
        <f>'Expenditures 15-22'!C53</f>
        <v>175706</v>
      </c>
      <c r="C734" s="2" t="s">
        <v>594</v>
      </c>
      <c r="D734" s="2" t="str">
        <f t="shared" si="10"/>
        <v>Error?</v>
      </c>
    </row>
    <row r="735" spans="1:4" x14ac:dyDescent="0.2">
      <c r="A735" s="5">
        <v>674</v>
      </c>
      <c r="B735" s="138">
        <f>'Expenditures 15-22'!C55</f>
        <v>554841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554841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41362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182457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223819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1354572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5100288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585573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37552</v>
      </c>
      <c r="D775" s="2" t="str">
        <f t="shared" si="11"/>
        <v>Error?</v>
      </c>
    </row>
    <row r="776" spans="1:4" x14ac:dyDescent="0.2">
      <c r="A776" s="5">
        <v>715</v>
      </c>
      <c r="B776" s="138">
        <f>'Expenditures 15-22'!D14</f>
        <v>15080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800304</v>
      </c>
      <c r="C778" s="2" t="s">
        <v>594</v>
      </c>
      <c r="D778" s="2" t="str">
        <f t="shared" si="11"/>
        <v>Error?</v>
      </c>
    </row>
    <row r="779" spans="1:4" x14ac:dyDescent="0.2">
      <c r="A779" s="5">
        <v>718</v>
      </c>
      <c r="B779" s="138">
        <f>'Expenditures 15-22'!D36</f>
        <v>11339</v>
      </c>
      <c r="D779" s="2" t="str">
        <f t="shared" si="11"/>
        <v>Error?</v>
      </c>
    </row>
    <row r="780" spans="1:4" x14ac:dyDescent="0.2">
      <c r="A780" s="5">
        <v>719</v>
      </c>
      <c r="B780" s="138">
        <f>'Expenditures 15-22'!D37</f>
        <v>6962</v>
      </c>
      <c r="D780" s="2" t="str">
        <f t="shared" si="11"/>
        <v>Error?</v>
      </c>
    </row>
    <row r="781" spans="1:4" x14ac:dyDescent="0.2">
      <c r="A781" s="5">
        <v>720</v>
      </c>
      <c r="B781" s="138">
        <f>'Expenditures 15-22'!D38</f>
        <v>12166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13192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43659</v>
      </c>
      <c r="C785" s="2" t="s">
        <v>594</v>
      </c>
      <c r="D785" s="2" t="str">
        <f t="shared" si="11"/>
        <v>Error?</v>
      </c>
    </row>
    <row r="786" spans="1:4" x14ac:dyDescent="0.2">
      <c r="A786" s="5">
        <v>725</v>
      </c>
      <c r="B786" s="138">
        <f>'Expenditures 15-22'!D44</f>
        <v>1675</v>
      </c>
      <c r="D786" s="2" t="str">
        <f t="shared" si="11"/>
        <v>Error?</v>
      </c>
    </row>
    <row r="787" spans="1:4" x14ac:dyDescent="0.2">
      <c r="A787" s="5">
        <v>726</v>
      </c>
      <c r="B787" s="138">
        <f>'Expenditures 15-22'!D45</f>
        <v>25887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27562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20686</v>
      </c>
      <c r="D791" s="2" t="str">
        <f t="shared" si="11"/>
        <v>Error?</v>
      </c>
    </row>
    <row r="792" spans="1:4" x14ac:dyDescent="0.2">
      <c r="A792" s="5">
        <v>731</v>
      </c>
      <c r="B792" s="138">
        <f>'Expenditures 15-22'!D53</f>
        <v>20686</v>
      </c>
      <c r="C792" s="2" t="s">
        <v>594</v>
      </c>
      <c r="D792" s="2" t="str">
        <f t="shared" si="11"/>
        <v>Error?</v>
      </c>
    </row>
    <row r="793" spans="1:4" x14ac:dyDescent="0.2">
      <c r="A793" s="5">
        <v>732</v>
      </c>
      <c r="B793" s="138">
        <f>'Expenditures 15-22'!D55</f>
        <v>90864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90864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15230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15230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198001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998305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4084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v>
      </c>
      <c r="D833" s="2" t="str">
        <f t="shared" si="12"/>
        <v>Error?</v>
      </c>
    </row>
    <row r="834" spans="1:4" x14ac:dyDescent="0.2">
      <c r="A834" s="5">
        <v>773</v>
      </c>
      <c r="B834" s="138">
        <f>'Expenditures 15-22'!E14</f>
        <v>35704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61714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169</v>
      </c>
      <c r="D838" s="2" t="str">
        <f t="shared" si="12"/>
        <v>Error?</v>
      </c>
    </row>
    <row r="839" spans="1:4" x14ac:dyDescent="0.2">
      <c r="A839" s="5">
        <v>778</v>
      </c>
      <c r="B839" s="138">
        <f>'Expenditures 15-22'!E38</f>
        <v>172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341</v>
      </c>
      <c r="C843" s="2" t="s">
        <v>594</v>
      </c>
      <c r="D843" s="2" t="str">
        <f t="shared" si="12"/>
        <v>Error?</v>
      </c>
    </row>
    <row r="844" spans="1:4" x14ac:dyDescent="0.2">
      <c r="A844" s="5">
        <v>783</v>
      </c>
      <c r="B844" s="138">
        <f>'Expenditures 15-22'!E44</f>
        <v>32929</v>
      </c>
      <c r="D844" s="2" t="str">
        <f t="shared" si="12"/>
        <v>Error?</v>
      </c>
    </row>
    <row r="845" spans="1:4" x14ac:dyDescent="0.2">
      <c r="A845" s="5">
        <v>784</v>
      </c>
      <c r="B845" s="138">
        <f>'Expenditures 15-22'!E45</f>
        <v>2277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35206</v>
      </c>
      <c r="C847" s="2" t="s">
        <v>594</v>
      </c>
      <c r="D847" s="2" t="str">
        <f t="shared" si="12"/>
        <v>Error?</v>
      </c>
    </row>
    <row r="848" spans="1:4" x14ac:dyDescent="0.2">
      <c r="A848" s="5">
        <v>787</v>
      </c>
      <c r="B848" s="138">
        <f>'Expenditures 15-22'!E49</f>
        <v>45615</v>
      </c>
      <c r="D848" s="2" t="str">
        <f t="shared" si="12"/>
        <v>Error?</v>
      </c>
    </row>
    <row r="849" spans="1:4" x14ac:dyDescent="0.2">
      <c r="A849" s="5">
        <v>788</v>
      </c>
      <c r="B849" s="138">
        <f>'Expenditures 15-22'!E50</f>
        <v>7392</v>
      </c>
      <c r="D849" s="2" t="str">
        <f t="shared" si="12"/>
        <v>Error?</v>
      </c>
    </row>
    <row r="850" spans="1:4" x14ac:dyDescent="0.2">
      <c r="A850" s="5">
        <v>789</v>
      </c>
      <c r="B850" s="138">
        <f>'Expenditures 15-22'!E53</f>
        <v>53007</v>
      </c>
      <c r="C850" s="2" t="s">
        <v>594</v>
      </c>
      <c r="D850" s="2" t="str">
        <f t="shared" si="12"/>
        <v>Error?</v>
      </c>
    </row>
    <row r="851" spans="1:4" x14ac:dyDescent="0.2">
      <c r="A851" s="5">
        <v>790</v>
      </c>
      <c r="B851" s="138">
        <f>'Expenditures 15-22'!E55</f>
        <v>2331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2331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4709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943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5652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15757</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15757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112294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460035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88264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37897</v>
      </c>
      <c r="D891" s="2" t="str">
        <f t="shared" si="12"/>
        <v>Error?</v>
      </c>
    </row>
    <row r="892" spans="1:4" x14ac:dyDescent="0.2">
      <c r="A892" s="5">
        <v>831</v>
      </c>
      <c r="B892" s="138">
        <f>'Expenditures 15-22'!F14</f>
        <v>45127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220546</v>
      </c>
      <c r="C894" s="2" t="s">
        <v>594</v>
      </c>
      <c r="D894" s="2" t="str">
        <f t="shared" si="12"/>
        <v>Error?</v>
      </c>
    </row>
    <row r="895" spans="1:4" x14ac:dyDescent="0.2">
      <c r="A895" s="5">
        <v>834</v>
      </c>
      <c r="B895" s="138">
        <f>'Expenditures 15-22'!F36</f>
        <v>96</v>
      </c>
      <c r="D895" s="2" t="str">
        <f t="shared" ref="D895:D958" si="13">IF(ISBLANK(B895),"OK",IF(A895-B895=0,"OK","Error?"))</f>
        <v>Error?</v>
      </c>
    </row>
    <row r="896" spans="1:4" x14ac:dyDescent="0.2">
      <c r="A896" s="5">
        <v>835</v>
      </c>
      <c r="B896" s="138">
        <f>'Expenditures 15-22'!F37</f>
        <v>366</v>
      </c>
      <c r="D896" s="2" t="str">
        <f t="shared" si="13"/>
        <v>Error?</v>
      </c>
    </row>
    <row r="897" spans="1:4" x14ac:dyDescent="0.2">
      <c r="A897" s="5">
        <v>836</v>
      </c>
      <c r="B897" s="138">
        <f>'Expenditures 15-22'!F38</f>
        <v>673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254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1389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25905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25905</v>
      </c>
      <c r="C905" s="2" t="s">
        <v>594</v>
      </c>
      <c r="D905" s="2" t="str">
        <f t="shared" si="13"/>
        <v>Error?</v>
      </c>
    </row>
    <row r="906" spans="1:4" x14ac:dyDescent="0.2">
      <c r="A906" s="5">
        <v>845</v>
      </c>
      <c r="B906" s="138">
        <f>'Expenditures 15-22'!F49</f>
        <v>589</v>
      </c>
      <c r="D906" s="2" t="str">
        <f t="shared" si="13"/>
        <v>Error?</v>
      </c>
    </row>
    <row r="907" spans="1:4" x14ac:dyDescent="0.2">
      <c r="A907" s="5">
        <v>846</v>
      </c>
      <c r="B907" s="138">
        <f>'Expenditures 15-22'!F50</f>
        <v>10938</v>
      </c>
      <c r="D907" s="2" t="str">
        <f t="shared" si="13"/>
        <v>Error?</v>
      </c>
    </row>
    <row r="908" spans="1:4" x14ac:dyDescent="0.2">
      <c r="A908" s="5">
        <v>847</v>
      </c>
      <c r="B908" s="138">
        <f>'Expenditures 15-22'!F53</f>
        <v>11527</v>
      </c>
      <c r="C908" s="2" t="s">
        <v>594</v>
      </c>
      <c r="D908" s="2" t="str">
        <f t="shared" si="13"/>
        <v>Error?</v>
      </c>
    </row>
    <row r="909" spans="1:4" x14ac:dyDescent="0.2">
      <c r="A909" s="5">
        <v>848</v>
      </c>
      <c r="B909" s="138">
        <f>'Expenditures 15-22'!F55</f>
        <v>3938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3938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609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161672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162281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869</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869</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205909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426455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335</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147737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70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70</v>
      </c>
      <c r="C1021" s="2" t="s">
        <v>594</v>
      </c>
      <c r="D1021" s="2" t="str">
        <f t="shared" si="14"/>
        <v>Error?</v>
      </c>
    </row>
    <row r="1022" spans="1:4" x14ac:dyDescent="0.2">
      <c r="A1022" s="5">
        <v>961</v>
      </c>
      <c r="B1022" s="138">
        <f>'Expenditures 15-22'!H49</f>
        <v>4964</v>
      </c>
      <c r="D1022" s="2" t="str">
        <f t="shared" si="14"/>
        <v>Error?</v>
      </c>
    </row>
    <row r="1023" spans="1:4" x14ac:dyDescent="0.2">
      <c r="A1023" s="5">
        <v>962</v>
      </c>
      <c r="B1023" s="138">
        <f>'Expenditures 15-22'!H50</f>
        <v>2384</v>
      </c>
      <c r="D1023" s="2" t="str">
        <f t="shared" ref="D1023:D1086" si="15">IF(ISBLANK(B1023),"OK",IF(A1023-B1023=0,"OK","Error?"))</f>
        <v>Error?</v>
      </c>
    </row>
    <row r="1024" spans="1:4" x14ac:dyDescent="0.2">
      <c r="A1024" s="5">
        <v>963</v>
      </c>
      <c r="B1024" s="138">
        <f>'Expenditures 15-22'!H53</f>
        <v>7348</v>
      </c>
      <c r="C1024" s="2" t="s">
        <v>594</v>
      </c>
      <c r="D1024" s="2" t="str">
        <f t="shared" si="15"/>
        <v>Error?</v>
      </c>
    </row>
    <row r="1025" spans="1:4" x14ac:dyDescent="0.2">
      <c r="A1025" s="5">
        <v>964</v>
      </c>
      <c r="B1025" s="138">
        <f>'Expenditures 15-22'!H55</f>
        <v>977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977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8395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362438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518570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3425955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256917</v>
      </c>
      <c r="C1105" s="2" t="s">
        <v>594</v>
      </c>
      <c r="D1105" s="2" t="str">
        <f t="shared" si="16"/>
        <v>Error?</v>
      </c>
    </row>
    <row r="1106" spans="1:4" x14ac:dyDescent="0.2">
      <c r="A1106" s="5">
        <v>1045</v>
      </c>
      <c r="B1106" s="138">
        <f>'Expenditures 15-22'!K14</f>
        <v>276321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4996155</v>
      </c>
      <c r="C1108" s="2" t="s">
        <v>594</v>
      </c>
      <c r="D1108" s="2" t="str">
        <f t="shared" si="16"/>
        <v>Error?</v>
      </c>
    </row>
    <row r="1109" spans="1:4" x14ac:dyDescent="0.2">
      <c r="A1109" s="5">
        <v>1048</v>
      </c>
      <c r="B1109" s="138">
        <f>'Expenditures 15-22'!K36</f>
        <v>58865</v>
      </c>
      <c r="C1109" s="2" t="s">
        <v>594</v>
      </c>
      <c r="D1109" s="2" t="str">
        <f t="shared" si="16"/>
        <v>Error?</v>
      </c>
    </row>
    <row r="1110" spans="1:4" x14ac:dyDescent="0.2">
      <c r="A1110" s="5">
        <v>1049</v>
      </c>
      <c r="B1110" s="138">
        <f>'Expenditures 15-22'!K37</f>
        <v>101036</v>
      </c>
      <c r="C1110" s="2" t="s">
        <v>594</v>
      </c>
      <c r="D1110" s="2" t="str">
        <f t="shared" si="16"/>
        <v>Error?</v>
      </c>
    </row>
    <row r="1111" spans="1:4" x14ac:dyDescent="0.2">
      <c r="A1111" s="5">
        <v>1050</v>
      </c>
      <c r="B1111" s="138">
        <f>'Expenditures 15-22'!K38</f>
        <v>41006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75600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276507</v>
      </c>
      <c r="C1115" s="2" t="s">
        <v>594</v>
      </c>
      <c r="D1115" s="2" t="str">
        <f t="shared" si="16"/>
        <v>Error?</v>
      </c>
    </row>
    <row r="1116" spans="1:4" x14ac:dyDescent="0.2">
      <c r="A1116" s="5">
        <v>1055</v>
      </c>
      <c r="B1116" s="138">
        <f>'Expenditures 15-22'!K44</f>
        <v>41989</v>
      </c>
      <c r="C1116" s="2" t="s">
        <v>594</v>
      </c>
      <c r="D1116" s="2" t="str">
        <f t="shared" si="16"/>
        <v>Error?</v>
      </c>
    </row>
    <row r="1117" spans="1:4" x14ac:dyDescent="0.2">
      <c r="A1117" s="5">
        <v>1056</v>
      </c>
      <c r="B1117" s="138">
        <f>'Expenditures 15-22'!K45</f>
        <v>215842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257831</v>
      </c>
      <c r="C1119" s="2" t="s">
        <v>594</v>
      </c>
      <c r="D1119" s="2" t="str">
        <f t="shared" si="16"/>
        <v>Error?</v>
      </c>
    </row>
    <row r="1120" spans="1:4" x14ac:dyDescent="0.2">
      <c r="A1120" s="5">
        <v>1059</v>
      </c>
      <c r="B1120" s="138">
        <f>'Expenditures 15-22'!K49</f>
        <v>51168</v>
      </c>
      <c r="C1120" s="2" t="s">
        <v>594</v>
      </c>
      <c r="D1120" s="2" t="str">
        <f t="shared" si="16"/>
        <v>Error?</v>
      </c>
    </row>
    <row r="1121" spans="1:4" x14ac:dyDescent="0.2">
      <c r="A1121" s="5">
        <v>1060</v>
      </c>
      <c r="B1121" s="138">
        <f>'Expenditures 15-22'!K50</f>
        <v>225262</v>
      </c>
      <c r="C1121" s="2" t="s">
        <v>594</v>
      </c>
      <c r="D1121" s="2" t="str">
        <f t="shared" si="16"/>
        <v>Error?</v>
      </c>
    </row>
    <row r="1122" spans="1:4" x14ac:dyDescent="0.2">
      <c r="A1122" s="5">
        <v>1061</v>
      </c>
      <c r="B1122" s="138">
        <f>'Expenditures 15-22'!K53</f>
        <v>276430</v>
      </c>
      <c r="C1122" s="2" t="s">
        <v>594</v>
      </c>
      <c r="D1122" s="2" t="str">
        <f t="shared" si="16"/>
        <v>Error?</v>
      </c>
    </row>
    <row r="1123" spans="1:4" x14ac:dyDescent="0.2">
      <c r="A1123" s="5">
        <v>1062</v>
      </c>
      <c r="B1123" s="138">
        <f>'Expenditures 15-22'!K55</f>
        <v>652951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652951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46680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360977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407657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105668</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105668</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1977044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648465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7621664</v>
      </c>
      <c r="C1152" s="2" t="s">
        <v>594</v>
      </c>
      <c r="D1152" s="2" t="str">
        <f t="shared" si="17"/>
        <v>Error?</v>
      </c>
    </row>
    <row r="1153" spans="1:4" x14ac:dyDescent="0.2">
      <c r="A1153" s="5">
        <v>1092</v>
      </c>
      <c r="B1153" s="138">
        <f>'Expenditures 15-22'!K115</f>
        <v>524780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474201</v>
      </c>
      <c r="D1221" s="2" t="str">
        <f t="shared" si="18"/>
        <v>Error?</v>
      </c>
    </row>
    <row r="1222" spans="1:4" x14ac:dyDescent="0.2">
      <c r="A1222" s="10">
        <v>1161</v>
      </c>
      <c r="D1222" s="2" t="str">
        <f t="shared" si="18"/>
        <v>OK</v>
      </c>
    </row>
    <row r="1223" spans="1:4" x14ac:dyDescent="0.2">
      <c r="A1223" s="5">
        <v>1162</v>
      </c>
      <c r="B1223" s="138">
        <f>'Expenditures 15-22'!C127</f>
        <v>474201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474201</v>
      </c>
      <c r="C1225" s="2" t="s">
        <v>594</v>
      </c>
      <c r="D1225" s="2" t="str">
        <f t="shared" si="18"/>
        <v>Error?</v>
      </c>
    </row>
    <row r="1226" spans="1:4" x14ac:dyDescent="0.2">
      <c r="A1226" s="5">
        <v>1165</v>
      </c>
      <c r="B1226" s="138">
        <f>'Expenditures 15-22'!C151</f>
        <v>474201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50520</v>
      </c>
      <c r="D1229" s="2" t="str">
        <f t="shared" si="18"/>
        <v>Error?</v>
      </c>
    </row>
    <row r="1230" spans="1:4" x14ac:dyDescent="0.2">
      <c r="A1230" s="10">
        <v>1169</v>
      </c>
      <c r="D1230" s="2" t="str">
        <f t="shared" si="18"/>
        <v>OK</v>
      </c>
    </row>
    <row r="1231" spans="1:4" x14ac:dyDescent="0.2">
      <c r="A1231" s="5">
        <v>1170</v>
      </c>
      <c r="B1231" s="138">
        <f>'Expenditures 15-22'!D127</f>
        <v>50520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50520</v>
      </c>
      <c r="C1233" s="2" t="s">
        <v>594</v>
      </c>
      <c r="D1233" s="2" t="str">
        <f t="shared" si="18"/>
        <v>Error?</v>
      </c>
    </row>
    <row r="1234" spans="1:4" x14ac:dyDescent="0.2">
      <c r="A1234" s="5">
        <v>1173</v>
      </c>
      <c r="B1234" s="138">
        <f>'Expenditures 15-22'!D151</f>
        <v>50520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510250</v>
      </c>
      <c r="D1237" s="2" t="str">
        <f t="shared" si="18"/>
        <v>Error?</v>
      </c>
    </row>
    <row r="1238" spans="1:4" x14ac:dyDescent="0.2">
      <c r="A1238" s="10">
        <v>1177</v>
      </c>
      <c r="D1238" s="2" t="str">
        <f t="shared" si="18"/>
        <v>OK</v>
      </c>
    </row>
    <row r="1239" spans="1:4" x14ac:dyDescent="0.2">
      <c r="A1239" s="5">
        <v>1178</v>
      </c>
      <c r="B1239" s="138">
        <f>'Expenditures 15-22'!E127</f>
        <v>510250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510250</v>
      </c>
      <c r="C1241" s="2" t="s">
        <v>594</v>
      </c>
      <c r="D1241" s="2" t="str">
        <f t="shared" si="18"/>
        <v>Error?</v>
      </c>
    </row>
    <row r="1242" spans="1:4" x14ac:dyDescent="0.2">
      <c r="A1242" s="5">
        <v>1181</v>
      </c>
      <c r="B1242" s="138">
        <f>'Expenditures 15-22'!E151</f>
        <v>510250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76847</v>
      </c>
      <c r="D1245" s="2" t="str">
        <f t="shared" si="18"/>
        <v>Error?</v>
      </c>
    </row>
    <row r="1246" spans="1:4" x14ac:dyDescent="0.2">
      <c r="A1246" s="10">
        <v>1185</v>
      </c>
      <c r="D1246" s="2" t="str">
        <f t="shared" si="18"/>
        <v>OK</v>
      </c>
    </row>
    <row r="1247" spans="1:4" x14ac:dyDescent="0.2">
      <c r="A1247" s="5">
        <v>1186</v>
      </c>
      <c r="B1247" s="138">
        <f>'Expenditures 15-22'!F127</f>
        <v>76847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76847</v>
      </c>
      <c r="C1249" s="2" t="s">
        <v>594</v>
      </c>
      <c r="D1249" s="2" t="str">
        <f t="shared" si="18"/>
        <v>Error?</v>
      </c>
    </row>
    <row r="1250" spans="1:4" x14ac:dyDescent="0.2">
      <c r="A1250" s="5">
        <v>1189</v>
      </c>
      <c r="B1250" s="138">
        <f>'Expenditures 15-22'!F151</f>
        <v>76847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36309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36309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36309</v>
      </c>
      <c r="C1258" s="2" t="s">
        <v>594</v>
      </c>
      <c r="D1258" s="2" t="str">
        <f t="shared" si="18"/>
        <v>Error?</v>
      </c>
    </row>
    <row r="1259" spans="1:4" x14ac:dyDescent="0.2">
      <c r="A1259" s="5">
        <v>1198</v>
      </c>
      <c r="B1259" s="138">
        <f>'Expenditures 15-22'!G151</f>
        <v>36309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1148837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1148837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1148837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1148837</v>
      </c>
      <c r="C1288" s="2" t="s">
        <v>594</v>
      </c>
      <c r="D1288" s="2" t="str">
        <f t="shared" si="19"/>
        <v>Error?</v>
      </c>
    </row>
    <row r="1289" spans="1:4" x14ac:dyDescent="0.2">
      <c r="A1289" s="5">
        <v>1228</v>
      </c>
      <c r="B1289" s="138">
        <f>'Expenditures 15-22'!K152</f>
        <v>916788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87060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524000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611060</v>
      </c>
      <c r="C1317" s="2" t="s">
        <v>594</v>
      </c>
      <c r="D1317" s="2" t="str">
        <f t="shared" si="19"/>
        <v>Error?</v>
      </c>
    </row>
    <row r="1318" spans="1:4" x14ac:dyDescent="0.2">
      <c r="A1318" s="5">
        <v>1257</v>
      </c>
      <c r="B1318" s="138">
        <f>'Expenditures 15-22'!H174</f>
        <v>611060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87060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524000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611060</v>
      </c>
      <c r="C1331" s="2" t="s">
        <v>594</v>
      </c>
      <c r="D1331" s="2" t="str">
        <f t="shared" si="19"/>
        <v>Error?</v>
      </c>
    </row>
    <row r="1332" spans="1:4" x14ac:dyDescent="0.2">
      <c r="A1332" s="5">
        <v>1271</v>
      </c>
      <c r="B1332" s="138">
        <f>'Expenditures 15-22'!K174</f>
        <v>611060</v>
      </c>
      <c r="C1332" s="2" t="s">
        <v>594</v>
      </c>
      <c r="D1332" s="2" t="str">
        <f t="shared" si="19"/>
        <v>Error?</v>
      </c>
    </row>
    <row r="1333" spans="1:4" x14ac:dyDescent="0.2">
      <c r="A1333" s="5">
        <v>1272</v>
      </c>
      <c r="B1333" s="138">
        <f>'Expenditures 15-22'!K175</f>
        <v>23804</v>
      </c>
      <c r="C1333" s="2" t="s">
        <v>594</v>
      </c>
      <c r="D1333" s="2" t="str">
        <f t="shared" si="19"/>
        <v>Error?</v>
      </c>
    </row>
    <row r="1334" spans="1:4" x14ac:dyDescent="0.2">
      <c r="A1334" s="10">
        <v>1273</v>
      </c>
      <c r="D1334" s="2" t="str">
        <f t="shared" si="19"/>
        <v>OK</v>
      </c>
    </row>
    <row r="1335" spans="1:4" x14ac:dyDescent="0.2">
      <c r="A1335" s="5">
        <v>1274</v>
      </c>
      <c r="B1335" s="138">
        <f>'Expenditures 15-22'!C182</f>
        <v>7420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7420</v>
      </c>
      <c r="C1339" s="2" t="s">
        <v>594</v>
      </c>
      <c r="D1339" s="2" t="str">
        <f t="shared" si="19"/>
        <v>Error?</v>
      </c>
    </row>
    <row r="1340" spans="1:4" x14ac:dyDescent="0.2">
      <c r="A1340" s="5">
        <v>1279</v>
      </c>
      <c r="B1340" s="138">
        <f>'Expenditures 15-22'!C210</f>
        <v>7420</v>
      </c>
      <c r="C1340" s="2" t="s">
        <v>594</v>
      </c>
      <c r="D1340" s="2" t="str">
        <f t="shared" si="19"/>
        <v>Error?</v>
      </c>
    </row>
    <row r="1341" spans="1:4" x14ac:dyDescent="0.2">
      <c r="A1341" s="5">
        <v>1280</v>
      </c>
      <c r="B1341" s="138">
        <f>'Expenditures 15-22'!D182</f>
        <v>854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854</v>
      </c>
      <c r="C1345" s="2" t="s">
        <v>594</v>
      </c>
      <c r="D1345" s="2" t="str">
        <f t="shared" si="20"/>
        <v>Error?</v>
      </c>
    </row>
    <row r="1346" spans="1:4" x14ac:dyDescent="0.2">
      <c r="A1346" s="5">
        <v>1285</v>
      </c>
      <c r="B1346" s="138">
        <f>'Expenditures 15-22'!D210</f>
        <v>854</v>
      </c>
      <c r="C1346" s="2" t="s">
        <v>594</v>
      </c>
      <c r="D1346" s="2" t="str">
        <f t="shared" si="20"/>
        <v>Error?</v>
      </c>
    </row>
    <row r="1347" spans="1:4" x14ac:dyDescent="0.2">
      <c r="A1347" s="5">
        <v>1286</v>
      </c>
      <c r="B1347" s="138">
        <f>'Expenditures 15-22'!E182</f>
        <v>918347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918347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918347</v>
      </c>
      <c r="C1353" s="2" t="s">
        <v>594</v>
      </c>
      <c r="D1353" s="2" t="str">
        <f t="shared" si="20"/>
        <v>Error?</v>
      </c>
    </row>
    <row r="1354" spans="1:4" x14ac:dyDescent="0.2">
      <c r="A1354" s="5">
        <v>1293</v>
      </c>
      <c r="B1354" s="138">
        <f>'Expenditures 15-22'!F182</f>
        <v>5821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5821</v>
      </c>
      <c r="C1358" s="2" t="s">
        <v>594</v>
      </c>
      <c r="D1358" s="2" t="str">
        <f t="shared" si="20"/>
        <v>Error?</v>
      </c>
    </row>
    <row r="1359" spans="1:4" x14ac:dyDescent="0.2">
      <c r="A1359" s="5">
        <v>1298</v>
      </c>
      <c r="B1359" s="138">
        <f>'Expenditures 15-22'!F210</f>
        <v>5821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932442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932442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932442</v>
      </c>
      <c r="C1388" s="2" t="s">
        <v>594</v>
      </c>
      <c r="D1388" s="2" t="str">
        <f t="shared" si="20"/>
        <v>Error?</v>
      </c>
    </row>
    <row r="1389" spans="1:4" x14ac:dyDescent="0.2">
      <c r="A1389" s="5">
        <v>1328</v>
      </c>
      <c r="B1389" s="138">
        <f>'Expenditures 15-22'!K211</f>
        <v>343163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2521</v>
      </c>
      <c r="D1407" s="2" t="str">
        <f t="shared" ref="D1407:D1470" si="21">IF(ISBLANK(B1407),"OK",IF(A1407-B1407=0,"OK","Error?"))</f>
        <v>Error?</v>
      </c>
    </row>
    <row r="1408" spans="1:4" x14ac:dyDescent="0.2">
      <c r="A1408" s="5">
        <v>1347</v>
      </c>
      <c r="B1408" s="138">
        <f>'Expenditures 15-22'!D223</f>
        <v>4725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110656</v>
      </c>
      <c r="C1410" s="2" t="s">
        <v>594</v>
      </c>
      <c r="D1410" s="2" t="str">
        <f t="shared" si="21"/>
        <v>Error?</v>
      </c>
    </row>
    <row r="1411" spans="1:4" x14ac:dyDescent="0.2">
      <c r="A1411" s="5">
        <v>1350</v>
      </c>
      <c r="B1411" s="138">
        <f>'Expenditures 15-22'!D232</f>
        <v>686</v>
      </c>
      <c r="D1411" s="2" t="str">
        <f t="shared" si="21"/>
        <v>Error?</v>
      </c>
    </row>
    <row r="1412" spans="1:4" x14ac:dyDescent="0.2">
      <c r="A1412" s="5">
        <v>1351</v>
      </c>
      <c r="B1412" s="138">
        <f>'Expenditures 15-22'!D233</f>
        <v>8927</v>
      </c>
      <c r="D1412" s="2" t="str">
        <f t="shared" si="21"/>
        <v>Error?</v>
      </c>
    </row>
    <row r="1413" spans="1:4" x14ac:dyDescent="0.2">
      <c r="A1413" s="5">
        <v>1352</v>
      </c>
      <c r="B1413" s="138">
        <f>'Expenditures 15-22'!D234</f>
        <v>829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852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11294</v>
      </c>
      <c r="C1417" s="2" t="s">
        <v>594</v>
      </c>
      <c r="D1417" s="2" t="str">
        <f t="shared" si="21"/>
        <v>Error?</v>
      </c>
    </row>
    <row r="1418" spans="1:4" x14ac:dyDescent="0.2">
      <c r="A1418" s="5">
        <v>1357</v>
      </c>
      <c r="B1418" s="138">
        <f>'Expenditures 15-22'!D240</f>
        <v>107</v>
      </c>
      <c r="D1418" s="2" t="str">
        <f t="shared" si="21"/>
        <v>Error?</v>
      </c>
    </row>
    <row r="1419" spans="1:4" x14ac:dyDescent="0.2">
      <c r="A1419" s="5">
        <v>1358</v>
      </c>
      <c r="B1419" s="138">
        <f>'Expenditures 15-22'!D241</f>
        <v>8550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8657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11363</v>
      </c>
      <c r="D1423" s="2" t="str">
        <f t="shared" si="21"/>
        <v>Error?</v>
      </c>
    </row>
    <row r="1424" spans="1:4" x14ac:dyDescent="0.2">
      <c r="A1424" s="5">
        <v>1363</v>
      </c>
      <c r="B1424" s="138">
        <f>'Expenditures 15-22'!D257</f>
        <v>11363</v>
      </c>
      <c r="C1424" s="2" t="s">
        <v>594</v>
      </c>
      <c r="D1424" s="2" t="str">
        <f t="shared" si="21"/>
        <v>Error?</v>
      </c>
    </row>
    <row r="1425" spans="1:4" x14ac:dyDescent="0.2">
      <c r="A1425" s="5">
        <v>1364</v>
      </c>
      <c r="B1425" s="138">
        <f>'Expenditures 15-22'!D259</f>
        <v>43471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43471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7975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86966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33788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128729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203514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314170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2521</v>
      </c>
      <c r="C1471" s="2" t="s">
        <v>594</v>
      </c>
      <c r="D1471" s="2" t="str">
        <f t="shared" ref="D1471:D1534" si="22">IF(ISBLANK(B1471),"OK",IF(A1471-B1471=0,"OK","Error?"))</f>
        <v>Error?</v>
      </c>
    </row>
    <row r="1472" spans="1:4" x14ac:dyDescent="0.2">
      <c r="A1472" s="5">
        <v>1411</v>
      </c>
      <c r="B1472" s="138">
        <f>'Expenditures 15-22'!K223</f>
        <v>4725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110656</v>
      </c>
      <c r="C1474" s="2" t="s">
        <v>594</v>
      </c>
      <c r="D1474" s="2" t="str">
        <f t="shared" si="22"/>
        <v>Error?</v>
      </c>
    </row>
    <row r="1475" spans="1:4" x14ac:dyDescent="0.2">
      <c r="A1475" s="5">
        <v>1414</v>
      </c>
      <c r="B1475" s="138">
        <f>'Expenditures 15-22'!K232</f>
        <v>686</v>
      </c>
      <c r="C1475" s="2" t="s">
        <v>594</v>
      </c>
      <c r="D1475" s="2" t="str">
        <f t="shared" si="22"/>
        <v>Error?</v>
      </c>
    </row>
    <row r="1476" spans="1:4" x14ac:dyDescent="0.2">
      <c r="A1476" s="5">
        <v>1415</v>
      </c>
      <c r="B1476" s="138">
        <f>'Expenditures 15-22'!K233</f>
        <v>8927</v>
      </c>
      <c r="C1476" s="2" t="s">
        <v>594</v>
      </c>
      <c r="D1476" s="2" t="str">
        <f t="shared" si="22"/>
        <v>Error?</v>
      </c>
    </row>
    <row r="1477" spans="1:4" x14ac:dyDescent="0.2">
      <c r="A1477" s="5">
        <v>1416</v>
      </c>
      <c r="B1477" s="138">
        <f>'Expenditures 15-22'!K234</f>
        <v>829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852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11294</v>
      </c>
      <c r="C1481" s="2" t="s">
        <v>594</v>
      </c>
      <c r="D1481" s="2" t="str">
        <f t="shared" si="22"/>
        <v>Error?</v>
      </c>
    </row>
    <row r="1482" spans="1:4" x14ac:dyDescent="0.2">
      <c r="A1482" s="5">
        <v>1421</v>
      </c>
      <c r="B1482" s="138">
        <f>'Expenditures 15-22'!K240</f>
        <v>107</v>
      </c>
      <c r="C1482" s="2" t="s">
        <v>594</v>
      </c>
      <c r="D1482" s="2" t="str">
        <f t="shared" si="22"/>
        <v>Error?</v>
      </c>
    </row>
    <row r="1483" spans="1:4" x14ac:dyDescent="0.2">
      <c r="A1483" s="5">
        <v>1422</v>
      </c>
      <c r="B1483" s="138">
        <f>'Expenditures 15-22'!K241</f>
        <v>8550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8657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11363</v>
      </c>
      <c r="C1487" s="2" t="s">
        <v>594</v>
      </c>
      <c r="D1487" s="2" t="str">
        <f t="shared" si="22"/>
        <v>Error?</v>
      </c>
    </row>
    <row r="1488" spans="1:4" x14ac:dyDescent="0.2">
      <c r="A1488" s="5">
        <v>1427</v>
      </c>
      <c r="B1488" s="138">
        <f>'Expenditures 15-22'!K257</f>
        <v>11363</v>
      </c>
      <c r="C1488" s="2" t="s">
        <v>594</v>
      </c>
      <c r="D1488" s="2" t="str">
        <f t="shared" si="22"/>
        <v>Error?</v>
      </c>
    </row>
    <row r="1489" spans="1:4" x14ac:dyDescent="0.2">
      <c r="A1489" s="5">
        <v>1428</v>
      </c>
      <c r="B1489" s="138">
        <f>'Expenditures 15-22'!K259</f>
        <v>43471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43471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7975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86966</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33788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128729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203514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314170</v>
      </c>
      <c r="C1517" s="2" t="s">
        <v>594</v>
      </c>
      <c r="D1517" s="2" t="str">
        <f t="shared" si="22"/>
        <v>Error?</v>
      </c>
    </row>
    <row r="1518" spans="1:4" x14ac:dyDescent="0.2">
      <c r="A1518" s="5">
        <v>1457</v>
      </c>
      <c r="B1518" s="138">
        <f>'Expenditures 15-22'!K296</f>
        <v>3321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377316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377316</v>
      </c>
      <c r="C1547" s="2" t="s">
        <v>594</v>
      </c>
      <c r="D1547" s="2" t="str">
        <f t="shared" si="23"/>
        <v>Error?</v>
      </c>
    </row>
    <row r="1548" spans="1:4" x14ac:dyDescent="0.2">
      <c r="A1548" s="5">
        <v>1487</v>
      </c>
      <c r="B1548" s="138">
        <f>'Expenditures 15-22'!G312</f>
        <v>377316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377316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377316</v>
      </c>
      <c r="C1559" s="2" t="s">
        <v>594</v>
      </c>
      <c r="D1559" s="2" t="str">
        <f t="shared" si="23"/>
        <v>Error?</v>
      </c>
    </row>
    <row r="1560" spans="1:4" x14ac:dyDescent="0.2">
      <c r="A1560" s="5">
        <v>1499</v>
      </c>
      <c r="B1560" s="138">
        <f>'Expenditures 15-22'!K312</f>
        <v>377316</v>
      </c>
      <c r="C1560" s="2" t="s">
        <v>594</v>
      </c>
      <c r="D1560" s="2" t="str">
        <f t="shared" si="23"/>
        <v>Error?</v>
      </c>
    </row>
    <row r="1561" spans="1:4" x14ac:dyDescent="0.2">
      <c r="A1561" s="5">
        <v>1500</v>
      </c>
      <c r="B1561" s="138">
        <f>'Expenditures 15-22'!K313</f>
        <v>269313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3885263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4410043</v>
      </c>
      <c r="C1630" s="2" t="s">
        <v>594</v>
      </c>
      <c r="D1630" s="2" t="str">
        <f t="shared" si="24"/>
        <v>Error?</v>
      </c>
    </row>
    <row r="1631" spans="1:4" x14ac:dyDescent="0.2">
      <c r="A1631" s="5">
        <v>1570</v>
      </c>
      <c r="B1631" s="138">
        <f>'Acct Summary 7-8'!D79</f>
        <v>6915746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7832534</v>
      </c>
      <c r="C1644" s="2" t="s">
        <v>594</v>
      </c>
      <c r="D1644" s="2" t="str">
        <f t="shared" si="24"/>
        <v>Error?</v>
      </c>
    </row>
    <row r="1645" spans="1:4" x14ac:dyDescent="0.2">
      <c r="A1645" s="5">
        <v>1584</v>
      </c>
      <c r="B1645" s="138">
        <f>'Acct Summary 7-8'!E79</f>
        <v>-53903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-30099</v>
      </c>
      <c r="C1658" s="2" t="s">
        <v>594</v>
      </c>
      <c r="D1658" s="2" t="str">
        <f t="shared" si="24"/>
        <v>Error?</v>
      </c>
    </row>
    <row r="1659" spans="1:4" x14ac:dyDescent="0.2">
      <c r="A1659" s="5">
        <v>1598</v>
      </c>
      <c r="B1659" s="138">
        <f>'Acct Summary 7-8'!F79</f>
        <v>306715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649878</v>
      </c>
      <c r="C1672" s="2" t="s">
        <v>594</v>
      </c>
      <c r="D1672" s="2" t="str">
        <f t="shared" si="25"/>
        <v>Error?</v>
      </c>
    </row>
    <row r="1673" spans="1:4" x14ac:dyDescent="0.2">
      <c r="A1673" s="5">
        <v>1612</v>
      </c>
      <c r="B1673" s="138">
        <f>'Acct Summary 7-8'!G79</f>
        <v>155550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158871</v>
      </c>
      <c r="C1686" s="2" t="s">
        <v>594</v>
      </c>
      <c r="D1686" s="2" t="str">
        <f t="shared" si="25"/>
        <v>Error?</v>
      </c>
    </row>
    <row r="1687" spans="1:4" x14ac:dyDescent="0.2">
      <c r="A1687" s="5">
        <v>1626</v>
      </c>
      <c r="B1687" s="138">
        <f>'Acct Summary 7-8'!H79</f>
        <v>-2952508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-2683195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4350947</v>
      </c>
      <c r="C1744" s="2" t="s">
        <v>594</v>
      </c>
      <c r="D1744" s="2" t="str">
        <f t="shared" si="26"/>
        <v>Error?</v>
      </c>
    </row>
    <row r="1745" spans="1:5" x14ac:dyDescent="0.2">
      <c r="A1745" s="5">
        <v>1684</v>
      </c>
      <c r="B1745" s="138">
        <f>'Tax Sched 23'!B5</f>
        <v>1182540</v>
      </c>
      <c r="C1745" s="2" t="s">
        <v>594</v>
      </c>
      <c r="D1745" s="2" t="str">
        <f t="shared" si="26"/>
        <v>Error?</v>
      </c>
    </row>
    <row r="1746" spans="1:5" x14ac:dyDescent="0.2">
      <c r="A1746" s="5">
        <v>1685</v>
      </c>
      <c r="B1746" s="138">
        <f>'Tax Sched 23'!B6</f>
        <v>632661</v>
      </c>
      <c r="C1746" s="2" t="s">
        <v>594</v>
      </c>
      <c r="D1746" s="2" t="str">
        <f t="shared" si="26"/>
        <v>Error?</v>
      </c>
    </row>
    <row r="1747" spans="1:5" x14ac:dyDescent="0.2">
      <c r="A1747" s="5">
        <v>1686</v>
      </c>
      <c r="B1747" s="138">
        <f>'Tax Sched 23'!B7</f>
        <v>473019</v>
      </c>
      <c r="C1747" s="2" t="s">
        <v>594</v>
      </c>
      <c r="D1747" s="2" t="str">
        <f t="shared" si="26"/>
        <v>Error?</v>
      </c>
    </row>
    <row r="1748" spans="1:5" x14ac:dyDescent="0.2">
      <c r="A1748" s="5">
        <v>1687</v>
      </c>
      <c r="B1748" s="138">
        <f>'Tax Sched 23'!B8</f>
        <v>79125</v>
      </c>
      <c r="C1748" s="2" t="s">
        <v>594</v>
      </c>
      <c r="D1748" s="2" t="str">
        <f t="shared" si="26"/>
        <v>Error?</v>
      </c>
    </row>
    <row r="1749" spans="1:5" x14ac:dyDescent="0.2">
      <c r="A1749" s="5">
        <v>1688</v>
      </c>
      <c r="B1749" s="138">
        <f>'Tax Sched 23'!B10</f>
        <v>118251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469761</v>
      </c>
      <c r="C1752" s="2" t="s">
        <v>594</v>
      </c>
      <c r="D1752" s="2" t="str">
        <f t="shared" si="26"/>
        <v>Error?</v>
      </c>
    </row>
    <row r="1753" spans="1:5" x14ac:dyDescent="0.2">
      <c r="A1753" s="5">
        <v>1692</v>
      </c>
      <c r="B1753" s="138">
        <f>'Tax Sched 23'!B12</f>
        <v>118251</v>
      </c>
      <c r="C1753" s="2" t="s">
        <v>594</v>
      </c>
      <c r="D1753" s="2" t="str">
        <f t="shared" si="26"/>
        <v>Error?</v>
      </c>
    </row>
    <row r="1754" spans="1:5" x14ac:dyDescent="0.2">
      <c r="A1754" s="5">
        <v>1693</v>
      </c>
      <c r="B1754" s="138">
        <f>'Tax Sched 23'!B14</f>
        <v>94604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7816421</v>
      </c>
      <c r="C1759" s="2" t="s">
        <v>594</v>
      </c>
      <c r="D1759" s="2" t="str">
        <f t="shared" si="26"/>
        <v>Error?</v>
      </c>
    </row>
    <row r="1760" spans="1:5" x14ac:dyDescent="0.2">
      <c r="A1760" s="5">
        <v>1699</v>
      </c>
      <c r="B1760" s="138">
        <f>'Tax Sched 23'!D4</f>
        <v>4350947</v>
      </c>
      <c r="C1760" s="2" t="s">
        <v>594</v>
      </c>
      <c r="D1760" s="2" t="str">
        <f t="shared" si="26"/>
        <v>Error?</v>
      </c>
    </row>
    <row r="1761" spans="1:5" x14ac:dyDescent="0.2">
      <c r="A1761" s="5">
        <v>1700</v>
      </c>
      <c r="B1761" s="138">
        <f>'Tax Sched 23'!D5</f>
        <v>1182540</v>
      </c>
      <c r="C1761" s="2" t="s">
        <v>594</v>
      </c>
      <c r="D1761" s="2" t="str">
        <f t="shared" si="26"/>
        <v>Error?</v>
      </c>
    </row>
    <row r="1762" spans="1:5" s="8" customFormat="1" x14ac:dyDescent="0.2">
      <c r="A1762" s="5">
        <v>1701</v>
      </c>
      <c r="B1762" s="138">
        <f>'Tax Sched 23'!D6</f>
        <v>632661</v>
      </c>
      <c r="C1762" s="2" t="s">
        <v>594</v>
      </c>
      <c r="D1762" s="2" t="str">
        <f t="shared" si="26"/>
        <v>Error?</v>
      </c>
      <c r="E1762" s="9"/>
    </row>
    <row r="1763" spans="1:5" x14ac:dyDescent="0.2">
      <c r="A1763" s="5">
        <v>1702</v>
      </c>
      <c r="B1763" s="138">
        <f>'Tax Sched 23'!D7</f>
        <v>473019</v>
      </c>
      <c r="C1763" s="2" t="s">
        <v>594</v>
      </c>
      <c r="D1763" s="2" t="str">
        <f t="shared" si="26"/>
        <v>Error?</v>
      </c>
    </row>
    <row r="1764" spans="1:5" x14ac:dyDescent="0.2">
      <c r="A1764" s="5">
        <v>1703</v>
      </c>
      <c r="B1764" s="138">
        <f>'Tax Sched 23'!D8</f>
        <v>79125</v>
      </c>
      <c r="C1764" s="2" t="s">
        <v>594</v>
      </c>
      <c r="D1764" s="2" t="str">
        <f t="shared" si="26"/>
        <v>Error?</v>
      </c>
    </row>
    <row r="1765" spans="1:5" x14ac:dyDescent="0.2">
      <c r="A1765" s="5">
        <v>1704</v>
      </c>
      <c r="B1765" s="138">
        <f>'Tax Sched 23'!D10</f>
        <v>118251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469761</v>
      </c>
      <c r="C1768" s="2" t="s">
        <v>594</v>
      </c>
      <c r="D1768" s="2" t="str">
        <f t="shared" si="26"/>
        <v>Error?</v>
      </c>
    </row>
    <row r="1769" spans="1:5" x14ac:dyDescent="0.2">
      <c r="A1769" s="5">
        <v>1708</v>
      </c>
      <c r="B1769" s="138">
        <f>'Tax Sched 23'!D12</f>
        <v>118251</v>
      </c>
      <c r="C1769" s="2" t="s">
        <v>594</v>
      </c>
      <c r="D1769" s="2" t="str">
        <f t="shared" si="26"/>
        <v>Error?</v>
      </c>
    </row>
    <row r="1770" spans="1:5" x14ac:dyDescent="0.2">
      <c r="A1770" s="5">
        <v>1709</v>
      </c>
      <c r="B1770" s="138">
        <f>'Tax Sched 23'!D14</f>
        <v>94604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7816421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3592595</v>
      </c>
      <c r="C1792" s="2" t="s">
        <v>594</v>
      </c>
      <c r="D1792" s="2" t="str">
        <f t="shared" si="27"/>
        <v>Error?</v>
      </c>
    </row>
    <row r="1793" spans="1:4" x14ac:dyDescent="0.2">
      <c r="A1793" s="5">
        <v>1732</v>
      </c>
      <c r="B1793" s="138">
        <f>'Tax Sched 23'!F5</f>
        <v>976249</v>
      </c>
      <c r="C1793" s="2" t="s">
        <v>594</v>
      </c>
      <c r="D1793" s="2" t="str">
        <f t="shared" si="27"/>
        <v>Error?</v>
      </c>
    </row>
    <row r="1794" spans="1:4" x14ac:dyDescent="0.2">
      <c r="A1794" s="5">
        <v>1733</v>
      </c>
      <c r="B1794" s="138">
        <f>'Tax Sched 23'!F6</f>
        <v>636529</v>
      </c>
      <c r="C1794" s="2" t="s">
        <v>594</v>
      </c>
      <c r="D1794" s="2" t="str">
        <f t="shared" si="27"/>
        <v>Error?</v>
      </c>
    </row>
    <row r="1795" spans="1:4" x14ac:dyDescent="0.2">
      <c r="A1795" s="5">
        <v>1734</v>
      </c>
      <c r="B1795" s="138">
        <f>'Tax Sched 23'!F7</f>
        <v>390499</v>
      </c>
      <c r="C1795" s="2" t="s">
        <v>594</v>
      </c>
      <c r="D1795" s="2" t="str">
        <f t="shared" si="27"/>
        <v>Error?</v>
      </c>
    </row>
    <row r="1796" spans="1:4" x14ac:dyDescent="0.2">
      <c r="A1796" s="5">
        <v>1735</v>
      </c>
      <c r="B1796" s="138">
        <f>'Tax Sched 23'!F8</f>
        <v>80253</v>
      </c>
      <c r="C1796" s="2" t="s">
        <v>594</v>
      </c>
      <c r="D1796" s="2" t="str">
        <f t="shared" si="27"/>
        <v>Error?</v>
      </c>
    </row>
    <row r="1797" spans="1:4" x14ac:dyDescent="0.2">
      <c r="A1797" s="5">
        <v>1736</v>
      </c>
      <c r="B1797" s="138">
        <f>'Tax Sched 23'!F10</f>
        <v>97625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501504</v>
      </c>
      <c r="C1800" s="2" t="s">
        <v>594</v>
      </c>
      <c r="D1800" s="2" t="str">
        <f t="shared" si="27"/>
        <v>Error?</v>
      </c>
    </row>
    <row r="1801" spans="1:4" x14ac:dyDescent="0.2">
      <c r="A1801" s="5">
        <v>1740</v>
      </c>
      <c r="B1801" s="138">
        <f>'Tax Sched 23'!F12</f>
        <v>97625</v>
      </c>
      <c r="C1801" s="2" t="s">
        <v>594</v>
      </c>
      <c r="D1801" s="2" t="str">
        <f t="shared" si="27"/>
        <v>Error?</v>
      </c>
    </row>
    <row r="1802" spans="1:4" x14ac:dyDescent="0.2">
      <c r="A1802" s="5">
        <v>1741</v>
      </c>
      <c r="B1802" s="138">
        <f>'Tax Sched 23'!F14</f>
        <v>78100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6724137</v>
      </c>
      <c r="C1807" s="2" t="s">
        <v>594</v>
      </c>
      <c r="D1807" s="2" t="str">
        <f t="shared" si="27"/>
        <v>Error?</v>
      </c>
    </row>
    <row r="1808" spans="1:4" x14ac:dyDescent="0.2">
      <c r="A1808" s="5">
        <v>1747</v>
      </c>
      <c r="B1808" s="138">
        <f>'Tax Sched 23'!E4</f>
        <v>3592595</v>
      </c>
      <c r="D1808" s="2" t="str">
        <f t="shared" si="27"/>
        <v>Error?</v>
      </c>
    </row>
    <row r="1809" spans="1:4" x14ac:dyDescent="0.2">
      <c r="A1809" s="5">
        <v>1748</v>
      </c>
      <c r="B1809" s="138">
        <f>'Tax Sched 23'!E5</f>
        <v>976249</v>
      </c>
      <c r="D1809" s="2" t="str">
        <f t="shared" si="27"/>
        <v>Error?</v>
      </c>
    </row>
    <row r="1810" spans="1:4" x14ac:dyDescent="0.2">
      <c r="A1810" s="5">
        <v>1749</v>
      </c>
      <c r="B1810" s="138">
        <f>'Tax Sched 23'!E6</f>
        <v>636529</v>
      </c>
      <c r="D1810" s="2" t="str">
        <f t="shared" si="27"/>
        <v>Error?</v>
      </c>
    </row>
    <row r="1811" spans="1:4" x14ac:dyDescent="0.2">
      <c r="A1811" s="5">
        <v>1750</v>
      </c>
      <c r="B1811" s="138">
        <f>'Tax Sched 23'!E7</f>
        <v>390499</v>
      </c>
      <c r="D1811" s="2" t="str">
        <f t="shared" si="27"/>
        <v>Error?</v>
      </c>
    </row>
    <row r="1812" spans="1:4" x14ac:dyDescent="0.2">
      <c r="A1812" s="5">
        <v>1751</v>
      </c>
      <c r="B1812" s="138">
        <f>'Tax Sched 23'!E8</f>
        <v>80253</v>
      </c>
      <c r="D1812" s="2" t="str">
        <f t="shared" si="27"/>
        <v>Error?</v>
      </c>
    </row>
    <row r="1813" spans="1:4" x14ac:dyDescent="0.2">
      <c r="A1813" s="5">
        <v>1752</v>
      </c>
      <c r="B1813" s="138">
        <f>'Tax Sched 23'!E10</f>
        <v>97625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501504</v>
      </c>
      <c r="D1816" s="2" t="str">
        <f t="shared" si="27"/>
        <v>Error?</v>
      </c>
    </row>
    <row r="1817" spans="1:4" x14ac:dyDescent="0.2">
      <c r="A1817" s="5">
        <v>1756</v>
      </c>
      <c r="B1817" s="138">
        <f>'Tax Sched 23'!E12</f>
        <v>97625</v>
      </c>
      <c r="D1817" s="2" t="str">
        <f t="shared" si="27"/>
        <v>Error?</v>
      </c>
    </row>
    <row r="1818" spans="1:4" x14ac:dyDescent="0.2">
      <c r="A1818" s="5">
        <v>1757</v>
      </c>
      <c r="B1818" s="138">
        <f>'Tax Sched 23'!E14</f>
        <v>78100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6724137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3595000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94604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94604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94604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509955</v>
      </c>
      <c r="D2008" s="2" t="str">
        <f t="shared" si="30"/>
        <v>Error?</v>
      </c>
    </row>
    <row r="2009" spans="1:4" x14ac:dyDescent="0.2">
      <c r="A2009" s="5">
        <v>1948</v>
      </c>
      <c r="B2009" s="138">
        <f>'Cap Outlay Deprec 26'!C8</f>
        <v>24351259</v>
      </c>
      <c r="D2009" s="2" t="str">
        <f t="shared" si="30"/>
        <v>Error?</v>
      </c>
    </row>
    <row r="2010" spans="1:4" x14ac:dyDescent="0.2">
      <c r="A2010" s="5">
        <v>1949</v>
      </c>
      <c r="B2010" s="138">
        <f>'Cap Outlay Deprec 26'!C10</f>
        <v>1339518</v>
      </c>
      <c r="D2010" s="2" t="str">
        <f t="shared" si="30"/>
        <v>Error?</v>
      </c>
    </row>
    <row r="2011" spans="1:4" x14ac:dyDescent="0.2">
      <c r="A2011" s="5">
        <v>1950</v>
      </c>
      <c r="B2011" s="138">
        <f>'Cap Outlay Deprec 26'!C12</f>
        <v>963047</v>
      </c>
      <c r="D2011" s="2" t="str">
        <f t="shared" si="30"/>
        <v>Error?</v>
      </c>
    </row>
    <row r="2012" spans="1:4" x14ac:dyDescent="0.2">
      <c r="A2012" s="5">
        <v>1951</v>
      </c>
      <c r="B2012" s="138">
        <f>'Cap Outlay Deprec 26'!C13</f>
        <v>350922</v>
      </c>
      <c r="D2012" s="2" t="str">
        <f t="shared" si="30"/>
        <v>Error?</v>
      </c>
    </row>
    <row r="2013" spans="1:4" x14ac:dyDescent="0.2">
      <c r="A2013" s="5">
        <v>1952</v>
      </c>
      <c r="B2013" s="138">
        <f>'Cap Outlay Deprec 26'!C16</f>
        <v>27586539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311289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102335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413624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60339</v>
      </c>
      <c r="D2023" s="2" t="str">
        <f t="shared" si="30"/>
        <v>Error?</v>
      </c>
    </row>
    <row r="2024" spans="1:4" x14ac:dyDescent="0.2">
      <c r="A2024" s="5">
        <v>1963</v>
      </c>
      <c r="B2024" s="138">
        <f>'Cap Outlay Deprec 26'!E13</f>
        <v>158721</v>
      </c>
      <c r="D2024" s="2" t="str">
        <f t="shared" si="30"/>
        <v>Error?</v>
      </c>
    </row>
    <row r="2025" spans="1:4" x14ac:dyDescent="0.2">
      <c r="A2025" s="5">
        <v>1964</v>
      </c>
      <c r="B2025" s="138">
        <f>'Cap Outlay Deprec 26'!E16</f>
        <v>255486</v>
      </c>
      <c r="C2025" s="2" t="s">
        <v>594</v>
      </c>
      <c r="D2025" s="2" t="str">
        <f t="shared" si="30"/>
        <v>Error?</v>
      </c>
    </row>
    <row r="2026" spans="1:4" x14ac:dyDescent="0.2">
      <c r="A2026" s="5">
        <v>1965</v>
      </c>
      <c r="B2026" s="138">
        <f>'Cap Outlay Deprec 26'!F5</f>
        <v>509955</v>
      </c>
      <c r="C2026" s="2" t="s">
        <v>594</v>
      </c>
      <c r="D2026" s="2" t="str">
        <f t="shared" si="30"/>
        <v>Error?</v>
      </c>
    </row>
    <row r="2027" spans="1:4" x14ac:dyDescent="0.2">
      <c r="A2027" s="5">
        <v>1966</v>
      </c>
      <c r="B2027" s="138">
        <f>'Cap Outlay Deprec 26'!F8</f>
        <v>24662548</v>
      </c>
      <c r="C2027" s="2" t="s">
        <v>594</v>
      </c>
      <c r="D2027" s="2" t="str">
        <f t="shared" si="30"/>
        <v>Error?</v>
      </c>
    </row>
    <row r="2028" spans="1:4" x14ac:dyDescent="0.2">
      <c r="A2028" s="5">
        <v>1967</v>
      </c>
      <c r="B2028" s="138">
        <f>'Cap Outlay Deprec 26'!F10</f>
        <v>1339518</v>
      </c>
      <c r="C2028" s="2" t="s">
        <v>594</v>
      </c>
      <c r="D2028" s="2" t="str">
        <f t="shared" si="30"/>
        <v>Error?</v>
      </c>
    </row>
    <row r="2029" spans="1:4" x14ac:dyDescent="0.2">
      <c r="A2029" s="5">
        <v>1968</v>
      </c>
      <c r="B2029" s="138">
        <f>'Cap Outlay Deprec 26'!F12</f>
        <v>1005043</v>
      </c>
      <c r="C2029" s="2" t="s">
        <v>594</v>
      </c>
      <c r="D2029" s="2" t="str">
        <f t="shared" si="30"/>
        <v>Error?</v>
      </c>
    </row>
    <row r="2030" spans="1:4" x14ac:dyDescent="0.2">
      <c r="A2030" s="5">
        <v>1969</v>
      </c>
      <c r="B2030" s="138">
        <f>'Cap Outlay Deprec 26'!F13</f>
        <v>192201</v>
      </c>
      <c r="C2030" s="2" t="s">
        <v>594</v>
      </c>
      <c r="D2030" s="2" t="str">
        <f t="shared" si="30"/>
        <v>Error?</v>
      </c>
    </row>
    <row r="2031" spans="1:4" x14ac:dyDescent="0.2">
      <c r="A2031" s="5">
        <v>1970</v>
      </c>
      <c r="B2031" s="138">
        <f>'Cap Outlay Deprec 26'!F16</f>
        <v>27744677</v>
      </c>
      <c r="C2031" s="2" t="s">
        <v>594</v>
      </c>
      <c r="D2031" s="2" t="str">
        <f t="shared" si="30"/>
        <v>Error?</v>
      </c>
    </row>
    <row r="2032" spans="1:4" x14ac:dyDescent="0.2">
      <c r="A2032" s="10">
        <v>1971</v>
      </c>
      <c r="D2032" s="2" t="str">
        <f t="shared" si="30"/>
        <v>OK</v>
      </c>
    </row>
    <row r="2033" spans="1:4" x14ac:dyDescent="0.2">
      <c r="A2033" s="5">
        <v>1972</v>
      </c>
      <c r="B2033" s="138">
        <f>'Cap Outlay Deprec 26'!H8</f>
        <v>8749301</v>
      </c>
      <c r="D2033" s="2" t="str">
        <f t="shared" si="30"/>
        <v>Error?</v>
      </c>
    </row>
    <row r="2034" spans="1:4" x14ac:dyDescent="0.2">
      <c r="A2034" s="5">
        <v>1973</v>
      </c>
      <c r="B2034" s="138">
        <f>'Cap Outlay Deprec 26'!H10</f>
        <v>592667</v>
      </c>
      <c r="D2034" s="2" t="str">
        <f t="shared" si="30"/>
        <v>Error?</v>
      </c>
    </row>
    <row r="2035" spans="1:4" x14ac:dyDescent="0.2">
      <c r="A2035" s="5">
        <v>1974</v>
      </c>
      <c r="B2035" s="138">
        <f>'Cap Outlay Deprec 26'!H12</f>
        <v>746228</v>
      </c>
      <c r="D2035" s="2" t="str">
        <f t="shared" si="30"/>
        <v>Error?</v>
      </c>
    </row>
    <row r="2036" spans="1:4" x14ac:dyDescent="0.2">
      <c r="A2036" s="5">
        <v>1975</v>
      </c>
      <c r="B2036" s="138">
        <f>'Cap Outlay Deprec 26'!H13</f>
        <v>320188</v>
      </c>
      <c r="D2036" s="2" t="str">
        <f t="shared" si="30"/>
        <v>Error?</v>
      </c>
    </row>
    <row r="2037" spans="1:4" x14ac:dyDescent="0.2">
      <c r="A2037" s="5">
        <v>1976</v>
      </c>
      <c r="B2037" s="138">
        <f>'Cap Outlay Deprec 26'!H16</f>
        <v>10480222</v>
      </c>
      <c r="C2037" s="2" t="s">
        <v>594</v>
      </c>
      <c r="D2037" s="2" t="str">
        <f t="shared" si="30"/>
        <v>Error?</v>
      </c>
    </row>
    <row r="2038" spans="1:4" x14ac:dyDescent="0.2">
      <c r="A2038" s="10">
        <v>1977</v>
      </c>
      <c r="D2038" s="2" t="str">
        <f t="shared" si="30"/>
        <v>OK</v>
      </c>
    </row>
    <row r="2039" spans="1:4" x14ac:dyDescent="0.2">
      <c r="A2039" s="5">
        <v>1978</v>
      </c>
      <c r="B2039" s="138">
        <f>'Cap Outlay Deprec 26'!I8</f>
        <v>758115</v>
      </c>
      <c r="D2039" s="2" t="str">
        <f t="shared" si="30"/>
        <v>Error?</v>
      </c>
    </row>
    <row r="2040" spans="1:4" x14ac:dyDescent="0.2">
      <c r="A2040" s="5">
        <v>1979</v>
      </c>
      <c r="B2040" s="138">
        <f>'Cap Outlay Deprec 26'!I10</f>
        <v>67980</v>
      </c>
      <c r="D2040" s="2" t="str">
        <f t="shared" si="30"/>
        <v>Error?</v>
      </c>
    </row>
    <row r="2041" spans="1:4" x14ac:dyDescent="0.2">
      <c r="A2041" s="5">
        <v>1980</v>
      </c>
      <c r="B2041" s="138">
        <f>'Cap Outlay Deprec 26'!I12</f>
        <v>68579</v>
      </c>
      <c r="D2041" s="2" t="str">
        <f t="shared" si="30"/>
        <v>Error?</v>
      </c>
    </row>
    <row r="2042" spans="1:4" x14ac:dyDescent="0.2">
      <c r="A2042" s="5">
        <v>1981</v>
      </c>
      <c r="B2042" s="138">
        <f>'Cap Outlay Deprec 26'!I13</f>
        <v>7928</v>
      </c>
      <c r="D2042" s="2" t="str">
        <f t="shared" si="30"/>
        <v>Error?</v>
      </c>
    </row>
    <row r="2043" spans="1:4" x14ac:dyDescent="0.2">
      <c r="A2043" s="5">
        <v>1982</v>
      </c>
      <c r="B2043" s="138">
        <f>'Cap Outlay Deprec 26'!I16</f>
        <v>902602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60339</v>
      </c>
      <c r="D2047" s="2" t="str">
        <f t="shared" ref="D2047:D2110" si="31">IF(ISBLANK(B2047),"OK",IF(A2047-B2047=0,"OK","Error?"))</f>
        <v>Error?</v>
      </c>
    </row>
    <row r="2048" spans="1:4" x14ac:dyDescent="0.2">
      <c r="A2048" s="5">
        <v>1987</v>
      </c>
      <c r="B2048" s="138">
        <f>'Cap Outlay Deprec 26'!J13</f>
        <v>158721</v>
      </c>
      <c r="D2048" s="2" t="str">
        <f t="shared" si="31"/>
        <v>Error?</v>
      </c>
    </row>
    <row r="2049" spans="1:4" x14ac:dyDescent="0.2">
      <c r="A2049" s="5">
        <v>1988</v>
      </c>
      <c r="B2049" s="138">
        <f>'Cap Outlay Deprec 26'!J16</f>
        <v>255486</v>
      </c>
      <c r="C2049" s="2" t="s">
        <v>594</v>
      </c>
      <c r="D2049" s="2" t="str">
        <f t="shared" si="31"/>
        <v>Error?</v>
      </c>
    </row>
    <row r="2050" spans="1:4" x14ac:dyDescent="0.2">
      <c r="A2050" s="10">
        <v>1989</v>
      </c>
      <c r="D2050" s="2" t="str">
        <f t="shared" si="31"/>
        <v>OK</v>
      </c>
    </row>
    <row r="2051" spans="1:4" x14ac:dyDescent="0.2">
      <c r="A2051" s="5">
        <v>1990</v>
      </c>
      <c r="B2051" s="138">
        <f>'Cap Outlay Deprec 26'!K8</f>
        <v>9507416</v>
      </c>
      <c r="C2051" s="2" t="s">
        <v>594</v>
      </c>
      <c r="D2051" s="2" t="str">
        <f t="shared" si="31"/>
        <v>Error?</v>
      </c>
    </row>
    <row r="2052" spans="1:4" x14ac:dyDescent="0.2">
      <c r="A2052" s="5">
        <v>1991</v>
      </c>
      <c r="B2052" s="138">
        <f>'Cap Outlay Deprec 26'!K10</f>
        <v>660647</v>
      </c>
      <c r="C2052" s="2" t="s">
        <v>594</v>
      </c>
      <c r="D2052" s="2" t="str">
        <f t="shared" si="31"/>
        <v>Error?</v>
      </c>
    </row>
    <row r="2053" spans="1:4" x14ac:dyDescent="0.2">
      <c r="A2053" s="5">
        <v>1992</v>
      </c>
      <c r="B2053" s="138">
        <f>'Cap Outlay Deprec 26'!K12</f>
        <v>754468</v>
      </c>
      <c r="C2053" s="2" t="s">
        <v>594</v>
      </c>
      <c r="D2053" s="2" t="str">
        <f t="shared" si="31"/>
        <v>Error?</v>
      </c>
    </row>
    <row r="2054" spans="1:4" x14ac:dyDescent="0.2">
      <c r="A2054" s="5">
        <v>1993</v>
      </c>
      <c r="B2054" s="138">
        <f>'Cap Outlay Deprec 26'!K13</f>
        <v>169395</v>
      </c>
      <c r="C2054" s="2" t="s">
        <v>594</v>
      </c>
      <c r="D2054" s="2" t="str">
        <f t="shared" si="31"/>
        <v>Error?</v>
      </c>
    </row>
    <row r="2055" spans="1:4" x14ac:dyDescent="0.2">
      <c r="A2055" s="5">
        <v>1994</v>
      </c>
      <c r="B2055" s="138">
        <f>'Cap Outlay Deprec 26'!K16</f>
        <v>11127338</v>
      </c>
      <c r="C2055" s="2" t="s">
        <v>594</v>
      </c>
      <c r="D2055" s="2" t="str">
        <f t="shared" si="31"/>
        <v>Error?</v>
      </c>
    </row>
    <row r="2056" spans="1:4" x14ac:dyDescent="0.2">
      <c r="A2056" s="5">
        <v>1995</v>
      </c>
      <c r="B2056" s="138">
        <f>'Cap Outlay Deprec 26'!L5</f>
        <v>509955</v>
      </c>
      <c r="C2056" s="2" t="s">
        <v>594</v>
      </c>
      <c r="D2056" s="2" t="str">
        <f t="shared" si="31"/>
        <v>Error?</v>
      </c>
    </row>
    <row r="2057" spans="1:4" x14ac:dyDescent="0.2">
      <c r="A2057" s="5">
        <v>1996</v>
      </c>
      <c r="B2057" s="138">
        <f>'Cap Outlay Deprec 26'!L8</f>
        <v>15155132</v>
      </c>
      <c r="C2057" s="2" t="s">
        <v>594</v>
      </c>
      <c r="D2057" s="2" t="str">
        <f t="shared" si="31"/>
        <v>Error?</v>
      </c>
    </row>
    <row r="2058" spans="1:4" x14ac:dyDescent="0.2">
      <c r="A2058" s="5">
        <v>1997</v>
      </c>
      <c r="B2058" s="138">
        <f>'Cap Outlay Deprec 26'!L10</f>
        <v>678871</v>
      </c>
      <c r="C2058" s="2" t="s">
        <v>594</v>
      </c>
      <c r="D2058" s="2" t="str">
        <f t="shared" si="31"/>
        <v>Error?</v>
      </c>
    </row>
    <row r="2059" spans="1:4" x14ac:dyDescent="0.2">
      <c r="A2059" s="5">
        <v>1998</v>
      </c>
      <c r="B2059" s="138">
        <f>'Cap Outlay Deprec 26'!L12</f>
        <v>250575</v>
      </c>
      <c r="C2059" s="2" t="s">
        <v>594</v>
      </c>
      <c r="D2059" s="2" t="str">
        <f t="shared" si="31"/>
        <v>Error?</v>
      </c>
    </row>
    <row r="2060" spans="1:4" x14ac:dyDescent="0.2">
      <c r="A2060" s="5">
        <v>1999</v>
      </c>
      <c r="B2060" s="138">
        <f>'Cap Outlay Deprec 26'!L13</f>
        <v>22806</v>
      </c>
      <c r="C2060" s="2" t="s">
        <v>594</v>
      </c>
      <c r="D2060" s="2" t="str">
        <f t="shared" si="31"/>
        <v>Error?</v>
      </c>
    </row>
    <row r="2061" spans="1:4" x14ac:dyDescent="0.2">
      <c r="A2061" s="5">
        <v>2000</v>
      </c>
      <c r="B2061" s="138">
        <f>'Cap Outlay Deprec 26'!L16</f>
        <v>16617339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286027</v>
      </c>
      <c r="C2088" s="2" t="s">
        <v>594</v>
      </c>
      <c r="D2088" s="2" t="str">
        <f t="shared" si="31"/>
        <v>Error?</v>
      </c>
    </row>
    <row r="2089" spans="1:4" x14ac:dyDescent="0.2">
      <c r="A2089" s="5">
        <v>2028</v>
      </c>
      <c r="B2089" s="138">
        <f>'Expenditures 15-22'!K92</f>
        <v>362438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123974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15638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6499798</v>
      </c>
      <c r="C2551" s="2" t="s">
        <v>594</v>
      </c>
      <c r="D2551" s="2" t="str">
        <f t="shared" si="38"/>
        <v>Error?</v>
      </c>
    </row>
    <row r="2552" spans="1:4" x14ac:dyDescent="0.2">
      <c r="A2552" s="10">
        <v>2491</v>
      </c>
      <c r="D2552" s="2" t="str">
        <f t="shared" si="38"/>
        <v>OK</v>
      </c>
    </row>
    <row r="2553" spans="1:4" x14ac:dyDescent="0.2">
      <c r="A2553" s="5">
        <v>2492</v>
      </c>
      <c r="B2553" s="138">
        <f>'Acct Summary 7-8'!C6</f>
        <v>1028590</v>
      </c>
      <c r="C2553" s="2" t="s">
        <v>594</v>
      </c>
      <c r="D2553" s="2" t="str">
        <f t="shared" si="38"/>
        <v>Error?</v>
      </c>
    </row>
    <row r="2554" spans="1:4" x14ac:dyDescent="0.2">
      <c r="A2554" s="5">
        <v>2493</v>
      </c>
      <c r="B2554" s="138">
        <f>'Acct Summary 7-8'!C7</f>
        <v>618056</v>
      </c>
      <c r="C2554" s="2" t="s">
        <v>594</v>
      </c>
      <c r="D2554" s="2" t="str">
        <f t="shared" si="38"/>
        <v>Error?</v>
      </c>
    </row>
    <row r="2555" spans="1:4" x14ac:dyDescent="0.2">
      <c r="A2555" s="5">
        <v>2494</v>
      </c>
      <c r="B2555" s="138">
        <f>'Acct Summary 7-8'!C8</f>
        <v>8146444</v>
      </c>
      <c r="C2555" s="2" t="s">
        <v>594</v>
      </c>
      <c r="D2555" s="2" t="str">
        <f t="shared" si="38"/>
        <v>Error?</v>
      </c>
    </row>
    <row r="2556" spans="1:4" x14ac:dyDescent="0.2">
      <c r="A2556" s="5">
        <v>2495</v>
      </c>
      <c r="B2556" s="138">
        <f>'Acct Summary 7-8'!C12</f>
        <v>4996155</v>
      </c>
      <c r="C2556" s="2" t="s">
        <v>594</v>
      </c>
      <c r="D2556" s="2" t="str">
        <f t="shared" si="38"/>
        <v>Error?</v>
      </c>
    </row>
    <row r="2557" spans="1:4" x14ac:dyDescent="0.2">
      <c r="A2557" s="5">
        <v>2496</v>
      </c>
      <c r="B2557" s="138">
        <f>'Acct Summary 7-8'!C13</f>
        <v>1977044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648465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7621664</v>
      </c>
      <c r="C2561" s="2" t="s">
        <v>594</v>
      </c>
      <c r="D2561" s="2" t="str">
        <f t="shared" si="39"/>
        <v>Error?</v>
      </c>
    </row>
    <row r="2562" spans="1:4" x14ac:dyDescent="0.2">
      <c r="A2562" s="5">
        <v>2501</v>
      </c>
      <c r="B2562" s="138">
        <f>'Acct Summary 7-8'!C20</f>
        <v>524780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2065625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2065625</v>
      </c>
      <c r="C2568" s="2" t="s">
        <v>594</v>
      </c>
      <c r="D2568" s="2" t="str">
        <f t="shared" si="39"/>
        <v>Error?</v>
      </c>
    </row>
    <row r="2569" spans="1:4" x14ac:dyDescent="0.2">
      <c r="A2569" s="5">
        <v>2508</v>
      </c>
      <c r="B2569" s="138">
        <f>'Acct Summary 7-8'!D13</f>
        <v>1148837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1148837</v>
      </c>
      <c r="C2573" s="2" t="s">
        <v>594</v>
      </c>
      <c r="D2573" s="2" t="str">
        <f t="shared" si="39"/>
        <v>Error?</v>
      </c>
    </row>
    <row r="2574" spans="1:4" x14ac:dyDescent="0.2">
      <c r="A2574" s="5">
        <v>2513</v>
      </c>
      <c r="B2574" s="138">
        <f>'Acct Summary 7-8'!D20</f>
        <v>916788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714395</v>
      </c>
      <c r="C2591" s="2" t="s">
        <v>594</v>
      </c>
      <c r="D2591" s="2" t="str">
        <f t="shared" si="39"/>
        <v>Error?</v>
      </c>
    </row>
    <row r="2592" spans="1:4" x14ac:dyDescent="0.2">
      <c r="A2592" s="10">
        <v>2531</v>
      </c>
      <c r="D2592" s="2" t="str">
        <f t="shared" si="39"/>
        <v>OK</v>
      </c>
    </row>
    <row r="2593" spans="1:4" x14ac:dyDescent="0.2">
      <c r="A2593" s="5">
        <v>2532</v>
      </c>
      <c r="B2593" s="138">
        <f>'Acct Summary 7-8'!F6</f>
        <v>561210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1275605</v>
      </c>
      <c r="C2595" s="2" t="s">
        <v>594</v>
      </c>
      <c r="D2595" s="2" t="str">
        <f t="shared" si="39"/>
        <v>Error?</v>
      </c>
    </row>
    <row r="2596" spans="1:4" x14ac:dyDescent="0.2">
      <c r="A2596" s="5">
        <v>2535</v>
      </c>
      <c r="B2596" s="138">
        <f>'Acct Summary 7-8'!F13</f>
        <v>932442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932442</v>
      </c>
      <c r="C2600" s="2" t="s">
        <v>594</v>
      </c>
      <c r="D2600" s="2" t="str">
        <f t="shared" si="39"/>
        <v>Error?</v>
      </c>
    </row>
    <row r="2601" spans="1:4" x14ac:dyDescent="0.2">
      <c r="A2601" s="5">
        <v>2540</v>
      </c>
      <c r="B2601" s="138">
        <f>'Acct Summary 7-8'!F20</f>
        <v>343163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317491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317491</v>
      </c>
      <c r="C2606" s="2" t="s">
        <v>594</v>
      </c>
      <c r="D2606" s="2" t="str">
        <f t="shared" si="39"/>
        <v>Error?</v>
      </c>
    </row>
    <row r="2607" spans="1:4" x14ac:dyDescent="0.2">
      <c r="A2607" s="5">
        <v>2546</v>
      </c>
      <c r="B2607" s="138">
        <f>'Acct Summary 7-8'!G12</f>
        <v>110656</v>
      </c>
      <c r="C2607" s="2" t="s">
        <v>594</v>
      </c>
      <c r="D2607" s="2" t="str">
        <f t="shared" si="39"/>
        <v>Error?</v>
      </c>
    </row>
    <row r="2608" spans="1:4" x14ac:dyDescent="0.2">
      <c r="A2608" s="5">
        <v>2547</v>
      </c>
      <c r="B2608" s="138">
        <f>'Acct Summary 7-8'!G13</f>
        <v>203514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314170</v>
      </c>
      <c r="C2612" s="2" t="s">
        <v>594</v>
      </c>
      <c r="D2612" s="2" t="str">
        <f t="shared" si="39"/>
        <v>Error?</v>
      </c>
    </row>
    <row r="2613" spans="1:4" x14ac:dyDescent="0.2">
      <c r="A2613" s="5">
        <v>2552</v>
      </c>
      <c r="B2613" s="138">
        <f>'Acct Summary 7-8'!G20</f>
        <v>3321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634864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634864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611060</v>
      </c>
      <c r="C2634" s="2" t="s">
        <v>594</v>
      </c>
      <c r="D2634" s="2" t="str">
        <f t="shared" si="40"/>
        <v>Error?</v>
      </c>
    </row>
    <row r="2635" spans="1:4" x14ac:dyDescent="0.2">
      <c r="A2635" s="5">
        <v>2574</v>
      </c>
      <c r="B2635" s="138">
        <f>'Acct Summary 7-8'!E17</f>
        <v>611060</v>
      </c>
      <c r="C2635" s="2" t="s">
        <v>594</v>
      </c>
      <c r="D2635" s="2" t="str">
        <f t="shared" si="40"/>
        <v>Error?</v>
      </c>
    </row>
    <row r="2636" spans="1:4" x14ac:dyDescent="0.2">
      <c r="A2636" s="5">
        <v>2575</v>
      </c>
      <c r="B2636" s="138">
        <f>'Acct Summary 7-8'!E20</f>
        <v>23804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646629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646629</v>
      </c>
      <c r="C2658" s="2" t="s">
        <v>594</v>
      </c>
      <c r="D2658" s="2" t="str">
        <f t="shared" si="40"/>
        <v>Error?</v>
      </c>
    </row>
    <row r="2659" spans="1:4" x14ac:dyDescent="0.2">
      <c r="A2659" s="5">
        <v>2598</v>
      </c>
      <c r="B2659" s="138">
        <f>'Acct Summary 7-8'!H13</f>
        <v>377316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377316</v>
      </c>
      <c r="C2661" s="2" t="s">
        <v>594</v>
      </c>
      <c r="D2661" s="2" t="str">
        <f t="shared" si="40"/>
        <v>Error?</v>
      </c>
    </row>
    <row r="2662" spans="1:4" x14ac:dyDescent="0.2">
      <c r="A2662" s="5">
        <v>2601</v>
      </c>
      <c r="B2662" s="138">
        <f>'Acct Summary 7-8'!H20</f>
        <v>269313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286027</v>
      </c>
      <c r="C2789" s="2" t="s">
        <v>594</v>
      </c>
      <c r="D2789" s="2" t="str">
        <f t="shared" si="42"/>
        <v>Error?</v>
      </c>
    </row>
    <row r="2790" spans="1:4" x14ac:dyDescent="0.2">
      <c r="A2790" s="5">
        <v>2729</v>
      </c>
      <c r="B2790" s="138">
        <f>'Expenditures 15-22'!E102</f>
        <v>286027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1526276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559471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1526276</v>
      </c>
      <c r="D2912" s="2" t="str">
        <f t="shared" si="44"/>
        <v>Error?</v>
      </c>
    </row>
    <row r="2913" spans="1:4" x14ac:dyDescent="0.2">
      <c r="A2913" s="5">
        <v>2852</v>
      </c>
      <c r="B2913" s="138">
        <f>'Assets-Liab 5-6'!I41</f>
        <v>1526276</v>
      </c>
      <c r="C2913" s="2" t="s">
        <v>594</v>
      </c>
      <c r="D2913" s="2" t="str">
        <f t="shared" si="44"/>
        <v>Error?</v>
      </c>
    </row>
    <row r="2914" spans="1:4" x14ac:dyDescent="0.2">
      <c r="A2914" s="5">
        <v>2853</v>
      </c>
      <c r="B2914" s="138">
        <f>'Assets-Liab 5-6'!L33</f>
        <v>196659</v>
      </c>
      <c r="D2914" s="2" t="str">
        <f t="shared" si="44"/>
        <v>Error?</v>
      </c>
    </row>
    <row r="2915" spans="1:4" x14ac:dyDescent="0.2">
      <c r="A2915" s="10">
        <v>2854</v>
      </c>
      <c r="D2915" s="2" t="str">
        <f t="shared" si="44"/>
        <v>OK</v>
      </c>
    </row>
    <row r="2916" spans="1:4" x14ac:dyDescent="0.2">
      <c r="A2916" s="5">
        <v>2855</v>
      </c>
      <c r="B2916" s="138">
        <f>'Assets-Liab 5-6'!L34</f>
        <v>196659</v>
      </c>
      <c r="C2916" s="2" t="s">
        <v>594</v>
      </c>
      <c r="D2916" s="2" t="str">
        <f t="shared" si="44"/>
        <v>Error?</v>
      </c>
    </row>
    <row r="2917" spans="1:4" x14ac:dyDescent="0.2">
      <c r="A2917" s="5">
        <v>2856</v>
      </c>
      <c r="B2917" s="138">
        <f>'Assets-Liab 5-6'!L41</f>
        <v>559471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269143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16884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269143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16884</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84497</v>
      </c>
      <c r="D3055" s="2" t="str">
        <f t="shared" si="46"/>
        <v>Error?</v>
      </c>
    </row>
    <row r="3056" spans="1:4" x14ac:dyDescent="0.2">
      <c r="A3056" s="5">
        <v>2995</v>
      </c>
      <c r="B3056" s="138">
        <f>'Expenditures 15-22'!D10</f>
        <v>10053</v>
      </c>
      <c r="D3056" s="2" t="str">
        <f t="shared" si="46"/>
        <v>Error?</v>
      </c>
    </row>
    <row r="3057" spans="1:4" x14ac:dyDescent="0.2">
      <c r="A3057" s="5">
        <v>2996</v>
      </c>
      <c r="B3057" s="138">
        <f>'Expenditures 15-22'!E10</f>
        <v>20940</v>
      </c>
      <c r="D3057" s="2" t="str">
        <f t="shared" si="46"/>
        <v>Error?</v>
      </c>
    </row>
    <row r="3058" spans="1:4" x14ac:dyDescent="0.2">
      <c r="A3058" s="5">
        <v>2997</v>
      </c>
      <c r="B3058" s="138">
        <f>'Expenditures 15-22'!F10</f>
        <v>39977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155467</v>
      </c>
      <c r="C3062" s="2" t="s">
        <v>594</v>
      </c>
      <c r="D3062" s="2" t="str">
        <f t="shared" si="46"/>
        <v>Error?</v>
      </c>
    </row>
    <row r="3063" spans="1:4" x14ac:dyDescent="0.2">
      <c r="A3063" s="10">
        <v>3002</v>
      </c>
      <c r="D3063" s="2" t="str">
        <f t="shared" si="46"/>
        <v>OK</v>
      </c>
    </row>
    <row r="3064" spans="1:4" x14ac:dyDescent="0.2">
      <c r="A3064" s="5">
        <v>3003</v>
      </c>
      <c r="B3064" s="138">
        <f>'Expenditures 15-22'!D219</f>
        <v>14472</v>
      </c>
      <c r="D3064" s="2" t="str">
        <f t="shared" si="46"/>
        <v>Error?</v>
      </c>
    </row>
    <row r="3065" spans="1:4" x14ac:dyDescent="0.2">
      <c r="A3065" s="5">
        <v>3004</v>
      </c>
      <c r="B3065" s="138">
        <f>'Expenditures 15-22'!K219</f>
        <v>14472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362812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125843</v>
      </c>
      <c r="C3225" s="2" t="s">
        <v>594</v>
      </c>
      <c r="D3225" s="2" t="str">
        <f t="shared" si="49"/>
        <v>Error?</v>
      </c>
    </row>
    <row r="3226" spans="1:4" x14ac:dyDescent="0.2">
      <c r="A3226" s="5">
        <v>3165</v>
      </c>
      <c r="B3226" s="138">
        <f>'Acct Summary 7-8'!I8</f>
        <v>125843</v>
      </c>
      <c r="C3226" s="2" t="s">
        <v>594</v>
      </c>
      <c r="D3226" s="2" t="str">
        <f t="shared" si="49"/>
        <v>Error?</v>
      </c>
    </row>
    <row r="3227" spans="1:4" x14ac:dyDescent="0.2">
      <c r="A3227" s="5">
        <v>3166</v>
      </c>
      <c r="B3227" s="138">
        <f>'Acct Summary 7-8'!I20</f>
        <v>125843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524780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916788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343163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3321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23804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269313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125843</v>
      </c>
      <c r="C3320" s="2" t="s">
        <v>594</v>
      </c>
      <c r="D3320" s="2" t="str">
        <f t="shared" si="50"/>
        <v>Error?</v>
      </c>
    </row>
    <row r="3321" spans="1:4" x14ac:dyDescent="0.2">
      <c r="A3321" s="5">
        <v>3260</v>
      </c>
      <c r="B3321" s="138">
        <f>'Acct Summary 7-8'!I79</f>
        <v>1400433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1526276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382176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110946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7004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500628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47438</v>
      </c>
      <c r="D3387" s="2" t="str">
        <f t="shared" si="51"/>
        <v>Error?</v>
      </c>
    </row>
    <row r="3388" spans="1:4" x14ac:dyDescent="0.2">
      <c r="A3388" s="5">
        <v>3327</v>
      </c>
      <c r="B3388" s="138">
        <f>'Expenditures 15-22'!D217</f>
        <v>31192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47438</v>
      </c>
      <c r="C3390" s="2" t="s">
        <v>594</v>
      </c>
      <c r="D3390" s="2" t="str">
        <f t="shared" si="51"/>
        <v>Error?</v>
      </c>
    </row>
    <row r="3391" spans="1:4" x14ac:dyDescent="0.2">
      <c r="A3391" s="5">
        <v>3330</v>
      </c>
      <c r="B3391" s="138">
        <f>'Expenditures 15-22'!K217</f>
        <v>31192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1899612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4498575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313476</v>
      </c>
      <c r="D3417" s="2" t="str">
        <f t="shared" si="52"/>
        <v>Error?</v>
      </c>
    </row>
    <row r="3418" spans="1:4" x14ac:dyDescent="0.2">
      <c r="A3418" s="10">
        <v>3357</v>
      </c>
      <c r="D3418" s="2" t="str">
        <f t="shared" si="52"/>
        <v>OK</v>
      </c>
    </row>
    <row r="3419" spans="1:4" x14ac:dyDescent="0.2">
      <c r="A3419" s="5">
        <v>3358</v>
      </c>
      <c r="B3419" s="138">
        <f>'Assets-Liab 5-6'!F4</f>
        <v>649878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158871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369568</v>
      </c>
      <c r="D3425" s="2" t="str">
        <f t="shared" si="52"/>
        <v>Error?</v>
      </c>
    </row>
    <row r="3426" spans="1:4" x14ac:dyDescent="0.2">
      <c r="A3426" s="10">
        <v>3365</v>
      </c>
      <c r="D3426" s="2" t="str">
        <f t="shared" si="52"/>
        <v>OK</v>
      </c>
    </row>
    <row r="3427" spans="1:4" x14ac:dyDescent="0.2">
      <c r="A3427" s="5">
        <v>3366</v>
      </c>
      <c r="B3427" s="138">
        <f>'Assets-Liab 5-6'!I4</f>
        <v>1182701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559471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179011</v>
      </c>
      <c r="C3446" s="2" t="s">
        <v>594</v>
      </c>
      <c r="D3446" s="2" t="str">
        <f t="shared" si="52"/>
        <v>Error?</v>
      </c>
    </row>
    <row r="3447" spans="1:4" x14ac:dyDescent="0.2">
      <c r="A3447" s="5">
        <v>3386</v>
      </c>
      <c r="B3447" s="138">
        <f>'Tax Sched 23'!D16</f>
        <v>179011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175533</v>
      </c>
      <c r="C3449" s="2" t="s">
        <v>594</v>
      </c>
      <c r="D3449" s="2" t="str">
        <f t="shared" si="52"/>
        <v>Error?</v>
      </c>
    </row>
    <row r="3450" spans="1:4" x14ac:dyDescent="0.2">
      <c r="A3450" s="5">
        <v>3389</v>
      </c>
      <c r="B3450" s="138">
        <f>'Tax Sched 23'!E16</f>
        <v>175533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129192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129192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129192</v>
      </c>
      <c r="D3567" s="2" t="str">
        <f t="shared" si="54"/>
        <v>Error?</v>
      </c>
    </row>
    <row r="3568" spans="1:4" x14ac:dyDescent="0.2">
      <c r="A3568" s="5">
        <v>3507</v>
      </c>
      <c r="B3568" s="138">
        <f>'Assets-Liab 5-6'!K41</f>
        <v>129192</v>
      </c>
      <c r="C3568" s="2" t="s">
        <v>594</v>
      </c>
      <c r="D3568" s="2" t="str">
        <f t="shared" si="54"/>
        <v>Error?</v>
      </c>
    </row>
    <row r="3569" spans="1:4" x14ac:dyDescent="0.2">
      <c r="A3569" s="5">
        <v>3508</v>
      </c>
      <c r="B3569" s="138">
        <f>'Acct Summary 7-8'!K4</f>
        <v>119069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119069</v>
      </c>
      <c r="C3571" s="2" t="s">
        <v>594</v>
      </c>
      <c r="D3571" s="2" t="str">
        <f t="shared" si="54"/>
        <v>Error?</v>
      </c>
    </row>
    <row r="3572" spans="1:4" x14ac:dyDescent="0.2">
      <c r="A3572" s="5">
        <v>3511</v>
      </c>
      <c r="B3572" s="138">
        <f>'Acct Summary 7-8'!K13</f>
        <v>1000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1000</v>
      </c>
      <c r="C3575" s="2" t="s">
        <v>594</v>
      </c>
      <c r="D3575" s="2" t="str">
        <f t="shared" si="54"/>
        <v>Error?</v>
      </c>
    </row>
    <row r="3576" spans="1:4" x14ac:dyDescent="0.2">
      <c r="A3576" s="5">
        <v>3515</v>
      </c>
      <c r="B3576" s="138">
        <f>'Acct Summary 7-8'!K20</f>
        <v>118069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118069</v>
      </c>
      <c r="C3588" s="2" t="s">
        <v>594</v>
      </c>
      <c r="D3588" s="2" t="str">
        <f t="shared" si="55"/>
        <v>Error?</v>
      </c>
    </row>
    <row r="3589" spans="1:4" x14ac:dyDescent="0.2">
      <c r="A3589" s="5">
        <v>3528</v>
      </c>
      <c r="B3589" s="138">
        <f>'Acct Summary 7-8'!K79</f>
        <v>11123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129192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1000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1000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1000</v>
      </c>
      <c r="C3635" s="2" t="s">
        <v>594</v>
      </c>
      <c r="D3635" s="2" t="str">
        <f t="shared" si="55"/>
        <v>Error?</v>
      </c>
    </row>
    <row r="3636" spans="1:4" x14ac:dyDescent="0.2">
      <c r="A3636" s="5">
        <v>3575</v>
      </c>
      <c r="B3636" s="138">
        <f>'Expenditures 15-22'!E367</f>
        <v>1000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1000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1000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118069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118251</v>
      </c>
      <c r="C3725" s="2" t="s">
        <v>594</v>
      </c>
      <c r="D3725" s="2" t="str">
        <f t="shared" si="57"/>
        <v>Error?</v>
      </c>
    </row>
    <row r="3726" spans="1:4" x14ac:dyDescent="0.2">
      <c r="A3726" s="5">
        <v>3665</v>
      </c>
      <c r="B3726" s="138">
        <f>'Tax Sched 23'!D13</f>
        <v>118251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97625</v>
      </c>
      <c r="C3728" s="2" t="s">
        <v>594</v>
      </c>
      <c r="D3728" s="2" t="str">
        <f t="shared" si="57"/>
        <v>Error?</v>
      </c>
    </row>
    <row r="3729" spans="1:4" x14ac:dyDescent="0.2">
      <c r="A3729" s="5">
        <v>3668</v>
      </c>
      <c r="B3729" s="138">
        <f>'Tax Sched 23'!E13</f>
        <v>97625</v>
      </c>
      <c r="D3729" s="2" t="str">
        <f t="shared" si="57"/>
        <v>Error?</v>
      </c>
    </row>
    <row r="3730" spans="1:4" x14ac:dyDescent="0.2">
      <c r="A3730" s="5">
        <v>3669</v>
      </c>
      <c r="B3730" s="138">
        <f>'ICR Computation 30'!E10</f>
        <v>162615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3683086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11829530</v>
      </c>
      <c r="C4122" s="2" t="s">
        <v>594</v>
      </c>
      <c r="D4122" s="2" t="str">
        <f t="shared" si="63"/>
        <v>Error?</v>
      </c>
    </row>
    <row r="4123" spans="1:4" x14ac:dyDescent="0.2">
      <c r="A4123" s="5">
        <v>4062</v>
      </c>
      <c r="B4123" s="138">
        <f>'Acct Summary 7-8'!D10</f>
        <v>2065625</v>
      </c>
      <c r="C4123" s="2" t="s">
        <v>594</v>
      </c>
      <c r="D4123" s="2" t="str">
        <f t="shared" si="63"/>
        <v>Error?</v>
      </c>
    </row>
    <row r="4124" spans="1:4" x14ac:dyDescent="0.2">
      <c r="A4124" s="5">
        <v>4063</v>
      </c>
      <c r="B4124" s="138">
        <f>'Acct Summary 7-8'!E10</f>
        <v>634864</v>
      </c>
      <c r="C4124" s="2" t="s">
        <v>594</v>
      </c>
      <c r="D4124" s="2" t="str">
        <f t="shared" si="63"/>
        <v>Error?</v>
      </c>
    </row>
    <row r="4125" spans="1:4" x14ac:dyDescent="0.2">
      <c r="A4125" s="5">
        <v>4064</v>
      </c>
      <c r="B4125" s="138">
        <f>'Acct Summary 7-8'!F10</f>
        <v>1275605</v>
      </c>
      <c r="C4125" s="2" t="s">
        <v>594</v>
      </c>
      <c r="D4125" s="2" t="str">
        <f t="shared" si="63"/>
        <v>Error?</v>
      </c>
    </row>
    <row r="4126" spans="1:4" x14ac:dyDescent="0.2">
      <c r="A4126" s="5">
        <v>4065</v>
      </c>
      <c r="B4126" s="138">
        <f>'Acct Summary 7-8'!G10</f>
        <v>317491</v>
      </c>
      <c r="C4126" s="2" t="s">
        <v>594</v>
      </c>
      <c r="D4126" s="2" t="str">
        <f t="shared" si="63"/>
        <v>Error?</v>
      </c>
    </row>
    <row r="4127" spans="1:4" x14ac:dyDescent="0.2">
      <c r="A4127" s="5">
        <v>4066</v>
      </c>
      <c r="B4127" s="138">
        <f>'Acct Summary 7-8'!H10</f>
        <v>646629</v>
      </c>
      <c r="C4127" s="2" t="s">
        <v>594</v>
      </c>
      <c r="D4127" s="2" t="str">
        <f t="shared" si="63"/>
        <v>Error?</v>
      </c>
    </row>
    <row r="4128" spans="1:4" x14ac:dyDescent="0.2">
      <c r="A4128" s="5">
        <v>4067</v>
      </c>
      <c r="B4128" s="138">
        <f>'Acct Summary 7-8'!I10</f>
        <v>125843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119069</v>
      </c>
      <c r="C4130" s="2" t="s">
        <v>594</v>
      </c>
      <c r="D4130" s="2" t="str">
        <f t="shared" si="63"/>
        <v>Error?</v>
      </c>
    </row>
    <row r="4131" spans="1:4" x14ac:dyDescent="0.2">
      <c r="A4131" s="5">
        <v>4070</v>
      </c>
      <c r="B4131" s="138">
        <f>'Acct Summary 7-8'!C18</f>
        <v>3683086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11304750</v>
      </c>
      <c r="C4136" s="2" t="s">
        <v>594</v>
      </c>
      <c r="D4136" s="2" t="str">
        <f t="shared" si="63"/>
        <v>Error?</v>
      </c>
    </row>
    <row r="4137" spans="1:4" x14ac:dyDescent="0.2">
      <c r="A4137" s="5">
        <v>4076</v>
      </c>
      <c r="B4137" s="138">
        <f>'Acct Summary 7-8'!D19</f>
        <v>1148837</v>
      </c>
      <c r="C4137" s="2" t="s">
        <v>594</v>
      </c>
      <c r="D4137" s="2" t="str">
        <f t="shared" si="63"/>
        <v>Error?</v>
      </c>
    </row>
    <row r="4138" spans="1:4" x14ac:dyDescent="0.2">
      <c r="A4138" s="5">
        <v>4077</v>
      </c>
      <c r="B4138" s="138">
        <f>'Acct Summary 7-8'!E19</f>
        <v>611060</v>
      </c>
      <c r="C4138" s="2" t="s">
        <v>594</v>
      </c>
      <c r="D4138" s="2" t="str">
        <f t="shared" si="63"/>
        <v>Error?</v>
      </c>
    </row>
    <row r="4139" spans="1:4" x14ac:dyDescent="0.2">
      <c r="A4139" s="5">
        <v>4078</v>
      </c>
      <c r="B4139" s="138">
        <f>'Acct Summary 7-8'!F19</f>
        <v>932442</v>
      </c>
      <c r="C4139" s="2" t="s">
        <v>594</v>
      </c>
      <c r="D4139" s="2" t="str">
        <f t="shared" si="63"/>
        <v>Error?</v>
      </c>
    </row>
    <row r="4140" spans="1:4" x14ac:dyDescent="0.2">
      <c r="A4140" s="5">
        <v>4079</v>
      </c>
      <c r="B4140" s="138">
        <f>'Acct Summary 7-8'!G19</f>
        <v>314170</v>
      </c>
      <c r="C4140" s="2" t="s">
        <v>594</v>
      </c>
      <c r="D4140" s="2" t="str">
        <f t="shared" si="63"/>
        <v>Error?</v>
      </c>
    </row>
    <row r="4141" spans="1:4" x14ac:dyDescent="0.2">
      <c r="A4141" s="5">
        <v>4080</v>
      </c>
      <c r="B4141" s="138">
        <f>'Acct Summary 7-8'!H19</f>
        <v>377316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3071000</v>
      </c>
      <c r="C4171" s="2" t="s">
        <v>594</v>
      </c>
      <c r="D4171" s="2" t="str">
        <f t="shared" si="64"/>
        <v>Error?</v>
      </c>
    </row>
    <row r="4172" spans="1:4" x14ac:dyDescent="0.2">
      <c r="A4172" s="5">
        <v>4111</v>
      </c>
      <c r="B4172" s="138">
        <f>'Short-Term Long-Term Debt 24'!J49</f>
        <v>3071000</v>
      </c>
      <c r="C4172" s="2" t="s">
        <v>594</v>
      </c>
      <c r="D4172" s="2" t="str">
        <f t="shared" si="64"/>
        <v>Error?</v>
      </c>
    </row>
    <row r="4173" spans="1:4" x14ac:dyDescent="0.2">
      <c r="A4173" s="5">
        <v>4112</v>
      </c>
      <c r="B4173" s="138">
        <f>'Short-Term Long-Term Debt 24'!H49</f>
        <v>524000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14418731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9796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42685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38323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198007177</v>
      </c>
      <c r="D4995" s="2" t="str">
        <f t="shared" si="77"/>
        <v>Error?</v>
      </c>
    </row>
    <row r="4996" spans="1:4" x14ac:dyDescent="0.2">
      <c r="A4996" s="12">
        <v>4935</v>
      </c>
      <c r="B4996" s="138">
        <f>'FP Info 3'!H31</f>
        <v>27324990.426000003</v>
      </c>
      <c r="D4996" s="2" t="str">
        <f t="shared" si="77"/>
        <v>Error?</v>
      </c>
    </row>
    <row r="4997" spans="1:4" x14ac:dyDescent="0.2">
      <c r="A4997" s="12">
        <v>4936</v>
      </c>
      <c r="B4997" s="138">
        <f>'FP Info 3'!H37</f>
        <v>3071000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4350947</v>
      </c>
      <c r="D5061" s="2" t="str">
        <f t="shared" si="78"/>
        <v>Error?</v>
      </c>
    </row>
    <row r="5062" spans="1:4" x14ac:dyDescent="0.2">
      <c r="A5062" s="10">
        <v>5001</v>
      </c>
      <c r="D5062" s="2" t="str">
        <f t="shared" si="78"/>
        <v>OK</v>
      </c>
    </row>
    <row r="5063" spans="1:4" x14ac:dyDescent="0.2">
      <c r="A5063" s="5">
        <v>5002</v>
      </c>
      <c r="B5063" s="138">
        <f>'Revenues 9-14'!C7</f>
        <v>94604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4445551</v>
      </c>
      <c r="C5066" s="2" t="s">
        <v>594</v>
      </c>
      <c r="D5066" s="2" t="str">
        <f t="shared" si="78"/>
        <v>Error?</v>
      </c>
    </row>
    <row r="5067" spans="1:4" x14ac:dyDescent="0.2">
      <c r="A5067" s="5">
        <v>5006</v>
      </c>
      <c r="B5067" s="138">
        <f>'Revenues 9-14'!C14</f>
        <v>17401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1075000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1092401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552809</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552809</v>
      </c>
      <c r="C5087" s="2" t="s">
        <v>594</v>
      </c>
      <c r="D5087" s="2" t="str">
        <f t="shared" si="78"/>
        <v>Error?</v>
      </c>
    </row>
    <row r="5088" spans="1:4" x14ac:dyDescent="0.2">
      <c r="A5088" s="5">
        <v>5027</v>
      </c>
      <c r="B5088" s="138">
        <f>'Revenues 9-14'!C65</f>
        <v>67852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67852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236919</v>
      </c>
      <c r="C5096" s="2" t="s">
        <v>594</v>
      </c>
      <c r="D5096" s="2" t="str">
        <f t="shared" si="78"/>
        <v>Error?</v>
      </c>
    </row>
    <row r="5097" spans="1:4" x14ac:dyDescent="0.2">
      <c r="A5097" s="5">
        <v>5036</v>
      </c>
      <c r="B5097" s="138">
        <f>'Revenues 9-14'!C77</f>
        <v>24279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12200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36479</v>
      </c>
      <c r="C5102" s="2" t="s">
        <v>594</v>
      </c>
      <c r="D5102" s="2" t="str">
        <f t="shared" si="78"/>
        <v>Error?</v>
      </c>
    </row>
    <row r="5103" spans="1:4" x14ac:dyDescent="0.2">
      <c r="A5103" s="5">
        <v>5042</v>
      </c>
      <c r="B5103" s="138">
        <f>'Revenues 9-14'!C84</f>
        <v>24303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24303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1569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3834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32275</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43484</v>
      </c>
      <c r="C5120" s="2" t="s">
        <v>594</v>
      </c>
      <c r="D5120" s="2" t="str">
        <f t="shared" si="79"/>
        <v>Error?</v>
      </c>
    </row>
    <row r="5121" spans="1:4" x14ac:dyDescent="0.2">
      <c r="A5121" s="5">
        <v>5060</v>
      </c>
      <c r="B5121" s="138">
        <f>'Revenues 9-14'!C109</f>
        <v>6499798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819109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819109</v>
      </c>
      <c r="C5132" s="2" t="s">
        <v>594</v>
      </c>
      <c r="D5132" s="2" t="str">
        <f t="shared" si="79"/>
        <v>Error?</v>
      </c>
    </row>
    <row r="5133" spans="1:4" x14ac:dyDescent="0.2">
      <c r="A5133" s="5">
        <v>5072</v>
      </c>
      <c r="B5133" s="138">
        <f>'Revenues 9-14'!C124</f>
        <v>39774</v>
      </c>
      <c r="D5133" s="2" t="str">
        <f t="shared" si="79"/>
        <v>Error?</v>
      </c>
    </row>
    <row r="5134" spans="1:4" x14ac:dyDescent="0.2">
      <c r="A5134" s="5">
        <v>5073</v>
      </c>
      <c r="B5134" s="138">
        <f>'Revenues 9-14'!C125</f>
        <v>62163</v>
      </c>
      <c r="D5134" s="2" t="str">
        <f t="shared" si="79"/>
        <v>Error?</v>
      </c>
    </row>
    <row r="5135" spans="1:4" x14ac:dyDescent="0.2">
      <c r="A5135" s="5">
        <v>5074</v>
      </c>
      <c r="B5135" s="138">
        <f>'Revenues 9-14'!C126</f>
        <v>70618</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367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178125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9638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3618</v>
      </c>
      <c r="D5167" s="2" t="str">
        <f t="shared" si="79"/>
        <v>Error?</v>
      </c>
    </row>
    <row r="5168" spans="1:4" x14ac:dyDescent="0.2">
      <c r="A5168" s="5">
        <v>5107</v>
      </c>
      <c r="B5168" s="138">
        <f>'Revenues 9-14'!C147</f>
        <v>17350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209481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1028590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181479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39473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220952</v>
      </c>
      <c r="C5246" s="2" t="s">
        <v>594</v>
      </c>
      <c r="D5246" s="2" t="str">
        <f t="shared" si="80"/>
        <v>Error?</v>
      </c>
    </row>
    <row r="5247" spans="1:4" x14ac:dyDescent="0.2">
      <c r="A5247" s="5">
        <v>5186</v>
      </c>
      <c r="B5247" s="138">
        <f>'Revenues 9-14'!C203</f>
        <v>141797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141797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163994</v>
      </c>
      <c r="D5278" s="2" t="str">
        <f t="shared" si="81"/>
        <v>Error?</v>
      </c>
    </row>
    <row r="5279" spans="1:4" x14ac:dyDescent="0.2">
      <c r="A5279" s="5">
        <v>5218</v>
      </c>
      <c r="B5279" s="138">
        <f>'Revenues 9-14'!C221</f>
        <v>509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164503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618056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618056</v>
      </c>
      <c r="C5326" s="2" t="s">
        <v>594</v>
      </c>
      <c r="D5326" s="2" t="str">
        <f t="shared" si="82"/>
        <v>Error?</v>
      </c>
    </row>
    <row r="5327" spans="1:4" x14ac:dyDescent="0.2">
      <c r="A5327" s="5">
        <v>5266</v>
      </c>
      <c r="B5327" s="138">
        <f>'Revenues 9-14'!C275</f>
        <v>8146444</v>
      </c>
      <c r="C5327" s="2" t="s">
        <v>594</v>
      </c>
      <c r="D5327" s="2" t="str">
        <f t="shared" si="82"/>
        <v>Error?</v>
      </c>
    </row>
    <row r="5328" spans="1:4" x14ac:dyDescent="0.2">
      <c r="A5328" s="5">
        <v>5267</v>
      </c>
      <c r="B5328" s="138">
        <f>'Revenues 9-14'!D5</f>
        <v>1182540</v>
      </c>
      <c r="D5328" s="2" t="str">
        <f t="shared" si="82"/>
        <v>Error?</v>
      </c>
    </row>
    <row r="5329" spans="1:4" x14ac:dyDescent="0.2">
      <c r="A5329" s="10">
        <v>5268</v>
      </c>
      <c r="D5329" s="2" t="str">
        <f t="shared" si="82"/>
        <v>OK</v>
      </c>
    </row>
    <row r="5330" spans="1:4" x14ac:dyDescent="0.2">
      <c r="A5330" s="5">
        <v>5269</v>
      </c>
      <c r="B5330" s="138">
        <f>'Revenues 9-14'!D6</f>
        <v>118251</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1300791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657117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657117</v>
      </c>
      <c r="C5339" s="2" t="s">
        <v>594</v>
      </c>
      <c r="D5339" s="2" t="str">
        <f t="shared" si="82"/>
        <v>Error?</v>
      </c>
    </row>
    <row r="5340" spans="1:4" x14ac:dyDescent="0.2">
      <c r="A5340" s="5">
        <v>5279</v>
      </c>
      <c r="B5340" s="138">
        <f>'Revenues 9-14'!D65</f>
        <v>38513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38513</v>
      </c>
      <c r="C5342" s="2" t="s">
        <v>594</v>
      </c>
      <c r="D5342" s="2" t="str">
        <f t="shared" si="82"/>
        <v>Error?</v>
      </c>
    </row>
    <row r="5343" spans="1:4" x14ac:dyDescent="0.2">
      <c r="A5343" s="5">
        <v>5282</v>
      </c>
      <c r="B5343" s="138">
        <f>'Revenues 9-14'!D77</f>
        <v>2880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2880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66324</v>
      </c>
      <c r="D5354" s="2" t="str">
        <f t="shared" si="82"/>
        <v>Error?</v>
      </c>
    </row>
    <row r="5355" spans="1:4" x14ac:dyDescent="0.2">
      <c r="A5355" s="5">
        <v>5294</v>
      </c>
      <c r="B5355" s="138">
        <f>'Revenues 9-14'!D108</f>
        <v>66324</v>
      </c>
      <c r="C5355" s="2" t="s">
        <v>594</v>
      </c>
      <c r="D5355" s="2" t="str">
        <f t="shared" si="82"/>
        <v>Error?</v>
      </c>
    </row>
    <row r="5356" spans="1:4" x14ac:dyDescent="0.2">
      <c r="A5356" s="5">
        <v>5295</v>
      </c>
      <c r="B5356" s="138">
        <f>'Revenues 9-14'!D109</f>
        <v>2065625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2065625</v>
      </c>
      <c r="C5508" s="2" t="s">
        <v>594</v>
      </c>
      <c r="D5508" s="2" t="str">
        <f t="shared" si="85"/>
        <v>Error?</v>
      </c>
    </row>
    <row r="5509" spans="1:4" x14ac:dyDescent="0.2">
      <c r="A5509" s="5">
        <v>5448</v>
      </c>
      <c r="B5509" s="138">
        <f>'Revenues 9-14'!E5</f>
        <v>632661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632661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2203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2203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634864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634864</v>
      </c>
      <c r="C5552" s="2" t="s">
        <v>594</v>
      </c>
      <c r="D5552" s="2" t="str">
        <f t="shared" si="85"/>
        <v>Error?</v>
      </c>
    </row>
    <row r="5553" spans="1:4" x14ac:dyDescent="0.2">
      <c r="A5553" s="5">
        <v>5492</v>
      </c>
      <c r="B5553" s="138">
        <f>'Revenues 9-14'!F5</f>
        <v>473019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473019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230000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230000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5384</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5384</v>
      </c>
      <c r="C5579" s="2" t="s">
        <v>594</v>
      </c>
      <c r="D5579" s="2" t="str">
        <f t="shared" si="86"/>
        <v>Error?</v>
      </c>
    </row>
    <row r="5580" spans="1:4" x14ac:dyDescent="0.2">
      <c r="A5580" s="5">
        <v>5519</v>
      </c>
      <c r="B5580" s="138">
        <f>'Revenues 9-14'!F65</f>
        <v>5992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5992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714395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287493</v>
      </c>
      <c r="D5615" s="2" t="str">
        <f t="shared" si="86"/>
        <v>Error?</v>
      </c>
    </row>
    <row r="5616" spans="1:4" x14ac:dyDescent="0.2">
      <c r="A5616" s="10">
        <v>5555</v>
      </c>
      <c r="D5616" s="2" t="str">
        <f t="shared" si="86"/>
        <v>OK</v>
      </c>
    </row>
    <row r="5617" spans="1:4" x14ac:dyDescent="0.2">
      <c r="A5617" s="5">
        <v>5556</v>
      </c>
      <c r="B5617" s="138">
        <f>'Revenues 9-14'!F152</f>
        <v>273717</v>
      </c>
      <c r="D5617" s="2" t="str">
        <f t="shared" si="86"/>
        <v>Error?</v>
      </c>
    </row>
    <row r="5618" spans="1:4" x14ac:dyDescent="0.2">
      <c r="A5618" s="5">
        <v>5557</v>
      </c>
      <c r="B5618" s="138">
        <f>'Revenues 9-14'!F154</f>
        <v>561210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561210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561210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1275605</v>
      </c>
      <c r="C5720" s="2" t="s">
        <v>594</v>
      </c>
      <c r="D5720" s="2" t="str">
        <f t="shared" si="88"/>
        <v>Error?</v>
      </c>
    </row>
    <row r="5721" spans="1:4" x14ac:dyDescent="0.2">
      <c r="A5721" s="5">
        <v>5660</v>
      </c>
      <c r="B5721" s="138">
        <f>'Revenues 9-14'!G5</f>
        <v>79125</v>
      </c>
      <c r="D5721" s="2" t="str">
        <f t="shared" si="88"/>
        <v>Error?</v>
      </c>
    </row>
    <row r="5722" spans="1:4" x14ac:dyDescent="0.2">
      <c r="A5722" s="5">
        <v>5661</v>
      </c>
      <c r="B5722" s="138">
        <f>'Revenues 9-14'!G7</f>
        <v>0</v>
      </c>
      <c r="D5722" s="2" t="str">
        <f t="shared" si="88"/>
        <v>Error?</v>
      </c>
    </row>
    <row r="5723" spans="1:4" x14ac:dyDescent="0.2">
      <c r="A5723" s="5">
        <v>5662</v>
      </c>
      <c r="B5723" s="138">
        <f>'Revenues 9-14'!G8</f>
        <v>179011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258136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58000</v>
      </c>
      <c r="C5730" s="2" t="s">
        <v>594</v>
      </c>
      <c r="D5730" s="2" t="str">
        <f t="shared" si="88"/>
        <v>Error?</v>
      </c>
    </row>
    <row r="5731" spans="1:4" x14ac:dyDescent="0.2">
      <c r="A5731" s="5">
        <v>5670</v>
      </c>
      <c r="B5731" s="138">
        <f>'Revenues 9-14'!G65</f>
        <v>1355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317491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2254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2254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644375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646629</v>
      </c>
      <c r="C5915" s="2" t="s">
        <v>594</v>
      </c>
      <c r="D5915" s="2" t="str">
        <f t="shared" si="91"/>
        <v>Error?</v>
      </c>
    </row>
    <row r="5916" spans="1:4" x14ac:dyDescent="0.2">
      <c r="A5916" s="5">
        <v>5855</v>
      </c>
      <c r="B5916" s="138">
        <f>'Revenues 9-14'!I5</f>
        <v>118251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118251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7592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7592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125843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118251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118251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818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818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119069</v>
      </c>
      <c r="C6023" s="2" t="s">
        <v>594</v>
      </c>
      <c r="D6023" s="2" t="str">
        <f t="shared" si="93"/>
        <v>Error?</v>
      </c>
    </row>
    <row r="6024" spans="1:5" x14ac:dyDescent="0.2">
      <c r="A6024" s="5">
        <v>5963</v>
      </c>
      <c r="B6024" s="138">
        <f>'Revenues 9-14'!G109</f>
        <v>317491</v>
      </c>
      <c r="C6024" s="2" t="s">
        <v>594</v>
      </c>
      <c r="D6024" s="2" t="str">
        <f t="shared" si="93"/>
        <v>Error?</v>
      </c>
    </row>
    <row r="6025" spans="1:5" x14ac:dyDescent="0.2">
      <c r="A6025" s="5">
        <v>5964</v>
      </c>
      <c r="B6025" s="138">
        <f>'Revenues 9-14'!H109</f>
        <v>646629</v>
      </c>
      <c r="C6025" s="2" t="s">
        <v>594</v>
      </c>
      <c r="D6025" s="2" t="str">
        <f t="shared" si="93"/>
        <v>Error?</v>
      </c>
    </row>
    <row r="6026" spans="1:5" x14ac:dyDescent="0.2">
      <c r="A6026" s="5">
        <v>5965</v>
      </c>
      <c r="B6026" s="138">
        <f>'Revenues 9-14'!I109</f>
        <v>125843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119069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236919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34348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950.78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3052763</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343575</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54486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343575</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3052763</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2183</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54486</v>
      </c>
      <c r="D6215" s="2" t="str">
        <f t="shared" si="96"/>
        <v>Error?</v>
      </c>
      <c r="E6215" s="2" t="s">
        <v>199</v>
      </c>
    </row>
    <row r="6216" spans="1:5" x14ac:dyDescent="0.2">
      <c r="A6216">
        <v>6155</v>
      </c>
      <c r="B6216" s="138">
        <f>'Assets-Liab 5-6'!J41</f>
        <v>54486</v>
      </c>
      <c r="D6216" s="2" t="str">
        <f t="shared" si="96"/>
        <v>Error?</v>
      </c>
      <c r="E6216" s="2" t="s">
        <v>199</v>
      </c>
    </row>
    <row r="6217" spans="1:5" x14ac:dyDescent="0.2">
      <c r="A6217">
        <v>6156</v>
      </c>
      <c r="B6217" s="138">
        <f>'Assets-Liab 5-6'!J4</f>
        <v>54486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471613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471613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471613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450129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450129</v>
      </c>
      <c r="D6229" s="2" t="str">
        <f t="shared" si="96"/>
        <v>Error?</v>
      </c>
      <c r="E6229" s="2" t="s">
        <v>199</v>
      </c>
    </row>
    <row r="6230" spans="1:5" x14ac:dyDescent="0.2">
      <c r="A6230">
        <v>6169</v>
      </c>
      <c r="B6230" s="138">
        <f>'Acct Summary 7-8'!J20</f>
        <v>21484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21484</v>
      </c>
      <c r="D6263" s="2" t="str">
        <f t="shared" si="96"/>
        <v>Error?</v>
      </c>
      <c r="E6263" s="2" t="s">
        <v>199</v>
      </c>
    </row>
    <row r="6264" spans="1:5" x14ac:dyDescent="0.2">
      <c r="A6264">
        <v>6203</v>
      </c>
      <c r="B6264" s="138">
        <f>'Acct Summary 7-8'!J79</f>
        <v>33002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54486</v>
      </c>
      <c r="D6266" s="2" t="str">
        <f t="shared" si="96"/>
        <v>Error?</v>
      </c>
      <c r="E6266" s="2" t="s">
        <v>199</v>
      </c>
    </row>
    <row r="6267" spans="1:5" x14ac:dyDescent="0.2">
      <c r="A6267">
        <v>6206</v>
      </c>
      <c r="B6267" s="138">
        <f>'Acct Summary 7-8'!C82</f>
        <v>524780</v>
      </c>
      <c r="D6267" s="2" t="str">
        <f t="shared" si="96"/>
        <v>Error?</v>
      </c>
      <c r="E6267" s="2" t="s">
        <v>199</v>
      </c>
    </row>
    <row r="6268" spans="1:5" x14ac:dyDescent="0.2">
      <c r="A6268">
        <v>6207</v>
      </c>
      <c r="B6268" s="138">
        <f>'Acct Summary 7-8'!D82</f>
        <v>916788</v>
      </c>
      <c r="D6268" s="2" t="str">
        <f t="shared" si="96"/>
        <v>Error?</v>
      </c>
      <c r="E6268" s="2" t="s">
        <v>199</v>
      </c>
    </row>
    <row r="6269" spans="1:5" x14ac:dyDescent="0.2">
      <c r="A6269">
        <v>6208</v>
      </c>
      <c r="B6269" s="138">
        <f>'Acct Summary 7-8'!E82</f>
        <v>23804</v>
      </c>
      <c r="D6269" s="2" t="str">
        <f t="shared" si="96"/>
        <v>Error?</v>
      </c>
      <c r="E6269" s="2" t="s">
        <v>199</v>
      </c>
    </row>
    <row r="6270" spans="1:5" x14ac:dyDescent="0.2">
      <c r="A6270">
        <v>6209</v>
      </c>
      <c r="B6270" s="138">
        <f>'Acct Summary 7-8'!F82</f>
        <v>343163</v>
      </c>
      <c r="D6270" s="2" t="str">
        <f t="shared" si="96"/>
        <v>Error?</v>
      </c>
      <c r="E6270" s="2" t="s">
        <v>199</v>
      </c>
    </row>
    <row r="6271" spans="1:5" x14ac:dyDescent="0.2">
      <c r="A6271">
        <v>6210</v>
      </c>
      <c r="B6271" s="138">
        <f>'Acct Summary 7-8'!G82</f>
        <v>3321</v>
      </c>
      <c r="D6271" s="2" t="str">
        <f t="shared" ref="D6271:D6334" si="97">IF(ISBLANK(B6271),"OK",IF(A6271-B6271=0,"OK","Error?"))</f>
        <v>Error?</v>
      </c>
      <c r="E6271" s="2" t="s">
        <v>199</v>
      </c>
    </row>
    <row r="6272" spans="1:5" x14ac:dyDescent="0.2">
      <c r="A6272">
        <v>6211</v>
      </c>
      <c r="B6272" s="138">
        <f>'Acct Summary 7-8'!H82</f>
        <v>269313</v>
      </c>
      <c r="D6272" s="2" t="str">
        <f t="shared" si="97"/>
        <v>Error?</v>
      </c>
      <c r="E6272" s="2" t="s">
        <v>199</v>
      </c>
    </row>
    <row r="6273" spans="1:5" x14ac:dyDescent="0.2">
      <c r="A6273">
        <v>6212</v>
      </c>
      <c r="B6273" s="138">
        <f>'Acct Summary 7-8'!I82</f>
        <v>125843</v>
      </c>
      <c r="D6273" s="2" t="str">
        <f t="shared" si="97"/>
        <v>Error?</v>
      </c>
      <c r="E6273" s="2" t="s">
        <v>199</v>
      </c>
    </row>
    <row r="6274" spans="1:5" x14ac:dyDescent="0.2">
      <c r="A6274">
        <v>6213</v>
      </c>
      <c r="B6274" s="138">
        <f>'Acct Summary 7-8'!J82</f>
        <v>21484</v>
      </c>
      <c r="D6274" s="2" t="str">
        <f t="shared" si="97"/>
        <v>Error?</v>
      </c>
      <c r="E6274" s="2" t="s">
        <v>199</v>
      </c>
    </row>
    <row r="6275" spans="1:5" x14ac:dyDescent="0.2">
      <c r="A6275">
        <v>6214</v>
      </c>
      <c r="B6275" s="138">
        <f>'Acct Summary 7-8'!K82</f>
        <v>118069</v>
      </c>
      <c r="D6275" s="2" t="str">
        <f t="shared" si="97"/>
        <v>Error?</v>
      </c>
      <c r="E6275" s="2" t="s">
        <v>199</v>
      </c>
    </row>
    <row r="6276" spans="1:5" x14ac:dyDescent="0.2">
      <c r="A6276">
        <v>6215</v>
      </c>
      <c r="B6276" s="138">
        <f>'Acct Summary 7-8'!C83</f>
        <v>0.1189965721422671</v>
      </c>
      <c r="D6276" s="2" t="str">
        <f t="shared" si="97"/>
        <v>Error?</v>
      </c>
      <c r="E6276" s="2" t="s">
        <v>199</v>
      </c>
    </row>
    <row r="6277" spans="1:5" x14ac:dyDescent="0.2">
      <c r="A6277">
        <v>6216</v>
      </c>
      <c r="B6277" s="138">
        <f>'Acct Summary 7-8'!D83</f>
        <v>0.11704870990665345</v>
      </c>
      <c r="D6277" s="2" t="str">
        <f t="shared" si="97"/>
        <v>Error?</v>
      </c>
      <c r="E6277" s="2" t="s">
        <v>199</v>
      </c>
    </row>
    <row r="6278" spans="1:5" x14ac:dyDescent="0.2">
      <c r="A6278">
        <v>6217</v>
      </c>
      <c r="B6278" s="138">
        <f>'Acct Summary 7-8'!E83</f>
        <v>-0.79085683909764448</v>
      </c>
      <c r="D6278" s="2" t="str">
        <f t="shared" si="97"/>
        <v>Error?</v>
      </c>
      <c r="E6278" s="2" t="s">
        <v>199</v>
      </c>
    </row>
    <row r="6279" spans="1:5" x14ac:dyDescent="0.2">
      <c r="A6279">
        <v>6218</v>
      </c>
      <c r="B6279" s="138">
        <f>'Acct Summary 7-8'!F83</f>
        <v>0.52804218637959743</v>
      </c>
      <c r="D6279" s="2" t="str">
        <f t="shared" si="97"/>
        <v>Error?</v>
      </c>
      <c r="E6279" s="2" t="s">
        <v>199</v>
      </c>
    </row>
    <row r="6280" spans="1:5" x14ac:dyDescent="0.2">
      <c r="A6280">
        <v>6219</v>
      </c>
      <c r="B6280" s="138">
        <f>'Acct Summary 7-8'!G83</f>
        <v>2.0903752100760994E-2</v>
      </c>
      <c r="D6280" s="2" t="str">
        <f t="shared" si="97"/>
        <v>Error?</v>
      </c>
      <c r="E6280" s="2" t="s">
        <v>199</v>
      </c>
    </row>
    <row r="6281" spans="1:5" x14ac:dyDescent="0.2">
      <c r="A6281">
        <v>6220</v>
      </c>
      <c r="B6281" s="138">
        <f>'Acct Summary 7-8'!H83</f>
        <v>-0.10037026753553134</v>
      </c>
      <c r="D6281" s="2" t="str">
        <f t="shared" si="97"/>
        <v>Error?</v>
      </c>
      <c r="E6281" s="2" t="s">
        <v>199</v>
      </c>
    </row>
    <row r="6282" spans="1:5" x14ac:dyDescent="0.2">
      <c r="A6282">
        <v>6221</v>
      </c>
      <c r="B6282" s="138">
        <f>'Acct Summary 7-8'!I83</f>
        <v>8.2451011481540687E-2</v>
      </c>
      <c r="D6282" s="2" t="str">
        <f t="shared" si="97"/>
        <v>Error?</v>
      </c>
      <c r="E6282" s="2" t="s">
        <v>199</v>
      </c>
    </row>
    <row r="6283" spans="1:5" x14ac:dyDescent="0.2">
      <c r="A6283">
        <v>6222</v>
      </c>
      <c r="B6283" s="138">
        <f>'Acct Summary 7-8'!J83</f>
        <v>0.39430312373820797</v>
      </c>
      <c r="D6283" s="2" t="str">
        <f t="shared" si="97"/>
        <v>Error?</v>
      </c>
      <c r="E6283" s="2" t="s">
        <v>199</v>
      </c>
    </row>
    <row r="6284" spans="1:5" x14ac:dyDescent="0.2">
      <c r="A6284">
        <v>6223</v>
      </c>
      <c r="B6284" s="138">
        <f>'Acct Summary 7-8'!K83</f>
        <v>0.91390333766796705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469761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469761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1852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1852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5806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471613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9638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67261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7428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83655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81300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959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11751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68585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2584</v>
      </c>
      <c r="D6878" s="2" t="str">
        <f t="shared" si="106"/>
        <v>Error?</v>
      </c>
    </row>
    <row r="6879" spans="1:4" x14ac:dyDescent="0.2">
      <c r="A6879">
        <v>6818</v>
      </c>
      <c r="B6879" s="138">
        <f>'Expenditures 15-22'!K21</f>
        <v>2584</v>
      </c>
      <c r="D6879" s="2" t="str">
        <f t="shared" si="106"/>
        <v>Error?</v>
      </c>
    </row>
    <row r="6880" spans="1:4" x14ac:dyDescent="0.2">
      <c r="A6880">
        <v>6819</v>
      </c>
      <c r="B6880" s="138">
        <f>'Expenditures 15-22'!H22</f>
        <v>144743</v>
      </c>
      <c r="D6880" s="2" t="str">
        <f t="shared" si="106"/>
        <v>Error?</v>
      </c>
    </row>
    <row r="6881" spans="1:4" x14ac:dyDescent="0.2">
      <c r="A6881">
        <v>6820</v>
      </c>
      <c r="B6881" s="138">
        <f>'Expenditures 15-22'!K22</f>
        <v>144743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20138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8156</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8156</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675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675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89042</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89042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97873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87</v>
      </c>
      <c r="D6981" s="2" t="str">
        <f t="shared" si="108"/>
        <v>Error?</v>
      </c>
    </row>
    <row r="6982" spans="1:4" x14ac:dyDescent="0.2">
      <c r="A6982">
        <v>6921</v>
      </c>
      <c r="B6982" s="138">
        <f>'Expenditures 15-22'!K85</f>
        <v>87</v>
      </c>
      <c r="D6982" s="2" t="str">
        <f t="shared" si="108"/>
        <v>Error?</v>
      </c>
    </row>
    <row r="6983" spans="1:4" x14ac:dyDescent="0.2">
      <c r="A6983">
        <v>6922</v>
      </c>
      <c r="B6983" s="138">
        <f>'Expenditures 15-22'!H86</f>
        <v>342513</v>
      </c>
      <c r="D6983" s="2" t="str">
        <f t="shared" si="108"/>
        <v>Error?</v>
      </c>
    </row>
    <row r="6984" spans="1:4" x14ac:dyDescent="0.2">
      <c r="A6984">
        <v>6923</v>
      </c>
      <c r="B6984" s="138">
        <f>'Expenditures 15-22'!K86</f>
        <v>342513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19838</v>
      </c>
      <c r="D6987" s="2" t="str">
        <f t="shared" si="108"/>
        <v>Error?</v>
      </c>
    </row>
    <row r="6988" spans="1:4" x14ac:dyDescent="0.2">
      <c r="A6988">
        <v>6927</v>
      </c>
      <c r="B6988" s="138">
        <f>'Expenditures 15-22'!K88</f>
        <v>19838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362438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118011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710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710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710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450129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710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471613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5800</v>
      </c>
      <c r="D7073" s="2" t="str">
        <f t="shared" si="109"/>
        <v>Error?</v>
      </c>
    </row>
    <row r="7074" spans="1:4" x14ac:dyDescent="0.2">
      <c r="A7074">
        <v>7013</v>
      </c>
      <c r="B7074" s="138">
        <f>'Expenditures 15-22'!K216</f>
        <v>5800</v>
      </c>
      <c r="D7074" s="2" t="str">
        <f t="shared" si="109"/>
        <v>Error?</v>
      </c>
    </row>
    <row r="7075" spans="1:4" x14ac:dyDescent="0.2">
      <c r="A7075">
        <v>7014</v>
      </c>
      <c r="B7075" s="138">
        <f>'Expenditures 15-22'!D218</f>
        <v>3766</v>
      </c>
      <c r="D7075" s="2" t="str">
        <f t="shared" si="109"/>
        <v>Error?</v>
      </c>
    </row>
    <row r="7076" spans="1:4" x14ac:dyDescent="0.2">
      <c r="A7076">
        <v>7015</v>
      </c>
      <c r="B7076" s="138">
        <f>'Expenditures 15-22'!K218</f>
        <v>3766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742</v>
      </c>
      <c r="D7079" s="2" t="str">
        <f t="shared" si="109"/>
        <v>Error?</v>
      </c>
    </row>
    <row r="7080" spans="1:4" x14ac:dyDescent="0.2">
      <c r="A7080">
        <v>7019</v>
      </c>
      <c r="B7080" s="138">
        <f>'Expenditures 15-22'!K226</f>
        <v>742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101471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101471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2700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2700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345958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345958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345958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104171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450129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345958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104171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450129</v>
      </c>
      <c r="D7224" s="2" t="str">
        <f t="shared" si="111"/>
        <v>Error?</v>
      </c>
    </row>
    <row r="7225" spans="1:4" x14ac:dyDescent="0.2">
      <c r="A7225">
        <v>7164</v>
      </c>
      <c r="B7225" s="138">
        <f>'Expenditures 15-22'!K343</f>
        <v>21484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16095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299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69097</v>
      </c>
      <c r="D7251" s="2" t="str">
        <f t="shared" si="112"/>
        <v>Error?</v>
      </c>
    </row>
    <row r="7252" spans="1:4" x14ac:dyDescent="0.2">
      <c r="A7252">
        <f t="shared" si="113"/>
        <v>7191</v>
      </c>
      <c r="B7252" s="138">
        <f>'Expenditures 15-22'!D9</f>
        <v>12018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185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53327</v>
      </c>
      <c r="D7263" s="2" t="str">
        <f t="shared" si="112"/>
        <v>Error?</v>
      </c>
    </row>
    <row r="7264" spans="1:4" x14ac:dyDescent="0.2">
      <c r="A7264">
        <f t="shared" si="113"/>
        <v>7203</v>
      </c>
      <c r="B7264" s="138">
        <f>'Expenditures 15-22'!D17</f>
        <v>12987</v>
      </c>
      <c r="D7264" s="2" t="str">
        <f t="shared" si="112"/>
        <v>Error?</v>
      </c>
    </row>
    <row r="7265" spans="1:5" x14ac:dyDescent="0.2">
      <c r="A7265">
        <f t="shared" si="113"/>
        <v>7204</v>
      </c>
      <c r="B7265" s="138">
        <f>'Expenditures 15-22'!E17</f>
        <v>478</v>
      </c>
      <c r="D7265" s="2" t="str">
        <f t="shared" si="112"/>
        <v>Error?</v>
      </c>
    </row>
    <row r="7266" spans="1:5" x14ac:dyDescent="0.2">
      <c r="A7266">
        <f t="shared" si="113"/>
        <v>7205</v>
      </c>
      <c r="B7266" s="138">
        <f>'Expenditures 15-22'!F17</f>
        <v>1793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71838</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36426</v>
      </c>
      <c r="D7617" s="2" t="str">
        <f t="shared" si="124"/>
        <v>Error?</v>
      </c>
      <c r="E7617" s="2" t="s">
        <v>19</v>
      </c>
    </row>
    <row r="7618" spans="1:5" x14ac:dyDescent="0.2">
      <c r="A7618">
        <f t="shared" si="123"/>
        <v>7557</v>
      </c>
      <c r="B7618" s="138">
        <f>'Cap Outlay Deprec 26'!F14</f>
        <v>35412</v>
      </c>
      <c r="D7618" s="2" t="str">
        <f t="shared" si="124"/>
        <v>Error?</v>
      </c>
      <c r="E7618" s="2" t="s">
        <v>19</v>
      </c>
    </row>
    <row r="7619" spans="1:5" x14ac:dyDescent="0.2">
      <c r="A7619">
        <f t="shared" si="123"/>
        <v>7558</v>
      </c>
      <c r="B7619" s="138">
        <f>'Cap Outlay Deprec 26'!H14</f>
        <v>71838</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36426</v>
      </c>
      <c r="D7621" s="2" t="str">
        <f t="shared" si="124"/>
        <v>Error?</v>
      </c>
      <c r="E7621" s="2" t="s">
        <v>19</v>
      </c>
    </row>
    <row r="7622" spans="1:5" x14ac:dyDescent="0.2">
      <c r="A7622">
        <f t="shared" si="123"/>
        <v>7561</v>
      </c>
      <c r="B7622" s="138">
        <f>'Cap Outlay Deprec 26'!K14</f>
        <v>35412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118721</v>
      </c>
      <c r="D7624" s="2" t="str">
        <f t="shared" si="124"/>
        <v>Error?</v>
      </c>
      <c r="E7624" s="2" t="s">
        <v>19</v>
      </c>
    </row>
    <row r="7625" spans="1:5" x14ac:dyDescent="0.2">
      <c r="A7625">
        <f t="shared" si="123"/>
        <v>7564</v>
      </c>
      <c r="B7625" s="138">
        <f>'Cap Outlay Deprec 26'!I17</f>
        <v>11872.1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914474.1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-2952508</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2254</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644375</v>
      </c>
      <c r="D7713" s="2" t="str">
        <f t="shared" si="126"/>
        <v>Error?</v>
      </c>
      <c r="E7713" s="2" t="s">
        <v>881</v>
      </c>
    </row>
    <row r="7714" spans="1:6" x14ac:dyDescent="0.2">
      <c r="A7714">
        <v>7653</v>
      </c>
      <c r="B7714" s="138">
        <f>'Rest Tax Levies-Tort Im 25'!K9</f>
        <v>17350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646629</v>
      </c>
      <c r="D7718" s="2" t="str">
        <f t="shared" si="126"/>
        <v>Error?</v>
      </c>
      <c r="E7718" s="2" t="s">
        <v>881</v>
      </c>
    </row>
    <row r="7719" spans="1:6" x14ac:dyDescent="0.2">
      <c r="A7719">
        <v>7658</v>
      </c>
      <c r="B7719" s="138">
        <f>'Rest Tax Levies-Tort Im 25'!K12</f>
        <v>17350</v>
      </c>
      <c r="D7719" s="2" t="str">
        <f t="shared" si="126"/>
        <v>Error?</v>
      </c>
      <c r="E7719" s="2" t="s">
        <v>881</v>
      </c>
    </row>
    <row r="7720" spans="1:6" x14ac:dyDescent="0.2">
      <c r="A7720">
        <v>7659</v>
      </c>
      <c r="B7720" s="138">
        <f>'Rest Tax Levies-Tort Im 25'!H14</f>
        <v>94604</v>
      </c>
      <c r="D7720" s="2" t="str">
        <f t="shared" si="126"/>
        <v>Error?</v>
      </c>
      <c r="E7720" s="2" t="s">
        <v>881</v>
      </c>
    </row>
    <row r="7721" spans="1:6" x14ac:dyDescent="0.2">
      <c r="A7721">
        <v>7660</v>
      </c>
      <c r="B7721" s="138">
        <f>'Rest Tax Levies-Tort Im 25'!K14</f>
        <v>17350</v>
      </c>
      <c r="D7721" s="2" t="str">
        <f t="shared" si="126"/>
        <v>Error?</v>
      </c>
      <c r="E7721" s="2" t="s">
        <v>881</v>
      </c>
    </row>
    <row r="7722" spans="1:6" x14ac:dyDescent="0.2">
      <c r="A7722">
        <v>7661</v>
      </c>
      <c r="B7722" s="138">
        <f>'Rest Tax Levies-Tort Im 25'!J15</f>
        <v>377316</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377316</v>
      </c>
      <c r="D7730" s="2" t="str">
        <f t="shared" si="126"/>
        <v>Error?</v>
      </c>
      <c r="E7730" s="2" t="s">
        <v>881</v>
      </c>
    </row>
    <row r="7731" spans="1:6" x14ac:dyDescent="0.2">
      <c r="A7731">
        <v>7670</v>
      </c>
      <c r="B7731" s="138">
        <f>'Revenues 9-14'!H103</f>
        <v>644375</v>
      </c>
      <c r="D7731" s="2" t="str">
        <f t="shared" si="126"/>
        <v>Error?</v>
      </c>
      <c r="E7731" s="2" t="s">
        <v>881</v>
      </c>
    </row>
    <row r="7732" spans="1:6" x14ac:dyDescent="0.2">
      <c r="A7732">
        <v>7671</v>
      </c>
      <c r="B7732" s="138">
        <f>'Rest Tax Levies-Tort Im 25'!J24</f>
        <v>-2683195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-2683195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1169200</v>
      </c>
      <c r="D7797" s="2" t="str">
        <f t="shared" si="127"/>
        <v>Error?</v>
      </c>
      <c r="E7797" s="4" t="s">
        <v>2019</v>
      </c>
    </row>
    <row r="7798" spans="1:5" x14ac:dyDescent="0.2">
      <c r="A7798">
        <v>7737</v>
      </c>
      <c r="B7798" s="138">
        <f>'Contracts Paid in CY 29'!F141</f>
        <v>50000</v>
      </c>
      <c r="D7798" s="2" t="str">
        <f t="shared" si="127"/>
        <v>Error?</v>
      </c>
      <c r="E7798" s="4" t="s">
        <v>2019</v>
      </c>
    </row>
    <row r="7799" spans="1:5" x14ac:dyDescent="0.2">
      <c r="A7799">
        <v>7738</v>
      </c>
      <c r="B7799" s="138">
        <f>'Contracts Paid in CY 29'!G141</f>
        <v>1119200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Red Bud CUSD 1332</v>
      </c>
      <c r="B7" s="2422"/>
      <c r="C7" s="2422"/>
      <c r="D7" s="2423"/>
      <c r="E7" s="2424">
        <f>COVER!A13</f>
        <v>45079132026</v>
      </c>
      <c r="F7" s="2425"/>
      <c r="G7" s="2431" t="str">
        <f>COVER!T23</f>
        <v>066-005248</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Moore &amp; Simonin, PC</v>
      </c>
      <c r="H9" s="2437"/>
      <c r="I9" s="2437"/>
      <c r="J9" s="2437"/>
      <c r="K9" s="2437"/>
      <c r="L9" s="2438"/>
    </row>
    <row r="10" spans="1:29" ht="13.5" customHeight="1" x14ac:dyDescent="0.2">
      <c r="A10" s="2411">
        <f>COVER!A38</f>
        <v>0</v>
      </c>
      <c r="B10" s="2412"/>
      <c r="C10" s="2412"/>
      <c r="D10" s="2412"/>
      <c r="E10" s="2412"/>
      <c r="F10" s="2413"/>
      <c r="G10" s="2405" t="str">
        <f>COVER!T17</f>
        <v>3636 North Belt West</v>
      </c>
      <c r="H10" s="2406"/>
      <c r="I10" s="2406"/>
      <c r="J10" s="2406"/>
      <c r="K10" s="2406"/>
      <c r="L10" s="2407"/>
    </row>
    <row r="11" spans="1:29" ht="13.5" customHeight="1" x14ac:dyDescent="0.2">
      <c r="A11" s="1185" t="s">
        <v>1599</v>
      </c>
      <c r="B11" s="1186"/>
      <c r="C11" s="1187"/>
      <c r="D11" s="1192"/>
      <c r="E11" s="1187"/>
      <c r="F11" s="1191"/>
      <c r="G11" s="2405" t="str">
        <f>COVER!T19</f>
        <v>Belleville</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mooresimonin@mrsaccountants.com</v>
      </c>
      <c r="J13" s="2418"/>
      <c r="K13" s="2418"/>
      <c r="L13" s="2419"/>
    </row>
    <row r="14" spans="1:29" ht="13.5" customHeight="1" x14ac:dyDescent="0.2">
      <c r="A14" s="2405" t="str">
        <f>COVER!A19</f>
        <v>815 Locust</v>
      </c>
      <c r="B14" s="2406"/>
      <c r="C14" s="2406"/>
      <c r="D14" s="2406"/>
      <c r="E14" s="2406"/>
      <c r="F14" s="2407"/>
      <c r="G14" s="1196" t="s">
        <v>1247</v>
      </c>
      <c r="H14" s="1194"/>
      <c r="I14" s="1194"/>
      <c r="J14" s="1194"/>
      <c r="K14" s="1194"/>
      <c r="L14" s="1195"/>
    </row>
    <row r="15" spans="1:29" ht="13.5" customHeight="1" x14ac:dyDescent="0.2">
      <c r="A15" s="2405" t="str">
        <f>COVER!A21</f>
        <v>Red Bud</v>
      </c>
      <c r="B15" s="2406"/>
      <c r="C15" s="2406"/>
      <c r="D15" s="2406"/>
      <c r="E15" s="2406"/>
      <c r="F15" s="2407"/>
      <c r="G15" s="2402" t="str">
        <f>COVER!T15</f>
        <v>Robert E. Moore, CPA</v>
      </c>
      <c r="H15" s="2403"/>
      <c r="I15" s="2403"/>
      <c r="J15" s="2403"/>
      <c r="K15" s="2403"/>
      <c r="L15" s="2404"/>
    </row>
    <row r="16" spans="1:29" ht="12.2" customHeight="1" x14ac:dyDescent="0.2">
      <c r="A16" s="2427">
        <f>COVER!A25</f>
        <v>62278</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618-233-5049</v>
      </c>
      <c r="H18" s="2422"/>
      <c r="I18" s="2422"/>
      <c r="J18" s="2422"/>
      <c r="K18" s="2421" t="str">
        <f>COVER!X21</f>
        <v>618-233-1061</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Red Bud CUSD 1332</v>
      </c>
      <c r="B1" s="2420"/>
      <c r="C1" s="2420"/>
      <c r="D1" s="2420"/>
    </row>
    <row r="2" spans="1:11" s="1215" customFormat="1" ht="12.75" x14ac:dyDescent="0.2">
      <c r="A2" s="2444">
        <f>'Single Audit Cover'!E7</f>
        <v>45079132026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Red Bud CUSD 1332</v>
      </c>
      <c r="B1" s="2447"/>
      <c r="C1" s="2447"/>
      <c r="D1" s="2447"/>
      <c r="E1" s="2447"/>
    </row>
    <row r="2" spans="1:5" x14ac:dyDescent="0.2">
      <c r="A2" s="2448">
        <f>'Single Audit Cover'!E7</f>
        <v>45079132026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618056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34348</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-42685</v>
      </c>
    </row>
    <row r="19" spans="1:4" ht="13.5" thickBot="1" x14ac:dyDescent="0.25">
      <c r="A19" s="1265" t="s">
        <v>1297</v>
      </c>
      <c r="D19" s="1266">
        <f>SUM(D10:D17)</f>
        <v>609719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609719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609719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Red Bud CUSD 1332</v>
      </c>
      <c r="B1" s="2460"/>
      <c r="C1" s="2460"/>
      <c r="D1" s="2460"/>
      <c r="E1" s="2460"/>
      <c r="F1" s="2460"/>
    </row>
    <row r="2" spans="1:7" ht="13.5" customHeight="1" x14ac:dyDescent="0.2">
      <c r="A2" s="2461">
        <f>'Single Audit Cover'!E7</f>
        <v>45079132026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Red Bud CUSD 1332</v>
      </c>
      <c r="C1" s="2464"/>
      <c r="D1" s="2464"/>
      <c r="E1" s="2464"/>
      <c r="F1" s="2464"/>
      <c r="G1" s="2464"/>
      <c r="H1" s="2464"/>
      <c r="I1" s="2464"/>
      <c r="J1" s="2464"/>
      <c r="K1" s="2464"/>
      <c r="L1" s="2464"/>
      <c r="M1" s="2464"/>
    </row>
    <row r="2" spans="2:14" ht="15" x14ac:dyDescent="0.2">
      <c r="B2" s="2461">
        <f>'Single Audit Cover'!E7</f>
        <v>45079132026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Red Bud CUSD 1332</v>
      </c>
      <c r="C1" s="2479"/>
      <c r="D1" s="2479"/>
      <c r="E1" s="2479"/>
      <c r="F1" s="2479"/>
      <c r="G1" s="2479"/>
      <c r="H1" s="2479"/>
      <c r="I1" s="2479"/>
      <c r="J1" s="1422"/>
    </row>
    <row r="2" spans="2:10" s="317" customFormat="1" ht="12.75" customHeight="1" x14ac:dyDescent="0.2">
      <c r="B2" s="2480">
        <f>'Single Audit Cover'!E7</f>
        <v>45079132026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1951</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Red Bud CUSD 1332</v>
      </c>
      <c r="C1" s="2478"/>
      <c r="D1" s="2478"/>
      <c r="E1" s="2478"/>
      <c r="F1" s="2478"/>
      <c r="G1" s="2478"/>
      <c r="H1" s="2478"/>
      <c r="I1" s="2478"/>
      <c r="J1" s="2478"/>
      <c r="K1" s="2478"/>
      <c r="L1" s="1374"/>
      <c r="M1" s="1374"/>
    </row>
    <row r="2" spans="1:13" ht="12" customHeight="1" x14ac:dyDescent="0.2">
      <c r="B2" s="2480">
        <f>'Single Audit Cover'!E7</f>
        <v>45079132026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Red Bud CUSD 1332</v>
      </c>
      <c r="C1" s="2501"/>
      <c r="D1" s="2501"/>
      <c r="E1" s="2501"/>
      <c r="F1" s="2501"/>
      <c r="G1" s="2501"/>
      <c r="H1" s="2501"/>
      <c r="I1" s="2501"/>
      <c r="J1" s="2501"/>
      <c r="K1" s="2501"/>
      <c r="L1" s="1465"/>
    </row>
    <row r="2" spans="1:12" ht="12.75" customHeight="1" x14ac:dyDescent="0.2">
      <c r="B2" s="2502">
        <f>'Single Audit Cover'!E7</f>
        <v>45079132026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Red Bud CUSD 1332</v>
      </c>
      <c r="C1" s="2478"/>
      <c r="D1" s="2478"/>
      <c r="E1" s="1491"/>
    </row>
    <row r="2" spans="2:5" s="1282" customFormat="1" ht="12.75" customHeight="1" x14ac:dyDescent="0.2">
      <c r="B2" s="2480">
        <f>'Single Audit Cover'!E7</f>
        <v>45079132026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4d435f69-8686-490b-bd6d-b153bf22ab50"/>
    <ds:schemaRef ds:uri="http://purl.org/dc/dcmitype/"/>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2018-08-27T21:31:31Z</cp:lastPrinted>
  <dcterms:created xsi:type="dcterms:W3CDTF">2003-10-29T19:06:34Z</dcterms:created>
  <dcterms:modified xsi:type="dcterms:W3CDTF">2018-11-27T14:49:45Z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