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8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F5" i="5"/>
  <c r="C5" i="5"/>
  <c r="D50" i="29"/>
  <c r="E49"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K24" i="12" s="1"/>
  <c r="B7733" i="106" s="1"/>
  <c r="J12" i="12"/>
  <c r="B7718" i="106" s="1"/>
  <c r="D7718" i="106" s="1"/>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B2805" i="106" s="1"/>
  <c r="D2805" i="106" s="1"/>
  <c r="K185" i="29"/>
  <c r="F62" i="34" s="1"/>
  <c r="K122" i="29"/>
  <c r="F15" i="145" s="1"/>
  <c r="F19" i="145" s="1"/>
  <c r="K67" i="29"/>
  <c r="K64" i="29"/>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D1132" i="106"/>
  <c r="K68" i="29"/>
  <c r="K69" i="29"/>
  <c r="B1136" i="106" s="1"/>
  <c r="D1136" i="106" s="1"/>
  <c r="K70" i="29"/>
  <c r="B1137" i="106" s="1"/>
  <c r="D1137" i="106" s="1"/>
  <c r="D1138" i="106"/>
  <c r="K71" i="29"/>
  <c r="B1139" i="106" s="1"/>
  <c r="D1139" i="106" s="1"/>
  <c r="D1140" i="106"/>
  <c r="K73" i="29"/>
  <c r="K78" i="29"/>
  <c r="K79" i="29"/>
  <c r="K80" i="29"/>
  <c r="K81" i="29"/>
  <c r="B2976" i="106" s="1"/>
  <c r="D2976" i="106" s="1"/>
  <c r="K82" i="29"/>
  <c r="K83" i="29"/>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c r="B6305" i="106"/>
  <c r="D6305" i="106"/>
  <c r="B6307" i="106"/>
  <c r="D6307" i="106"/>
  <c r="B6308" i="106"/>
  <c r="D6308" i="106" s="1"/>
  <c r="B6309" i="106"/>
  <c r="D6309" i="106" s="1"/>
  <c r="B6310" i="106"/>
  <c r="D6310" i="106" s="1"/>
  <c r="B6311" i="106"/>
  <c r="D6311" i="106" s="1"/>
  <c r="B6312" i="106"/>
  <c r="D6312" i="106" s="1"/>
  <c r="B6313" i="106"/>
  <c r="D6313" i="106"/>
  <c r="B6314" i="106"/>
  <c r="D6314" i="106"/>
  <c r="B6315" i="106"/>
  <c r="D6315" i="106"/>
  <c r="B6316" i="106"/>
  <c r="D6316" i="106" s="1"/>
  <c r="B6317" i="106"/>
  <c r="D6317" i="106" s="1"/>
  <c r="B6319" i="106"/>
  <c r="D6319" i="106" s="1"/>
  <c r="B6320" i="106"/>
  <c r="D6320" i="106" s="1"/>
  <c r="B6321" i="106"/>
  <c r="D6321" i="106" s="1"/>
  <c r="B6322" i="106"/>
  <c r="D6322" i="106"/>
  <c r="B6323" i="106"/>
  <c r="D6323" i="106"/>
  <c r="B6324" i="106"/>
  <c r="D6324" i="106"/>
  <c r="B6325" i="106"/>
  <c r="D6325" i="106" s="1"/>
  <c r="B6326" i="106"/>
  <c r="D6326" i="106" s="1"/>
  <c r="B6327" i="106"/>
  <c r="D6327" i="106"/>
  <c r="B6328" i="106"/>
  <c r="D6328" i="106"/>
  <c r="B6329" i="106"/>
  <c r="D6329" i="106" s="1"/>
  <c r="B6330" i="106"/>
  <c r="D6330" i="106" s="1"/>
  <c r="B6331" i="106"/>
  <c r="D6331" i="106" s="1"/>
  <c r="B6332" i="106"/>
  <c r="D6332" i="106" s="1"/>
  <c r="B6333" i="106"/>
  <c r="D6333" i="106" s="1"/>
  <c r="B6334" i="106"/>
  <c r="D6334" i="106"/>
  <c r="B6335" i="106"/>
  <c r="D6335" i="106"/>
  <c r="B6336" i="106"/>
  <c r="D6336" i="106"/>
  <c r="B6337" i="106"/>
  <c r="D6337" i="106" s="1"/>
  <c r="B6338" i="106"/>
  <c r="D6338" i="106" s="1"/>
  <c r="B6339" i="106"/>
  <c r="D6339" i="106" s="1"/>
  <c r="B6340" i="106"/>
  <c r="D6340" i="106" s="1"/>
  <c r="B6341" i="106"/>
  <c r="D6341" i="106" s="1"/>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c r="B6823" i="106"/>
  <c r="D6823" i="106" s="1"/>
  <c r="B6824" i="106"/>
  <c r="D6824" i="106" s="1"/>
  <c r="B6825" i="106"/>
  <c r="D6825" i="106" s="1"/>
  <c r="B6826" i="106"/>
  <c r="D6826" i="106"/>
  <c r="B6827" i="106"/>
  <c r="D6827" i="106" s="1"/>
  <c r="B6828" i="106"/>
  <c r="D6828" i="106" s="1"/>
  <c r="B6829" i="106"/>
  <c r="D6829" i="106" s="1"/>
  <c r="B6830" i="106"/>
  <c r="D6830" i="106"/>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2" i="127"/>
  <c r="B63" i="127"/>
  <c r="E26" i="108"/>
  <c r="F26" i="108"/>
  <c r="G26" i="108"/>
  <c r="D27" i="108"/>
  <c r="E27" i="108"/>
  <c r="F27" i="108"/>
  <c r="G27" i="108"/>
  <c r="F28" i="108"/>
  <c r="F31" i="108"/>
  <c r="F37" i="108"/>
  <c r="G28" i="108"/>
  <c r="E29" i="108"/>
  <c r="D31" i="108"/>
  <c r="D37" i="108"/>
  <c r="E31" i="108"/>
  <c r="G31" i="108"/>
  <c r="E33" i="108"/>
  <c r="G33" i="108"/>
  <c r="E34" i="108"/>
  <c r="G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C184" i="5"/>
  <c r="B5232" i="106" s="1"/>
  <c r="D5232" i="106" s="1"/>
  <c r="D184" i="5"/>
  <c r="F184" i="5"/>
  <c r="B5658" i="106"/>
  <c r="D5658" i="106"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J22" i="37"/>
  <c r="D24" i="37"/>
  <c r="B4270" i="106" s="1"/>
  <c r="D4270" i="106" s="1"/>
  <c r="D4" i="7"/>
  <c r="B1760" i="106" s="1"/>
  <c r="D1760" i="106" s="1"/>
  <c r="D13" i="7"/>
  <c r="B3726" i="106" s="1"/>
  <c r="D3726" i="106" s="1"/>
  <c r="D9" i="7"/>
  <c r="B1767" i="106" s="1"/>
  <c r="D1767" i="106" s="1"/>
  <c r="B5752" i="106"/>
  <c r="D5752" i="106" s="1"/>
  <c r="H173" i="5"/>
  <c r="D109" i="5"/>
  <c r="B1746" i="106"/>
  <c r="D1746" i="106" s="1"/>
  <c r="D17" i="7"/>
  <c r="B4104" i="106" s="1"/>
  <c r="D4104" i="106" s="1"/>
  <c r="D12" i="7"/>
  <c r="B1769" i="106" s="1"/>
  <c r="D1769" i="106" s="1"/>
  <c r="F106" i="34" l="1"/>
  <c r="L5" i="11"/>
  <c r="B2056" i="106" s="1"/>
  <c r="D2056" i="106" s="1"/>
  <c r="D5" i="4"/>
  <c r="B3406" i="106" s="1"/>
  <c r="D3406" i="106" s="1"/>
  <c r="F131" i="34"/>
  <c r="F128" i="34"/>
  <c r="I173" i="5"/>
  <c r="B4216" i="106" s="1"/>
  <c r="D4216" i="106" s="1"/>
  <c r="B5096" i="106"/>
  <c r="D5096" i="106" s="1"/>
  <c r="L342" i="29"/>
  <c r="B7235" i="106"/>
  <c r="D7235" i="106" s="1"/>
  <c r="I210" i="29"/>
  <c r="B7071" i="106" s="1"/>
  <c r="D7071" i="106" s="1"/>
  <c r="B6191" i="106"/>
  <c r="D6191" i="106" s="1"/>
  <c r="J41" i="3"/>
  <c r="D6103" i="106"/>
  <c r="B4268" i="106"/>
  <c r="D4268" i="106" s="1"/>
  <c r="K350" i="29"/>
  <c r="K76" i="4"/>
  <c r="B3586" i="106" s="1"/>
  <c r="D3586" i="106" s="1"/>
  <c r="L15" i="11"/>
  <c r="B3459" i="106" s="1"/>
  <c r="D3459" i="106" s="1"/>
  <c r="B2734" i="106"/>
  <c r="D2734" i="106" s="1"/>
  <c r="K28" i="118"/>
  <c r="O27" i="118" s="1"/>
  <c r="O29" i="118" s="1"/>
  <c r="E174" i="29"/>
  <c r="B1309" i="106" s="1"/>
  <c r="D1309" i="106" s="1"/>
  <c r="H33" i="118"/>
  <c r="F19" i="7"/>
  <c r="B1807" i="106" s="1"/>
  <c r="D1807" i="106" s="1"/>
  <c r="B5147" i="106"/>
  <c r="D5147" i="106" s="1"/>
  <c r="C172" i="5"/>
  <c r="B6858" i="106"/>
  <c r="D6858" i="106" s="1"/>
  <c r="F36" i="34"/>
  <c r="F21" i="8"/>
  <c r="B3689" i="106"/>
  <c r="D3689" i="106" s="1"/>
  <c r="F136" i="34"/>
  <c r="F14" i="4"/>
  <c r="B2597" i="106" s="1"/>
  <c r="D2597" i="106" s="1"/>
  <c r="B2836" i="106"/>
  <c r="D2836" i="106" s="1"/>
  <c r="B6024" i="106"/>
  <c r="D6024" i="106" s="1"/>
  <c r="G4" i="4"/>
  <c r="B2603" i="106" s="1"/>
  <c r="D2603" i="106" s="1"/>
  <c r="B3170" i="106"/>
  <c r="D3170" i="106" s="1"/>
  <c r="H76" i="4"/>
  <c r="B3298" i="106" s="1"/>
  <c r="D3298" i="106" s="1"/>
  <c r="B5803" i="106"/>
  <c r="D5803" i="106" s="1"/>
  <c r="F130" i="34"/>
  <c r="G172" i="5"/>
  <c r="B1756" i="106"/>
  <c r="D1756" i="106" s="1"/>
  <c r="D15" i="7"/>
  <c r="B1772" i="106" s="1"/>
  <c r="D1772" i="106" s="1"/>
  <c r="B1747" i="106"/>
  <c r="D1747" i="106" s="1"/>
  <c r="D7" i="7"/>
  <c r="B1763" i="106" s="1"/>
  <c r="D1763" i="106" s="1"/>
  <c r="I342" i="29"/>
  <c r="B7222" i="106" s="1"/>
  <c r="D7222" i="106" s="1"/>
  <c r="B1752" i="106"/>
  <c r="D1752" i="106" s="1"/>
  <c r="D11" i="7"/>
  <c r="B1768" i="106" s="1"/>
  <c r="D1768" i="106" s="1"/>
  <c r="B3670" i="106"/>
  <c r="D3670" i="106" s="1"/>
  <c r="K352" i="29"/>
  <c r="K13" i="4" s="1"/>
  <c r="B3572" i="106" s="1"/>
  <c r="D3572" i="106" s="1"/>
  <c r="H44" i="4"/>
  <c r="B6289" i="106"/>
  <c r="D6289" i="106" s="1"/>
  <c r="I274" i="5"/>
  <c r="B4951" i="106"/>
  <c r="D4951" i="106" s="1"/>
  <c r="K274" i="5"/>
  <c r="K7" i="4" s="1"/>
  <c r="B3718" i="106" s="1"/>
  <c r="D3718" i="106" s="1"/>
  <c r="C109" i="5"/>
  <c r="B5121" i="106" s="1"/>
  <c r="D5121" i="106" s="1"/>
  <c r="B3565" i="106"/>
  <c r="D3565" i="106" s="1"/>
  <c r="K41" i="3"/>
  <c r="B3568" i="106" s="1"/>
  <c r="D3568" i="106" s="1"/>
  <c r="B1142" i="106"/>
  <c r="D1142" i="106" s="1"/>
  <c r="E38" i="108"/>
  <c r="B1130" i="106"/>
  <c r="D1130" i="106" s="1"/>
  <c r="E30" i="108"/>
  <c r="G30" i="108"/>
  <c r="K92" i="29"/>
  <c r="B2089" i="106" s="1"/>
  <c r="D2089" i="106" s="1"/>
  <c r="B6995" i="106"/>
  <c r="D6995" i="106" s="1"/>
  <c r="J274" i="5"/>
  <c r="B7054" i="106" s="1"/>
  <c r="D7054" i="106" s="1"/>
  <c r="B7041" i="106"/>
  <c r="D7041" i="106" s="1"/>
  <c r="B5518" i="106"/>
  <c r="D5518" i="106" s="1"/>
  <c r="E109" i="5"/>
  <c r="E4" i="4" s="1"/>
  <c r="B2630" i="106" s="1"/>
  <c r="D2630" i="106" s="1"/>
  <c r="J210" i="29"/>
  <c r="B7072" i="106" s="1"/>
  <c r="D7072" i="106" s="1"/>
  <c r="B5356" i="106"/>
  <c r="D5356" i="106" s="1"/>
  <c r="D4" i="4"/>
  <c r="B2564" i="106" s="1"/>
  <c r="D2564" i="106" s="1"/>
  <c r="B5906" i="106"/>
  <c r="D5906" i="106" s="1"/>
  <c r="H6" i="4"/>
  <c r="B2656" i="106" s="1"/>
  <c r="D2656" i="106" s="1"/>
  <c r="B5425" i="106"/>
  <c r="D5425" i="106" s="1"/>
  <c r="F127" i="34"/>
  <c r="B5178" i="106"/>
  <c r="D5178" i="106" s="1"/>
  <c r="F111" i="34"/>
  <c r="B3649" i="106"/>
  <c r="D3649" i="106" s="1"/>
  <c r="G367" i="29"/>
  <c r="B3650" i="106" s="1"/>
  <c r="D3650" i="106" s="1"/>
  <c r="C352" i="29"/>
  <c r="H365" i="29"/>
  <c r="I24" i="12"/>
  <c r="H109" i="5"/>
  <c r="D22" i="37"/>
  <c r="D31" i="36"/>
  <c r="D5" i="7"/>
  <c r="B1761" i="106" s="1"/>
  <c r="D1761" i="106" s="1"/>
  <c r="D11" i="37"/>
  <c r="K173" i="5"/>
  <c r="K6" i="4" s="1"/>
  <c r="B3570" i="106" s="1"/>
  <c r="D3570" i="106" s="1"/>
  <c r="F66" i="34"/>
  <c r="F45" i="34"/>
  <c r="G39" i="108"/>
  <c r="E35" i="108"/>
  <c r="D36" i="108"/>
  <c r="F36" i="108"/>
  <c r="H112" i="29"/>
  <c r="B7018" i="106" s="1"/>
  <c r="D7018" i="106" s="1"/>
  <c r="K285" i="29"/>
  <c r="B3724" i="106" s="1"/>
  <c r="D3724" i="106" s="1"/>
  <c r="B1329" i="106"/>
  <c r="D1329" i="106" s="1"/>
  <c r="F61" i="34"/>
  <c r="E15" i="145"/>
  <c r="G15" i="145" s="1"/>
  <c r="N22" i="3"/>
  <c r="B283" i="106" s="1"/>
  <c r="D283" i="106" s="1"/>
  <c r="K26" i="12"/>
  <c r="B7743" i="106" s="1"/>
  <c r="D7743" i="106" s="1"/>
  <c r="B2724" i="106"/>
  <c r="D2724" i="106" s="1"/>
  <c r="G5" i="4"/>
  <c r="B3409" i="106" s="1"/>
  <c r="D3409" i="106" s="1"/>
  <c r="F56" i="34"/>
  <c r="F41" i="34"/>
  <c r="F35" i="34"/>
  <c r="E28" i="108"/>
  <c r="D54" i="36"/>
  <c r="H342" i="29"/>
  <c r="B5304" i="106"/>
  <c r="D5304" i="106" s="1"/>
  <c r="F172" i="5"/>
  <c r="B5644" i="106" s="1"/>
  <c r="D5644" i="106" s="1"/>
  <c r="L312" i="29"/>
  <c r="G29" i="108"/>
  <c r="B7047" i="106"/>
  <c r="D7047" i="106" s="1"/>
  <c r="B1410" i="106"/>
  <c r="D1410"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B3628" i="106" l="1"/>
  <c r="D3628" i="106" s="1"/>
  <c r="L16" i="11"/>
  <c r="B2061" i="106" s="1"/>
  <c r="D2061" i="106" s="1"/>
  <c r="D52" i="36"/>
  <c r="H275" i="5"/>
  <c r="D44" i="36"/>
  <c r="L114" i="29"/>
  <c r="C114" i="29"/>
  <c r="B757" i="106" s="1"/>
  <c r="D757" i="106" s="1"/>
  <c r="C4" i="4"/>
  <c r="B2551" i="106" s="1"/>
  <c r="D2551" i="106" s="1"/>
  <c r="B3621" i="106"/>
  <c r="D3621" i="106" s="1"/>
  <c r="C367" i="29"/>
  <c r="B3622" i="106" s="1"/>
  <c r="D3622" i="106" s="1"/>
  <c r="G173" i="5"/>
  <c r="B5770" i="106"/>
  <c r="D5770" i="106" s="1"/>
  <c r="D19" i="7"/>
  <c r="B1775" i="106" s="1"/>
  <c r="D1775" i="106" s="1"/>
  <c r="F173" i="5"/>
  <c r="D7255" i="106"/>
  <c r="B6022" i="106"/>
  <c r="D6022" i="106" s="1"/>
  <c r="N23" i="3"/>
  <c r="B284" i="106" s="1"/>
  <c r="D284" i="106" s="1"/>
  <c r="B1879" i="106"/>
  <c r="D1879" i="106" s="1"/>
  <c r="H22" i="37"/>
  <c r="D7253" i="106"/>
  <c r="B6025" i="106"/>
  <c r="D6025" i="106" s="1"/>
  <c r="H4" i="4"/>
  <c r="F73" i="34"/>
  <c r="G15" i="4"/>
  <c r="B6032" i="106" s="1"/>
  <c r="D6032" i="106" s="1"/>
  <c r="K342" i="29"/>
  <c r="F13" i="34" s="1"/>
  <c r="I26" i="12"/>
  <c r="B7741" i="106" s="1"/>
  <c r="D7741" i="106" s="1"/>
  <c r="B1996" i="106"/>
  <c r="D1996" i="106" s="1"/>
  <c r="B5214" i="106"/>
  <c r="D5214" i="106" s="1"/>
  <c r="C173" i="5"/>
  <c r="F274" i="5"/>
  <c r="F7" i="4" s="1"/>
  <c r="B2594" i="106" s="1"/>
  <c r="D2594" i="106" s="1"/>
  <c r="B6014" i="106"/>
  <c r="D6014" i="106" s="1"/>
  <c r="H367" i="29"/>
  <c r="B3660" i="106" s="1"/>
  <c r="D3660" i="106" s="1"/>
  <c r="B7242" i="106"/>
  <c r="D724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D7" i="4"/>
  <c r="D275" i="5"/>
  <c r="B5507" i="106"/>
  <c r="D5507" i="106" s="1"/>
  <c r="B7298" i="106"/>
  <c r="B7299" i="106"/>
  <c r="B1145" i="106" l="1"/>
  <c r="D1145" i="106" s="1"/>
  <c r="G41" i="108"/>
  <c r="G44" i="108" s="1"/>
  <c r="G45" i="108" s="1"/>
  <c r="B2655" i="106"/>
  <c r="D2655" i="106" s="1"/>
  <c r="H8" i="4"/>
  <c r="B5653" i="106"/>
  <c r="D5653" i="106" s="1"/>
  <c r="F6" i="4"/>
  <c r="F275" i="5"/>
  <c r="B5720" i="106" s="1"/>
  <c r="D5720" i="106" s="1"/>
  <c r="J8" i="4"/>
  <c r="J10" i="4" s="1"/>
  <c r="B6225" i="106" s="1"/>
  <c r="D6225" i="106" s="1"/>
  <c r="E41" i="108"/>
  <c r="E44" i="108" s="1"/>
  <c r="E45" i="108" s="1"/>
  <c r="B5223" i="106"/>
  <c r="D5223" i="106" s="1"/>
  <c r="C6" i="4"/>
  <c r="B2553" i="106" s="1"/>
  <c r="D2553" i="106" s="1"/>
  <c r="B5778" i="106"/>
  <c r="D5778" i="106" s="1"/>
  <c r="G6" i="4"/>
  <c r="B2604" i="106" s="1"/>
  <c r="D2604" i="106" s="1"/>
  <c r="J17" i="4"/>
  <c r="B6227" i="106" s="1"/>
  <c r="D622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D8" i="4"/>
  <c r="B2567" i="106"/>
  <c r="D2567" i="106" s="1"/>
  <c r="F76" i="34" l="1"/>
  <c r="B2593" i="106"/>
  <c r="D2593" i="106" s="1"/>
  <c r="F8" i="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F8" i="146"/>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<sst xmlns="http://schemas.openxmlformats.org/spreadsheetml/2006/main" count="5031" uniqueCount="2102">
  <si>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</si>
  <si>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</si>
  <si>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</si>
  <si>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</si>
  <si>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</si>
  <si>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</si>
  <si>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</si>
  <si>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</si>
  <si>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</si>
  <si>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</si>
  <si>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</si>
  <si>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</si>
  <si>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</si>
  <si>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</si>
  <si>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</si>
  <si>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</si>
  <si>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</si>
  <si>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</si>
  <si>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</si>
  <si>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</si>
  <si>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</si>
  <si>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</si>
  <si>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</si>
  <si>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</si>
  <si>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</si>
  <si>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</si>
  <si>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</si>
  <si>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</si>
  <si>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</si>
  <si>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</si>
  <si>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</si>
  <si>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</si>
  <si>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</si>
  <si>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</si>
  <si>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</si>
  <si>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</si>
  <si>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</si>
  <si>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</si>
  <si>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</si>
  <si>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</si>
  <si>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</si>
  <si>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</si>
  <si>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</si>
  <si>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</si>
  <si>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</si>
  <si>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</si>
  <si>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</si>
  <si>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</si>
  <si>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</si>
  <si>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</si>
  <si>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</si>
  <si>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</si>
  <si>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</si>
  <si>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</si>
  <si>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</si>
  <si>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</si>
  <si>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</si>
  <si>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</si>
  <si>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</si>
  <si>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</si>
  <si>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</si>
  <si>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</si>
  <si>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</si>
  <si>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</si>
  <si>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</si>
  <si>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</si>
  <si>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</si>
  <si>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</si>
  <si>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</si>
  <si>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</si>
  <si>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</si>
  <si>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</si>
  <si>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</si>
  <si>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</si>
  <si>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</si>
  <si>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</si>
  <si>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</si>
  <si>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</si>
  <si>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</si>
  <si>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</si>
  <si>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</si>
  <si>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</si>
  <si>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</si>
  <si>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</si>
  <si>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</si>
  <si>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</si>
  <si>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</si>
  <si>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</si>
  <si>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</si>
  <si>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</si>
  <si>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</si>
  <si>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</si>
  <si>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</si>
  <si>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</si>
  <si>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</si>
  <si>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</si>
  <si>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</si>
  <si>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</si>
  <si>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</si>
  <si>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</si>
  <si>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</si>
  <si>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</si>
  <si>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</si>
  <si>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</si>
  <si>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</si>
  <si>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</si>
  <si>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</si>
  <si>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</si>
  <si>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</si>
  <si>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</si>
  <si>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</si>
  <si>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</si>
  <si>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</si>
  <si>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</si>
  <si>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</si>
  <si>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</si>
  <si>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</si>
  <si>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</si>
  <si>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</si>
  <si>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</si>
  <si>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</si>
  <si>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</si>
  <si>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</si>
  <si>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</si>
  <si>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</si>
  <si>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</si>
  <si>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</si>
  <si>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</si>
  <si>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</si>
  <si>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</si>
  <si>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</si>
  <si>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</si>
  <si>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</si>
  <si>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</si>
  <si>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</si>
  <si>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</si>
  <si>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</si>
  <si>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</si>
  <si>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</si>
  <si>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</si>
  <si>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</si>
  <si>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</si>
  <si>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</si>
  <si>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</si>
  <si>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</si>
  <si>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</si>
  <si>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</si>
  <si>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</si>
  <si>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</si>
  <si>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</si>
  <si>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</si>
  <si>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</si>
  <si>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</si>
  <si>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</si>
  <si>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</si>
  <si>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</si>
  <si>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</si>
  <si>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</si>
  <si>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</si>
  <si>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</si>
  <si>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</si>
  <si>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</si>
  <si>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</si>
  <si>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</si>
  <si>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</si>
  <si>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</si>
  <si>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</si>
  <si>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</si>
  <si>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</si>
  <si>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</si>
  <si>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</si>
  <si>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</si>
  <si>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</si>
  <si>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</si>
  <si>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</si>
  <si>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</si>
  <si>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</si>
  <si>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</si>
  <si>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</si>
  <si>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</si>
  <si>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</si>
  <si>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</si>
  <si>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</si>
  <si>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</si>
  <si>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</si>
  <si>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</si>
  <si>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</si>
  <si>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</si>
  <si>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</si>
  <si>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</si>
  <si>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</si>
  <si>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</si>
  <si>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</si>
  <si>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</si>
  <si>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</si>
  <si>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</si>
  <si>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</si>
  <si>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</si>
  <si>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</si>
  <si>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</si>
  <si>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</si>
  <si>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</si>
  <si>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</si>
  <si>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</si>
  <si>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</si>
  <si>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</si>
  <si>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</si>
  <si>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</si>
  <si>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</si>
  <si>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</si>
  <si>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</si>
  <si>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</si>
  <si>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</si>
  <si>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</si>
  <si>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</si>
  <si>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</si>
  <si>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</si>
  <si>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</si>
  <si>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</si>
  <si>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</si>
  <si>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</si>
  <si>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</si>
  <si>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</si>
  <si>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</si>
  <si>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</si>
  <si>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</si>
  <si>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</si>
  <si>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</si>
  <si>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</si>
  <si>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</si>
  <si>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</si>
  <si>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</si>
  <si>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</si>
  <si>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</si>
  <si>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</si>
  <si>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</si>
  <si>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</si>
  <si>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</si>
  <si>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</si>
  <si>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</si>
  <si>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</si>
  <si>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</si>
  <si>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</si>
  <si>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</si>
  <si>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</si>
  <si>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</si>
  <si>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</si>
  <si>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</si>
  <si>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</si>
  <si>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</si>
  <si>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</si>
  <si>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</si>
  <si>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</si>
  <si>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</si>
  <si>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</si>
  <si>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</si>
  <si>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</si>
  <si>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</si>
  <si>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</si>
  <si>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</si>
  <si>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</si>
  <si>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</si>
  <si>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</si>
  <si>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</si>
  <si>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</si>
  <si>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</si>
  <si>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</si>
  <si>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</si>
  <si>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</si>
  <si>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</si>
  <si>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</si>
  <si>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</si>
  <si>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</si>
  <si>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</si>
  <si>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</si>
  <si>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</si>
  <si>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</si>
  <si>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</si>
  <si>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</si>
  <si>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</si>
  <si>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</si>
  <si>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</si>
  <si>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</si>
  <si>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</si>
  <si>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</si>
  <si>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</si>
  <si>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</si>
  <si>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</si>
  <si>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</si>
  <si>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</si>
  <si>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</si>
  <si>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</si>
  <si>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</si>
  <si>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</si>
  <si>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</si>
  <si>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</si>
  <si>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</si>
  <si>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</si>
  <si>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</si>
  <si>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</si>
  <si>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</si>
  <si>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</si>
  <si>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</si>
  <si>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</si>
  <si>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</si>
  <si>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</si>
  <si>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</si>
  <si>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</si>
  <si>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</si>
  <si>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</si>
  <si>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</si>
  <si>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</si>
  <si>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</si>
  <si>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</si>
  <si>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</si>
  <si>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</si>
  <si>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</si>
  <si>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</si>
  <si>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</si>
  <si>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</si>
  <si>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</si>
  <si>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</si>
  <si>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</si>
  <si>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</si>
  <si>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</si>
  <si>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</si>
  <si>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</si>
  <si>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</si>
  <si>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</si>
  <si>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</si>
  <si>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</si>
  <si>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</si>
  <si>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</si>
  <si>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</si>
  <si>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</si>
  <si>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</si>
  <si>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</si>
  <si>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</si>
  <si>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</si>
  <si>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</si>
  <si>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</si>
  <si>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</si>
  <si>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</si>
  <si>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</si>
  <si>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</si>
  <si>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</si>
  <si>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</si>
  <si>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</si>
  <si>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</si>
  <si>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</si>
  <si>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</si>
  <si>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</si>
  <si>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</si>
  <si>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</si>
  <si>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</si>
  <si>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</si>
  <si>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</si>
  <si>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</si>
  <si>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</si>
  <si>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</si>
  <si>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</si>
  <si>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</si>
  <si>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</si>
  <si>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</si>
  <si>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</si>
  <si>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</si>
  <si>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</si>
  <si>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</si>
  <si>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</si>
  <si>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</si>
  <si>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</si>
  <si>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</si>
  <si>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</si>
  <si>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</si>
  <si>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</si>
  <si>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</si>
  <si>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</si>
  <si>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</si>
  <si>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</si>
  <si>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</si>
  <si>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</si>
  <si>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</si>
  <si>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</si>
  <si>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</si>
  <si>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</si>
  <si>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</si>
  <si>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</si>
  <si>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</si>
  <si>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</si>
  <si>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</si>
  <si>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</si>
  <si>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</si>
  <si>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</si>
  <si>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</si>
  <si>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</si>
  <si>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</si>
  <si>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</si>
  <si>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</si>
  <si>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</si>
  <si>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</si>
  <si>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</si>
  <si>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</si>
  <si>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</si>
  <si>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</si>
  <si>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</si>
  <si>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</si>
  <si>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</si>
  <si>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</si>
  <si>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</si>
  <si>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</si>
  <si>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</si>
  <si>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</si>
  <si>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</si>
  <si>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</si>
  <si>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</si>
  <si>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</si>
  <si>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</si>
  <si>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</si>
  <si>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</si>
  <si>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</si>
  <si>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</si>
  <si>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</si>
  <si>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</si>
  <si>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</si>
  <si>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</si>
  <si>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</si>
  <si>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</si>
  <si>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</si>
  <si>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</si>
  <si>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</si>
  <si>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</si>
  <si>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</si>
  <si>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</si>
  <si>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</si>
  <si>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</si>
  <si>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</si>
  <si>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</si>
  <si>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</si>
  <si>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</si>
  <si>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</si>
  <si>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</si>
  <si>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</si>
  <si>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</si>
  <si>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</si>
  <si>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</si>
  <si>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</si>
  <si>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</si>
  <si>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</si>
  <si>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</si>
  <si>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</si>
  <si>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</si>
  <si>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</si>
  <si>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</si>
  <si>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</si>
  <si>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</si>
  <si>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</si>
  <si>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</si>
  <si>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</si>
  <si>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</si>
  <si>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</si>
  <si>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</si>
  <si>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</si>
  <si>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</si>
  <si>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</si>
  <si>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</si>
  <si>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</si>
  <si>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</si>
  <si>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</si>
  <si>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</si>
  <si>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</si>
  <si>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</si>
  <si>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</si>
  <si>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</si>
  <si>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</si>
  <si>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</si>
  <si>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</si>
  <si>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</si>
  <si>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</si>
  <si>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</si>
  <si>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</si>
  <si>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</si>
  <si>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</si>
  <si>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</si>
  <si>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</si>
  <si>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</si>
  <si>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</si>
  <si>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</si>
  <si>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</si>
  <si>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</si>
  <si>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</si>
  <si>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</si>
  <si>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</si>
  <si>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</si>
  <si>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</si>
  <si>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</si>
  <si>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</si>
  <si>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</si>
  <si>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</si>
  <si>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</si>
  <si>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</si>
  <si>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</si>
  <si>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</si>
  <si>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</si>
  <si>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</si>
  <si>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</si>
  <si>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</si>
  <si>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</si>
  <si>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</si>
  <si>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</si>
  <si>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</si>
  <si>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</si>
  <si>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</si>
  <si>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</si>
  <si>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</si>
  <si>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</si>
  <si>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</si>
  <si>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</si>
  <si>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</si>
  <si>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</si>
  <si>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</si>
  <si>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</si>
  <si>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</si>
  <si>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</si>
  <si>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</si>
  <si>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</si>
  <si>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</si>
  <si>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</si>
  <si>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</si>
  <si>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</si>
  <si>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</si>
  <si>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</si>
  <si>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</si>
  <si>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</si>
  <si>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</si>
  <si>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</si>
  <si>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</si>
  <si>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</si>
  <si>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</si>
  <si>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</si>
  <si>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</si>
  <si>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</si>
  <si>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</si>
  <si>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</si>
  <si>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</si>
  <si>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</si>
  <si>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</si>
  <si>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</si>
  <si>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</si>
  <si>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</si>
  <si>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</si>
  <si>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</si>
  <si>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</si>
  <si>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</si>
  <si>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</si>
  <si>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</si>
  <si>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</si>
  <si>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</si>
  <si>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</si>
  <si>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</si>
  <si>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</si>
  <si>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</si>
  <si>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</si>
  <si>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</si>
  <si>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</si>
  <si>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</si>
  <si>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</si>
  <si>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</si>
  <si>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</si>
  <si>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</si>
  <si>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</si>
  <si>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</si>
  <si>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</si>
  <si>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</si>
  <si>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</si>
  <si>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</si>
  <si>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</si>
  <si>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</si>
  <si>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</si>
  <si>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</si>
  <si>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</si>
  <si>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</si>
  <si>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</si>
  <si>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</si>
  <si>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</si>
  <si>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</si>
  <si>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</si>
  <si>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</si>
  <si>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</si>
  <si>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</si>
  <si>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</si>
  <si>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</si>
  <si>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</si>
  <si>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</si>
  <si>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</si>
  <si>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</si>
  <si>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</si>
  <si>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</si>
  <si>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</si>
  <si>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</si>
  <si>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</si>
  <si>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</si>
  <si>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</si>
  <si>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</si>
  <si>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</si>
  <si>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</si>
  <si>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</si>
  <si>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</si>
  <si>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</si>
  <si>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</si>
  <si>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</si>
  <si>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</si>
  <si>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</si>
  <si>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</si>
  <si>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</si>
  <si>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</si>
  <si>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</si>
  <si>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</si>
  <si>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</si>
  <si>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</si>
  <si>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</si>
  <si>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</si>
  <si>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</si>
  <si>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</si>
  <si>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</si>
  <si>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</si>
  <si>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</si>
  <si>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</si>
  <si>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</si>
  <si>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</si>
  <si>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</si>
  <si>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</si>
  <si>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</si>
  <si>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</si>
  <si>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</si>
  <si>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</si>
  <si>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</si>
  <si>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</si>
  <si>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</si>
  <si>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</si>
  <si>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</si>
  <si>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</si>
  <si>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</si>
  <si>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</si>
  <si>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</si>
  <si>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</si>
  <si>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</si>
  <si>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</si>
  <si>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</si>
  <si>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</si>
  <si>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</si>
  <si>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</si>
  <si>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</si>
  <si>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</si>
  <si>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</si>
  <si>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</si>
  <si>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</si>
  <si>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</si>
  <si>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</si>
  <si>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</si>
  <si>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</si>
  <si>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</si>
  <si>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</si>
  <si>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</si>
  <si>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</si>
  <si>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</si>
  <si>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</si>
  <si>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</si>
  <si>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</si>
  <si>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</si>
  <si>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</si>
  <si>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</si>
  <si>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</si>
  <si>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</si>
  <si>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</si>
  <si>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</si>
  <si>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</si>
  <si>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</si>
  <si>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</si>
  <si>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</si>
  <si>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</si>
  <si>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</si>
  <si>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</si>
  <si>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</si>
  <si>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</si>
  <si>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</si>
  <si>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</si>
  <si>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</si>
  <si>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</si>
  <si>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</si>
  <si>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</si>
  <si>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</si>
  <si>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</si>
  <si>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</si>
  <si>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</si>
  <si>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</si>
  <si>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</si>
  <si>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</si>
  <si>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</si>
  <si>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</si>
  <si>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</si>
  <si>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</si>
  <si>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</si>
  <si>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</si>
  <si>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</si>
  <si>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</si>
  <si>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</si>
  <si>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</si>
  <si>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</si>
  <si>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</si>
  <si>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</si>
  <si>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</si>
  <si>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</si>
  <si>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</si>
  <si>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</si>
  <si>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</si>
  <si>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</si>
  <si>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</si>
  <si>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</si>
  <si>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</si>
  <si>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</si>
  <si>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</si>
  <si>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</si>
  <si>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</si>
  <si>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</si>
  <si>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</si>
  <si>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</si>
  <si>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</si>
  <si>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</si>
  <si>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</si>
  <si>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</si>
  <si>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</si>
  <si>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</si>
  <si>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</si>
  <si>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</si>
  <si>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</si>
  <si>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</si>
  <si>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</si>
  <si>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</si>
  <si>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</si>
  <si>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</si>
  <si>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</si>
  <si>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</si>
  <si>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</si>
  <si>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</si>
  <si>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</si>
  <si>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</si>
  <si>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</si>
  <si>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</si>
  <si>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</si>
  <si>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</si>
  <si>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</si>
  <si>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</si>
  <si>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</si>
  <si>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</si>
  <si>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</si>
  <si>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</si>
  <si>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</si>
  <si>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</si>
  <si>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</si>
  <si>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</si>
  <si>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</si>
  <si>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</si>
  <si>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</si>
  <si>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</si>
  <si>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</si>
  <si>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</si>
  <si>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</si>
  <si>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</si>
  <si>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</si>
  <si>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</si>
  <si>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</si>
  <si>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</si>
  <si>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</si>
  <si>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</si>
  <si>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</si>
  <si>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</si>
  <si>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</si>
  <si>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</si>
  <si>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</si>
  <si>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</si>
  <si>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</si>
  <si>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</si>
  <si>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</si>
  <si>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</si>
  <si>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</si>
  <si>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</si>
  <si>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</si>
  <si>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</si>
  <si>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</si>
  <si>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</si>
  <si>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</si>
  <si>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</si>
  <si>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</si>
  <si>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</si>
  <si>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</si>
  <si>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</si>
  <si>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</si>
  <si>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</si>
  <si>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</si>
  <si>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</si>
  <si>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</si>
  <si>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</si>
  <si>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</si>
  <si>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</si>
  <si>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</si>
  <si>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</si>
  <si>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</si>
  <si>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</si>
  <si>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</si>
  <si>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</si>
  <si>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</si>
  <si>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</si>
  <si>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</si>
  <si>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</si>
  <si>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</si>
  <si>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</si>
  <si>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</si>
  <si>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</si>
  <si>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</si>
  <si>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</si>
  <si>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</si>
  <si>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</si>
  <si>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</si>
  <si>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</si>
  <si>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</si>
  <si>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</si>
  <si>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</si>
  <si>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</si>
  <si>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</si>
  <si>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</si>
  <si>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</si>
  <si>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</si>
  <si>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</si>
  <si>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</si>
  <si>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</si>
  <si>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</si>
  <si>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</si>
  <si>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</si>
  <si>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</si>
  <si>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</si>
  <si>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</si>
  <si>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</si>
  <si>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</si>
  <si>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</si>
  <si>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</si>
  <si>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</si>
  <si>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</si>
  <si>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</si>
  <si>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</si>
  <si>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</si>
  <si>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</si>
  <si>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</si>
  <si>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</si>
  <si>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</si>
  <si>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</si>
  <si>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</si>
  <si>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</si>
  <si>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</si>
  <si>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</si>
  <si>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</si>
  <si>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</si>
  <si>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</si>
  <si>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</si>
  <si>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</si>
  <si>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</si>
  <si>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</si>
  <si>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</si>
  <si>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</si>
  <si>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</si>
  <si>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</si>
  <si>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</si>
  <si>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</si>
  <si>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</si>
  <si>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</si>
  <si>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</si>
  <si>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</si>
  <si>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</si>
  <si>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</si>
  <si>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</si>
  <si>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</si>
  <si>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</si>
  <si>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</si>
  <si>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</si>
  <si>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</si>
  <si>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</si>
  <si>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</si>
  <si>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</si>
  <si>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</si>
  <si>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</si>
  <si>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</si>
  <si>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</si>
  <si>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</si>
  <si>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</si>
  <si>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</si>
  <si>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</si>
  <si>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</si>
  <si>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</si>
  <si>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</si>
  <si>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</si>
  <si>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</si>
  <si>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</si>
  <si>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</si>
  <si>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</si>
  <si>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</si>
  <si>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</si>
  <si>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</si>
  <si>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</si>
  <si>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</si>
  <si>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</si>
  <si>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</si>
  <si>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</si>
  <si>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</si>
  <si>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</si>
  <si>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</si>
  <si>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</si>
  <si>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</si>
  <si>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</si>
  <si>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</si>
  <si>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</si>
  <si>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</si>
  <si>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</si>
  <si>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</si>
  <si>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</si>
  <si>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</si>
  <si>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</si>
  <si>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</si>
  <si>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</si>
  <si>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</si>
  <si>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</si>
  <si>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</si>
  <si>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</si>
  <si>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</si>
  <si>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</si>
  <si>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</si>
  <si>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</si>
  <si>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</si>
  <si>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</si>
  <si>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</si>
  <si>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</si>
  <si>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</si>
  <si>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</si>
  <si>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</si>
  <si>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</si>
  <si>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</si>
  <si>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</si>
  <si>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</si>
  <si>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</si>
  <si>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</si>
  <si>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</si>
  <si>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</si>
  <si>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</si>
  <si>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</si>
  <si>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</si>
  <si>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</si>
  <si>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</si>
  <si>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</si>
  <si>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</si>
  <si>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</si>
  <si>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</si>
  <si>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</si>
  <si>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</si>
  <si>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</si>
  <si>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</si>
  <si>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</si>
  <si>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</si>
  <si>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</si>
  <si>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</si>
  <si>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</si>
  <si>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</si>
  <si>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</si>
  <si>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</si>
  <si>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</si>
  <si>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</si>
  <si>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</si>
  <si>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</si>
  <si>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</si>
  <si>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</si>
  <si>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</si>
  <si>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</si>
  <si>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</si>
  <si>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</si>
  <si>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</si>
  <si>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</si>
  <si>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</si>
  <si>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</si>
  <si>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</si>
  <si>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</si>
  <si>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</si>
  <si>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</si>
  <si>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</si>
  <si>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</si>
  <si>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</si>
  <si>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</si>
  <si>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</si>
  <si>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</si>
  <si>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</si>
  <si>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</si>
  <si>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</si>
  <si>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</si>
  <si>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</si>
  <si>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</si>
  <si>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</si>
  <si>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</si>
  <si>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</si>
  <si>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</si>
  <si>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</si>
  <si>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</si>
  <si>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</si>
  <si>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</si>
  <si>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</si>
  <si>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</si>
  <si>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</si>
  <si>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</si>
  <si>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</si>
  <si>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</si>
  <si>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</si>
  <si>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</si>
  <si>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</si>
  <si>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</si>
  <si>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</si>
  <si>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</si>
  <si>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</si>
  <si>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</si>
  <si>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</si>
  <si>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</si>
  <si>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</si>
  <si>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</si>
  <si>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</si>
  <si>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</si>
  <si>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</si>
  <si>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</si>
  <si>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</si>
  <si>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</si>
  <si>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</si>
  <si>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</si>
  <si>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</si>
  <si>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</si>
  <si>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</si>
  <si>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</si>
  <si>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</si>
  <si>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</si>
  <si>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</si>
  <si>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</si>
  <si>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</si>
  <si>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</si>
  <si>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</si>
  <si>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</si>
  <si>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</si>
  <si>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</si>
  <si>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</si>
  <si>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</si>
  <si>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</si>
  <si>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</si>
  <si>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</si>
  <si>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</si>
  <si>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</si>
  <si>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</si>
  <si>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</si>
  <si>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</si>
  <si>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</si>
  <si>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</si>
  <si>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</si>
  <si>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</si>
  <si>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</si>
  <si>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</si>
  <si>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</si>
  <si>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</si>
  <si>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</si>
  <si>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</si>
  <si>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</si>
  <si>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</si>
  <si>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</si>
  <si>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</si>
  <si>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</si>
  <si>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</si>
  <si>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</si>
  <si>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</si>
  <si>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</si>
  <si>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</si>
  <si>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</si>
  <si>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</si>
  <si>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</si>
  <si>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</si>
  <si>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</si>
  <si>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</si>
  <si>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</si>
  <si>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</si>
  <si>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</si>
  <si>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</si>
  <si>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</si>
  <si>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</si>
  <si>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</si>
  <si>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</si>
  <si>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</si>
  <si>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</si>
  <si>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</si>
  <si>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</si>
  <si>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</si>
  <si>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</si>
  <si>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</si>
  <si>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</si>
  <si>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</si>
  <si>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</si>
  <si>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</si>
  <si>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</si>
  <si>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</si>
  <si>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</si>
  <si>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</si>
  <si>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</si>
  <si>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</si>
  <si>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</si>
  <si>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</si>
  <si>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</si>
  <si>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</si>
  <si>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</si>
  <si>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</si>
  <si>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</si>
  <si>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</si>
  <si>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</si>
  <si>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</si>
  <si>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</si>
  <si>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</si>
  <si>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</si>
  <si>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</si>
  <si>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</si>
  <si>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</si>
  <si>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</si>
  <si>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</si>
  <si>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</si>
  <si>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</si>
  <si>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</si>
  <si>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</si>
  <si>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</si>
  <si>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</si>
  <si>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</si>
  <si>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</si>
  <si>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</si>
  <si>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</si>
  <si>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</si>
  <si>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</si>
  <si>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</si>
  <si>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</si>
  <si>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</si>
  <si>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</si>
  <si>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</si>
  <si>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</si>
  <si>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</si>
  <si>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</si>
  <si>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</si>
  <si>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</si>
  <si>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</si>
  <si>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</si>
  <si>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</si>
  <si>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</si>
  <si>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</si>
  <si>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</si>
  <si>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</si>
  <si>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</si>
  <si>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</si>
  <si>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</si>
  <si>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</si>
  <si>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</si>
  <si>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</si>
  <si>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</si>
  <si>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</si>
  <si>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</si>
  <si>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</si>
  <si>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</si>
  <si>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</si>
  <si>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</si>
  <si>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</si>
  <si>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</si>
  <si>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</si>
  <si>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</si>
  <si>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</si>
  <si>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</si>
  <si>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</si>
  <si>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</si>
  <si>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</si>
  <si>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</si>
  <si>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</si>
  <si>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</si>
  <si>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</si>
  <si>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</si>
  <si>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</si>
  <si>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</si>
  <si>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</si>
  <si>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</si>
  <si>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</si>
  <si>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</si>
  <si>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</si>
  <si>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</si>
  <si>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</si>
  <si>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</si>
  <si>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</si>
  <si>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</si>
  <si>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</si>
  <si>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</si>
  <si>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</si>
  <si>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</si>
  <si>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</si>
  <si>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</si>
  <si>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</si>
  <si>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</si>
  <si>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</si>
  <si>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</si>
  <si>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</si>
  <si>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</si>
  <si>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</si>
  <si>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</si>
  <si>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</si>
  <si>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</si>
  <si>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</si>
  <si>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</si>
  <si>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</si>
  <si>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</si>
  <si>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</si>
  <si>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</si>
  <si>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</si>
  <si>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</si>
  <si>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</si>
  <si>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</si>
  <si>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</si>
  <si>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</si>
  <si>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</si>
  <si>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</si>
  <si>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</si>
  <si>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</si>
  <si>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</si>
  <si>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</si>
  <si>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</si>
  <si>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</si>
  <si>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</si>
  <si>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</si>
  <si>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</si>
  <si>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</si>
  <si>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</si>
  <si>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</si>
  <si>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</si>
  <si>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</si>
  <si>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</si>
  <si>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</si>
  <si>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</si>
  <si>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</si>
  <si>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</si>
  <si>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</si>
  <si>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</si>
  <si>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</si>
  <si>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</si>
  <si>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</si>
  <si>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</si>
  <si>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</si>
  <si>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</si>
  <si>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</si>
  <si>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</si>
  <si>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</si>
  <si>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</si>
  <si>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</si>
  <si>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</si>
  <si>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</si>
  <si>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</si>
  <si>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</si>
  <si>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</si>
  <si>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</si>
  <si>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</si>
  <si>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</si>
  <si>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</si>
  <si>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</si>
  <si>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</si>
  <si>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</si>
  <si>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</si>
  <si>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</si>
  <si>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</si>
  <si>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</si>
  <si>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</si>
  <si>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</si>
  <si>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</si>
  <si>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</si>
  <si>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</si>
  <si>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</si>
  <si>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</si>
  <si>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</si>
  <si>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</si>
  <si>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</si>
  <si>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</si>
  <si>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</si>
  <si>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</si>
  <si>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</si>
  <si>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</si>
  <si>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</si>
  <si>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</si>
  <si>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</si>
  <si>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</si>
  <si>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</si>
  <si>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</si>
  <si>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</si>
  <si>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</si>
  <si>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</si>
  <si>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</si>
  <si>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</si>
  <si>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</si>
  <si>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</si>
  <si>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</si>
  <si>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</si>
  <si>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</si>
  <si>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</si>
  <si>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</si>
  <si>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</si>
  <si>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</si>
  <si>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</si>
  <si>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</si>
  <si>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</si>
  <si>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</si>
  <si>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</si>
  <si>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</si>
  <si>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</si>
  <si>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</si>
  <si>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</si>
  <si>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</si>
  <si>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</si>
  <si>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</si>
  <si>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</si>
  <si>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</si>
  <si>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</si>
  <si>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</si>
  <si>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</si>
  <si>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</si>
  <si>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</si>
  <si>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</si>
  <si>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</si>
  <si>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</si>
  <si>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</si>
  <si>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</si>
  <si>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</si>
  <si>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</si>
  <si>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</si>
  <si>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</si>
  <si>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</si>
  <si>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</si>
  <si>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</si>
  <si>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</si>
  <si>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</si>
  <si>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</si>
  <si>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</si>
  <si>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</si>
  <si>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</si>
  <si>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</si>
  <si>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</si>
  <si>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</si>
  <si>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</si>
  <si>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</si>
  <si>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</si>
  <si>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</si>
  <si>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</si>
  <si>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</si>
  <si>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</si>
  <si>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</si>
  <si>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</si>
  <si>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</si>
  <si>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</si>
  <si>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</si>
  <si>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</si>
  <si>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</si>
  <si>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</si>
  <si>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</si>
  <si>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</si>
  <si>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</si>
  <si>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</si>
  <si>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</si>
  <si>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</si>
  <si>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</si>
  <si>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</si>
  <si>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</si>
  <si>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</si>
  <si>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</si>
  <si>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</si>
  <si>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</si>
  <si>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</si>
  <si>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</si>
  <si>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</si>
  <si>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</si>
  <si>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</si>
  <si>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</si>
  <si>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</si>
  <si>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</si>
  <si>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</si>
  <si>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</si>
  <si>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</si>
  <si>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</si>
  <si>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</si>
  <si>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</si>
  <si>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</si>
  <si>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</si>
  <si>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</si>
  <si>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</si>
  <si>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</si>
  <si>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</si>
  <si>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</si>
  <si>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</si>
  <si>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</si>
  <si>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</si>
  <si>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</si>
  <si>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</si>
  <si>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</si>
  <si>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</si>
  <si>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</si>
  <si>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</si>
  <si>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</si>
  <si>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</si>
  <si>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</si>
  <si>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</si>
  <si>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</si>
  <si>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</si>
  <si>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</si>
  <si>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</si>
  <si>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</si>
  <si>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</si>
  <si>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</si>
  <si>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</si>
  <si>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</si>
  <si>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</si>
  <si>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</si>
  <si>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</si>
  <si>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</si>
  <si>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</si>
  <si>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</si>
  <si>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</si>
  <si>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</si>
  <si>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</si>
  <si>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</si>
  <si>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</si>
  <si>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</si>
  <si>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</si>
  <si>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</si>
  <si>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</si>
  <si>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</si>
  <si>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</si>
  <si>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</si>
  <si>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</si>
  <si>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</si>
  <si>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</si>
  <si>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</si>
  <si>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</si>
  <si>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</si>
  <si>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</si>
  <si>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</si>
  <si>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</si>
  <si>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</si>
  <si>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</si>
  <si>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</si>
  <si>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</si>
  <si>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</si>
  <si>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</si>
  <si>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</si>
  <si>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</si>
  <si>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</si>
  <si>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</si>
  <si>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</si>
  <si>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</si>
  <si>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</si>
  <si>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</si>
  <si>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</si>
  <si>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</si>
  <si>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</si>
  <si>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</si>
  <si>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</si>
  <si>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</si>
  <si>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</si>
  <si>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</si>
  <si>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</si>
  <si>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</si>
  <si>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</si>
  <si>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</si>
  <si>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</si>
  <si>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</si>
  <si>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</si>
  <si>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</si>
  <si>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</si>
  <si>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</si>
  <si>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</si>
  <si>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</si>
  <si>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</si>
  <si>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</si>
  <si>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</si>
  <si>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</si>
  <si>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</si>
  <si>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</si>
  <si>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</si>
  <si>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</si>
  <si>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</si>
  <si>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</si>
  <si>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</si>
  <si>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</si>
  <si>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</si>
  <si>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</si>
  <si>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</si>
  <si>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</si>
  <si>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</si>
  <si>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</si>
  <si>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</si>
  <si>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</si>
  <si>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</si>
  <si>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</si>
  <si>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</si>
  <si>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</si>
  <si>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</si>
  <si>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</si>
  <si>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</si>
  <si>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</si>
  <si>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</si>
  <si>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</si>
  <si>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</si>
  <si>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</si>
  <si>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</si>
  <si>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</si>
  <si>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</si>
  <si>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</si>
  <si>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</si>
  <si>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</si>
  <si>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</si>
  <si>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</si>
  <si>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</si>
  <si>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</si>
  <si>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</si>
  <si>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</si>
  <si>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</si>
  <si>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</si>
  <si>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</si>
  <si>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</si>
  <si>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</si>
  <si>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</si>
  <si>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</si>
  <si>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</si>
  <si>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</si>
  <si>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</si>
  <si>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</si>
  <si>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</si>
  <si>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</si>
  <si>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</si>
  <si>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</si>
  <si>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</si>
  <si>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</si>
  <si>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</si>
  <si>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</si>
  <si>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</si>
  <si>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</si>
  <si>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</si>
  <si>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</si>
  <si>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</si>
  <si>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</si>
  <si>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</si>
  <si>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</si>
  <si>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</si>
  <si>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</si>
  <si>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</si>
  <si>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</si>
  <si>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</si>
  <si>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</si>
  <si>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</si>
  <si>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</si>
  <si>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</si>
  <si>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</si>
  <si>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</si>
  <si>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</si>
  <si>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</si>
  <si>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</si>
  <si>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</si>
  <si>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</si>
  <si>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</si>
  <si>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</si>
  <si>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</si>
  <si>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</si>
  <si>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</si>
  <si>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</si>
  <si>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</si>
  <si>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</si>
  <si>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</si>
  <si>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</si>
  <si>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</si>
  <si>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</si>
  <si>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</si>
  <si>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</si>
  <si>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</si>
  <si>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</si>
  <si>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</si>
  <si>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</si>
  <si>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</si>
  <si>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</si>
  <si>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</si>
  <si>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</si>
  <si>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</si>
  <si>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</si>
  <si>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</si>
  <si>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</si>
  <si>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</si>
  <si>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</si>
  <si>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</si>
  <si>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</si>
  <si>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</si>
  <si>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</si>
  <si>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</si>
  <si>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</si>
  <si>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</si>
  <si>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</si>
  <si>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</si>
  <si>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</si>
  <si>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</si>
  <si>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</si>
  <si>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</si>
  <si>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</si>
  <si>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</si>
  <si>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</si>
  <si>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</si>
  <si>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</si>
  <si>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</si>
  <si>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</si>
  <si>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</si>
  <si>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</si>
  <si>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</si>
  <si>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</si>
  <si>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</si>
  <si>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</si>
  <si>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</si>
  <si>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</si>
  <si>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</si>
  <si>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</si>
  <si>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</si>
  <si>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</si>
  <si>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</si>
  <si>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</si>
  <si>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</si>
  <si>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</si>
  <si>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</si>
  <si>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</si>
  <si>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</si>
  <si>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</si>
  <si>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</si>
  <si>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</si>
  <si>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</si>
  <si>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</si>
  <si>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</si>
  <si>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</si>
  <si>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</si>
  <si>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</si>
  <si>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</si>
  <si>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</si>
  <si>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</si>
  <si>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</si>
  <si>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</si>
  <si>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</si>
  <si>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</si>
  <si>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</si>
  <si>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</si>
  <si>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</si>
  <si>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</si>
  <si>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</si>
  <si>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</si>
  <si>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</si>
  <si>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</si>
  <si>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</si>
  <si>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</si>
  <si>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</si>
  <si>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</si>
  <si>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</si>
  <si>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</si>
  <si>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</si>
  <si>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</si>
  <si>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</si>
  <si>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</si>
  <si>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</si>
  <si>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</si>
  <si>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</si>
  <si>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</si>
  <si>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</si>
  <si>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</si>
  <si>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</si>
  <si>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</si>
  <si>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</si>
  <si>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</si>
  <si>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</si>
  <si>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</si>
  <si>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</si>
  <si>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</si>
  <si>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</si>
  <si>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</si>
  <si>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</si>
  <si>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</si>
  <si>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</si>
  <si>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</si>
  <si>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</si>
  <si>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</si>
  <si>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</si>
  <si>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</si>
  <si>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</si>
  <si>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</si>
  <si>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</si>
  <si>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</si>
  <si>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</si>
  <si>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</si>
  <si>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</si>
  <si>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</si>
  <si>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</si>
  <si>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</si>
  <si>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</si>
  <si>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</si>
  <si>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</si>
  <si>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</si>
  <si>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</si>
  <si>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</si>
  <si>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</si>
  <si>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</si>
  <si>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</si>
  <si>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</si>
  <si>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</si>
  <si>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</si>
  <si>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</si>
  <si>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</si>
  <si>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</si>
  <si>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</si>
  <si>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</si>
  <si>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</si>
  <si>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</si>
  <si>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</si>
  <si>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</si>
  <si>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</si>
  <si>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</si>
  <si>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</si>
  <si>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</si>
  <si>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</si>
  <si>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</si>
  <si>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</si>
  <si>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</si>
  <si>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</si>
  <si>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</si>
  <si>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</si>
  <si>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</si>
  <si>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</si>
  <si>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</si>
  <si>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</si>
  <si>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</si>
  <si>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</si>
  <si>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</si>
  <si>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</si>
  <si>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</si>
  <si>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</si>
  <si>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</si>
  <si>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</si>
  <si>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</si>
  <si>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</si>
  <si>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</si>
  <si>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</si>
  <si>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</si>
  <si>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</si>
  <si>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</si>
  <si>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</si>
  <si>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</si>
  <si>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</si>
  <si>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</si>
  <si>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</si>
  <si>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</si>
  <si>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</si>
  <si>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</si>
  <si>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</si>
  <si>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</si>
  <si>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</si>
  <si>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</si>
  <si>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</si>
  <si>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</si>
  <si>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</si>
  <si>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</si>
  <si>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</si>
  <si>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</si>
  <si>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</si>
  <si>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</si>
  <si>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</si>
  <si>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</si>
  <si>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</si>
  <si>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</si>
  <si>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</si>
  <si>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</si>
  <si>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</si>
  <si>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</si>
  <si>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</si>
  <si>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</si>
  <si>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</si>
  <si>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</si>
  <si>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</si>
  <si>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</si>
  <si>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</si>
  <si>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</si>
  <si>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</si>
  <si>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</si>
  <si>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</si>
  <si>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</si>
  <si>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</si>
  <si>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</si>
  <si>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</si>
  <si>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</si>
  <si>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</si>
  <si>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</si>
  <si>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</si>
  <si>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</si>
  <si>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</si>
  <si>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</si>
  <si>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</si>
  <si>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</si>
  <si>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</si>
  <si>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</si>
  <si>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</si>
  <si>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</si>
  <si>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</si>
  <si>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</si>
  <si>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</si>
  <si>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</si>
  <si>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</si>
  <si>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</si>
  <si>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</si>
  <si>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</si>
  <si>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</si>
  <si>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</si>
  <si>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</si>
  <si>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</si>
  <si>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</si>
  <si>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</si>
  <si>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</si>
  <si>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</si>
  <si>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</si>
  <si>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</si>
  <si>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</si>
  <si>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</si>
  <si>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</si>
  <si>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</si>
  <si>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</si>
  <si>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</si>
  <si>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</si>
  <si>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</si>
  <si>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</si>
  <si>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</si>
  <si>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</si>
  <si>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</si>
  <si>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</si>
  <si>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</si>
  <si>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</si>
  <si>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</si>
  <si>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</si>
  <si>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</si>
  <si>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</si>
  <si>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</si>
  <si>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</si>
  <si>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</si>
  <si>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</si>
  <si>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</si>
  <si>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</si>
  <si>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</si>
  <si>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</si>
  <si>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</si>
  <si>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</si>
  <si>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</si>
  <si>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</si>
  <si>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</si>
  <si>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</si>
  <si>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</si>
  <si>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</si>
  <si>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</si>
  <si>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</si>
  <si>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</si>
  <si>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</si>
  <si>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</si>
  <si>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</si>
  <si>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</si>
  <si>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</si>
  <si>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</si>
  <si>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</si>
  <si>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</si>
  <si>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</si>
  <si>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</si>
  <si>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</si>
  <si>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</si>
  <si>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</si>
  <si>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</si>
  <si>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</si>
  <si>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</si>
  <si>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</si>
  <si>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</si>
  <si>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</si>
  <si>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</si>
  <si>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</si>
  <si>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</si>
  <si>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</si>
  <si>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</si>
  <si>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</si>
  <si>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</si>
  <si>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</si>
  <si>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</si>
  <si>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</si>
  <si>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</si>
  <si>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</si>
  <si>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</si>
  <si>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</si>
  <si>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</si>
  <si>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</si>
  <si>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</si>
  <si>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</si>
  <si>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</si>
  <si>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</si>
  <si>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</si>
  <si>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</si>
  <si>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</si>
  <si>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</si>
  <si>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</si>
  <si>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</si>
  <si>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</si>
  <si>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</si>
  <si>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</si>
  <si>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</si>
  <si>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</si>
  <si>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</si>
  <si>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</si>
  <si>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</si>
  <si>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</si>
  <si>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</si>
  <si>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</si>
  <si>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</si>
  <si>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</si>
  <si>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</si>
  <si>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</si>
  <si>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</si>
  <si>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</si>
  <si>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</si>
  <si>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</si>
  <si>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</si>
  <si>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</si>
  <si>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</si>
  <si>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</si>
  <si>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</si>
  <si>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</si>
  <si>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</si>
  <si>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</si>
  <si>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</si>
  <si>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</si>
  <si>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</si>
  <si>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</si>
  <si>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</si>
  <si>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</si>
  <si>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</si>
  <si>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</si>
  <si>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</si>
  <si>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</si>
  <si>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</si>
  <si>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</si>
  <si>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</si>
  <si>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</si>
  <si>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</si>
  <si>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</si>
  <si>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</si>
  <si>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</si>
  <si>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</si>
  <si>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</si>
  <si>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</si>
  <si>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</si>
  <si>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</si>
  <si>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</si>
  <si>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</si>
  <si>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</si>
  <si>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</si>
  <si>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</si>
  <si>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</si>
  <si>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</si>
  <si>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</si>
  <si>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</si>
  <si>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</si>
  <si>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</si>
  <si>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</si>
  <si>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</si>
  <si>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</si>
  <si>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</si>
  <si>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</si>
  <si>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</si>
  <si>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</si>
  <si>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</si>
  <si>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</si>
  <si>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</si>
  <si>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</si>
  <si>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</si>
  <si>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</si>
  <si>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</si>
  <si>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</si>
  <si>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</si>
  <si>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</si>
  <si>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</si>
  <si>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</si>
  <si>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</si>
  <si>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</si>
  <si>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</si>
  <si>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</si>
  <si>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</si>
  <si>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</si>
  <si>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</si>
  <si>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</si>
  <si>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</si>
  <si>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</si>
  <si>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</si>
  <si>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</si>
  <si>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</si>
  <si>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</si>
  <si>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</si>
  <si>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</si>
  <si>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</si>
  <si>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</si>
  <si>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</si>
  <si>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</si>
  <si>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</si>
  <si>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</si>
  <si>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</si>
  <si>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</si>
  <si>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</si>
  <si>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</si>
  <si>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</si>
  <si>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</si>
  <si>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</si>
  <si>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</si>
  <si>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</si>
  <si>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</si>
  <si>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</si>
  <si>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</si>
  <si>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</si>
  <si>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</si>
  <si>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</si>
  <si>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</si>
  <si>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</si>
  <si>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</si>
  <si>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</si>
  <si>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</si>
  <si>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</si>
  <si>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</si>
  <si>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</si>
  <si>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</si>
  <si>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</si>
  <si>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</si>
  <si>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</si>
  <si>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</si>
  <si>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</si>
  <si>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</si>
  <si>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</si>
  <si>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</si>
  <si>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</si>
  <si>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</si>
  <si>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</si>
  <si>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</si>
  <si>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</si>
  <si>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</si>
  <si>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</si>
  <si>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</si>
  <si>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</si>
  <si>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</si>
  <si>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</si>
  <si>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</si>
  <si>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</si>
  <si>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</si>
  <si>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</si>
  <si>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</si>
  <si>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</si>
  <si>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</si>
  <si>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</si>
  <si>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</si>
  <si>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</si>
  <si>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</si>
  <si>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</si>
  <si>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</si>
  <si>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</si>
  <si>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</si>
  <si>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</si>
  <si>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</si>
  <si>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</si>
  <si>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</si>
  <si>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</si>
  <si>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</si>
  <si>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</si>
  <si>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45-079-1220-19</t>
  </si>
  <si>
    <t>Randolph</t>
  </si>
  <si>
    <t>107 East Mill Street</t>
  </si>
  <si>
    <t>Waterloo, IL</t>
  </si>
  <si>
    <t>Scheffel Boyle CPA's</t>
  </si>
  <si>
    <t>Dale Holtmann, CPA</t>
  </si>
  <si>
    <t>222 East Main Street</t>
  </si>
  <si>
    <t>Belleville</t>
  </si>
  <si>
    <t>IL</t>
  </si>
  <si>
    <t>618-277-8100</t>
  </si>
  <si>
    <t>618-277-9307</t>
  </si>
  <si>
    <t>065-026956</t>
  </si>
  <si>
    <t>dale.holtmann@scheffelboyle.com</t>
  </si>
  <si>
    <t>Mr. Kelton Davis</t>
  </si>
  <si>
    <t>kdavis@roe45.org</t>
  </si>
  <si>
    <t>618-939-5650</t>
  </si>
  <si>
    <t>618-939-5332</t>
  </si>
  <si>
    <t>SCHEFFEL BOYLE</t>
  </si>
  <si>
    <t>Pr du Roucher CCSD 134, Waterloo CUSD 5, Red Bud 132</t>
  </si>
  <si>
    <t>Page 31, line 22, Tuition payments for special education students</t>
  </si>
  <si>
    <t>Scheffel Boyle</t>
  </si>
  <si>
    <t>Education-Support Services-General Administration</t>
  </si>
  <si>
    <t>Chester Non-High SD 122</t>
  </si>
  <si>
    <t>50-2300-300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</si>
</sst>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2043546</xdr:colOff>
          <xdr:row>4</xdr:row>
          <xdr:rowOff>129886</xdr:rowOff>
        </xdr:from>
        <xdr:to>
          <xdr:col>1</xdr:col>
          <xdr:colOff>2955348</xdr:colOff>
          <xdr:row>9</xdr:row>
          <xdr:rowOff>3463</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t="s">
        <v>2078</v>
      </c>
      <c r="B13" s="2037"/>
      <c r="C13" s="2037"/>
      <c r="D13" s="2037"/>
      <c r="E13" s="2037"/>
      <c r="F13" s="2037"/>
      <c r="G13" s="2037"/>
      <c r="H13" s="2038"/>
      <c r="I13" s="31"/>
      <c r="J13" s="30"/>
      <c r="K13" s="28"/>
      <c r="L13" s="30"/>
      <c r="M13" s="30"/>
      <c r="N13" s="30"/>
      <c r="O13" s="30"/>
      <c r="P13" s="30"/>
      <c r="Q13" s="30"/>
      <c r="R13" s="30"/>
      <c r="S13" s="30"/>
      <c r="T13" s="2041" t="s">
        <v>2082</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2083</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2100</v>
      </c>
      <c r="B17" s="1996"/>
      <c r="C17" s="1996"/>
      <c r="D17" s="1996"/>
      <c r="E17" s="1996"/>
      <c r="F17" s="1996"/>
      <c r="G17" s="1996"/>
      <c r="H17" s="2021"/>
      <c r="T17" s="2052" t="s">
        <v>2084</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2080</v>
      </c>
      <c r="B19" s="1981"/>
      <c r="C19" s="1981"/>
      <c r="D19" s="1981"/>
      <c r="E19" s="1981"/>
      <c r="F19" s="1981"/>
      <c r="G19" s="1981"/>
      <c r="H19" s="1961"/>
      <c r="I19" s="30"/>
      <c r="J19" s="99"/>
      <c r="K19" s="40"/>
      <c r="L19" s="38"/>
      <c r="M19" s="112" t="s">
        <v>333</v>
      </c>
      <c r="P19" s="27"/>
      <c r="Q19" s="27"/>
      <c r="R19" s="27"/>
      <c r="S19" s="31"/>
      <c r="T19" s="2035" t="s">
        <v>2085</v>
      </c>
      <c r="U19" s="1960"/>
      <c r="V19" s="1960"/>
      <c r="W19" s="1961"/>
      <c r="X19" s="2050" t="s">
        <v>2086</v>
      </c>
      <c r="Y19" s="2051"/>
      <c r="Z19" s="2048">
        <v>62220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2081</v>
      </c>
      <c r="B21" s="1960"/>
      <c r="C21" s="1960"/>
      <c r="D21" s="1960"/>
      <c r="E21" s="1960"/>
      <c r="F21" s="1960"/>
      <c r="G21" s="1960"/>
      <c r="H21" s="1961"/>
      <c r="I21" s="2015" t="s">
        <v>699</v>
      </c>
      <c r="J21" s="2010"/>
      <c r="K21" s="2010"/>
      <c r="L21" s="2010"/>
      <c r="M21" s="2010"/>
      <c r="N21" s="2010"/>
      <c r="O21" s="2010"/>
      <c r="P21" s="2010"/>
      <c r="Q21" s="2010"/>
      <c r="R21" s="2010"/>
      <c r="S21" s="2016"/>
      <c r="T21" s="2059" t="s">
        <v>2087</v>
      </c>
      <c r="U21" s="2060"/>
      <c r="V21" s="2060"/>
      <c r="W21" s="2060"/>
      <c r="X21" s="2065" t="s">
        <v>2088</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2089</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62298</v>
      </c>
      <c r="B25" s="1960"/>
      <c r="C25" s="1960"/>
      <c r="D25" s="1960"/>
      <c r="E25" s="1960"/>
      <c r="F25" s="1960"/>
      <c r="G25" s="1960"/>
      <c r="H25" s="1961"/>
      <c r="I25" s="113"/>
      <c r="J25" s="1984"/>
      <c r="K25" s="1984"/>
      <c r="L25" s="1984"/>
      <c r="M25" s="1984"/>
      <c r="N25" s="1984"/>
      <c r="O25" s="1984"/>
      <c r="P25" s="1984"/>
      <c r="Q25" s="1984"/>
      <c r="R25" s="1984"/>
      <c r="S25" s="1985"/>
      <c r="T25" s="2055" t="s">
        <v>2090</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1231</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2091</v>
      </c>
      <c r="B38" s="1996"/>
      <c r="C38" s="1996"/>
      <c r="D38" s="1996"/>
      <c r="E38" s="1996"/>
      <c r="F38" s="1960"/>
      <c r="G38" s="1960"/>
      <c r="H38" s="1961"/>
      <c r="I38" s="1988"/>
      <c r="J38" s="1989"/>
      <c r="K38" s="1989"/>
      <c r="L38" s="1989"/>
      <c r="M38" s="1989"/>
      <c r="N38" s="1989"/>
      <c r="O38" s="1989"/>
      <c r="P38" s="1990"/>
      <c r="Q38" s="1990"/>
      <c r="R38" s="1990"/>
      <c r="S38" s="1991"/>
      <c r="T38" s="2045" t="s">
        <v>2091</v>
      </c>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2092</v>
      </c>
      <c r="B40" s="1974"/>
      <c r="C40" s="1975"/>
      <c r="D40" s="1975"/>
      <c r="E40" s="1975"/>
      <c r="F40" s="1976"/>
      <c r="G40" s="1976"/>
      <c r="H40" s="1977"/>
      <c r="I40" s="1998"/>
      <c r="J40" s="1999"/>
      <c r="K40" s="1999"/>
      <c r="L40" s="1999"/>
      <c r="M40" s="1999"/>
      <c r="N40" s="1999"/>
      <c r="O40" s="1999"/>
      <c r="P40" s="1999"/>
      <c r="Q40" s="1999"/>
      <c r="R40" s="1999"/>
      <c r="S40" s="2000"/>
      <c r="T40" s="1998" t="s">
        <v>2092</v>
      </c>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2093</v>
      </c>
      <c r="B42" s="1979"/>
      <c r="C42" s="1980"/>
      <c r="D42" s="1978" t="s">
        <v>2094</v>
      </c>
      <c r="E42" s="1979"/>
      <c r="F42" s="1979"/>
      <c r="G42" s="1979"/>
      <c r="H42" s="1980"/>
      <c r="I42" s="1962"/>
      <c r="J42" s="1963"/>
      <c r="K42" s="1963"/>
      <c r="L42" s="1963"/>
      <c r="M42" s="1963"/>
      <c r="N42" s="1963"/>
      <c r="O42" s="1964"/>
      <c r="P42" s="1997"/>
      <c r="Q42" s="1963"/>
      <c r="R42" s="1963"/>
      <c r="S42" s="1964"/>
      <c r="T42" s="1962" t="s">
        <v>2093</v>
      </c>
      <c r="U42" s="1963"/>
      <c r="V42" s="1963"/>
      <c r="W42" s="1964"/>
      <c r="X42" s="1997" t="s">
        <v>2094</v>
      </c>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 sqref="A4:F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134280</v>
      </c>
      <c r="C4" s="1546"/>
      <c r="D4" s="1774">
        <f>B4-C4</f>
        <v>134280</v>
      </c>
      <c r="E4" s="1546">
        <v>0</v>
      </c>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24806</v>
      </c>
      <c r="C7" s="585"/>
      <c r="D7" s="1775">
        <f t="shared" si="0"/>
        <v>24806</v>
      </c>
      <c r="E7" s="585">
        <v>0</v>
      </c>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1997</v>
      </c>
      <c r="C14" s="585"/>
      <c r="D14" s="1775">
        <f t="shared" si="0"/>
        <v>1997</v>
      </c>
      <c r="E14" s="585">
        <v>0</v>
      </c>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161083</v>
      </c>
      <c r="C19" s="1773">
        <f>SUM(C4:C18)</f>
        <v>0</v>
      </c>
      <c r="D19" s="1773">
        <f>SUM(D4:D18)</f>
        <v>161083</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37" colorId="8" zoomScale="110" zoomScaleNormal="110" workbookViewId="0">
      <selection activeCell="A4" sqref="A4:F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A4" sqref="A4:F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v>5274</v>
      </c>
      <c r="H3" s="765"/>
      <c r="I3" s="765"/>
      <c r="J3" s="766">
        <v>59182</v>
      </c>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1295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30491</v>
      </c>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1295</v>
      </c>
      <c r="I12" s="1780">
        <f>SUM(I5:I11)</f>
        <v>0</v>
      </c>
      <c r="J12" s="1780">
        <f>SUM(J5:J11)</f>
        <v>30491</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v>170</v>
      </c>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v>1295</v>
      </c>
      <c r="I22" s="765"/>
      <c r="J22" s="798"/>
      <c r="K22" s="766"/>
    </row>
    <row r="23" spans="1:11" ht="13.5" thickBot="1" x14ac:dyDescent="0.25">
      <c r="A23" s="2266" t="s">
        <v>962</v>
      </c>
      <c r="B23" s="2265"/>
      <c r="C23" s="2265"/>
      <c r="D23" s="2265"/>
      <c r="E23" s="2265"/>
      <c r="F23" s="1783"/>
      <c r="G23" s="1780">
        <f>SUM(G14:G16,G21,G22)</f>
        <v>170</v>
      </c>
      <c r="H23" s="1780">
        <f>SUM(H14:H16,H21,H22)</f>
        <v>1295</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5104</v>
      </c>
      <c r="H24" s="1785">
        <f>SUM(H3,H12)-H23</f>
        <v>0</v>
      </c>
      <c r="I24" s="1785">
        <f>SUM(I3,I12)-I23</f>
        <v>0</v>
      </c>
      <c r="J24" s="1785">
        <f>SUM(J3,J12)-J23</f>
        <v>89673</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5104</v>
      </c>
      <c r="H26" s="1780">
        <f>H24-H25</f>
        <v>0</v>
      </c>
      <c r="I26" s="1780">
        <f>I24-I25</f>
        <v>0</v>
      </c>
      <c r="J26" s="1780">
        <f>J24-J25</f>
        <v>89673</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 sqref="A4:F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0</v>
      </c>
      <c r="D16" s="1782">
        <f>SUM(D3,D5:D6,D8:D10,D12:D15)</f>
        <v>0</v>
      </c>
      <c r="E16" s="1782">
        <f>SUM(E3,E5:E6,E8:E10,E12:E15)</f>
        <v>0</v>
      </c>
      <c r="F16" s="1782">
        <f>SUM(F3,F5:F6,F8:F10,F12:F15)</f>
        <v>0</v>
      </c>
      <c r="G16" s="844"/>
      <c r="H16" s="1782">
        <f>SUM(H3,H6,H8:H10,H12:H14,)</f>
        <v>0</v>
      </c>
      <c r="I16" s="1782">
        <f>SUM(I3,I6,I8:I10,I12:I14,)</f>
        <v>0</v>
      </c>
      <c r="J16" s="1782">
        <f>SUM(J3,J6,J8:J10,J12:J14,)</f>
        <v>0</v>
      </c>
      <c r="K16" s="1782">
        <f>(H16+I16)-J16</f>
        <v>0</v>
      </c>
      <c r="L16" s="1782">
        <f>F16-K16</f>
        <v>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15" activePane="bottomLeft" state="frozen"/>
      <selection activeCell="A4" sqref="A4:F4"/>
      <selection pane="bottomLeft" activeCell="A4" sqref="A4:F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439356</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47663</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487019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420043</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420043</v>
      </c>
      <c r="G76" s="866"/>
    </row>
    <row r="77" spans="1:8" s="894" customFormat="1" ht="12" customHeight="1" thickTop="1" thickBot="1" x14ac:dyDescent="0.25">
      <c r="A77" s="1801"/>
      <c r="B77" s="1798"/>
      <c r="C77" s="1794"/>
      <c r="D77" s="1799" t="s">
        <v>2012</v>
      </c>
      <c r="E77" s="1796"/>
      <c r="F77" s="1802">
        <f>(F14-F76)</f>
        <v>66976</v>
      </c>
      <c r="G77" s="870"/>
    </row>
    <row r="78" spans="1:8" s="894" customFormat="1" ht="12" customHeight="1" thickTop="1" x14ac:dyDescent="0.2">
      <c r="A78" s="1803"/>
      <c r="B78" s="1798"/>
      <c r="C78" s="1794"/>
      <c r="D78" s="1799" t="s">
        <v>2059</v>
      </c>
      <c r="E78" s="1796"/>
      <c r="F78" s="899">
        <v>39.6</v>
      </c>
      <c r="G78" s="900"/>
      <c r="H78" s="870"/>
    </row>
    <row r="79" spans="1:8" s="894" customFormat="1" ht="12" customHeight="1" thickBot="1" x14ac:dyDescent="0.25">
      <c r="A79" s="1804"/>
      <c r="B79" s="1798"/>
      <c r="C79" s="1794"/>
      <c r="D79" s="1799" t="s">
        <v>2013</v>
      </c>
      <c r="E79" s="1796" t="s">
        <v>1015</v>
      </c>
      <c r="F79" s="1805">
        <f>IF(F78&gt;0,F77/F78," Complete Line 78")</f>
        <v>1691.3131313131312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3746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38558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42304</v>
      </c>
    </row>
    <row r="179" spans="1:7" ht="12" customHeight="1" x14ac:dyDescent="0.2">
      <c r="A179" s="1792"/>
      <c r="B179" s="1806"/>
      <c r="C179" s="1807"/>
      <c r="D179" s="1808" t="s">
        <v>2015</v>
      </c>
      <c r="E179" s="1809"/>
      <c r="F179" s="1811">
        <f>'PCTC-OEPP 27-28'!F77-F178</f>
        <v>24672</v>
      </c>
    </row>
    <row r="180" spans="1:7" ht="12" customHeight="1" x14ac:dyDescent="0.2">
      <c r="A180" s="1792"/>
      <c r="B180" s="1806"/>
      <c r="C180" s="1807"/>
      <c r="D180" s="1808" t="s">
        <v>1924</v>
      </c>
      <c r="E180" s="1809"/>
      <c r="F180" s="1811">
        <f>'Cap Outlay Deprec 26'!I18</f>
        <v>0</v>
      </c>
    </row>
    <row r="181" spans="1:7" ht="12" customHeight="1" x14ac:dyDescent="0.2">
      <c r="A181" s="1792"/>
      <c r="B181" s="1806"/>
      <c r="C181" s="1807"/>
      <c r="D181" s="1808" t="s">
        <v>2016</v>
      </c>
      <c r="E181" s="1809"/>
      <c r="F181" s="1811">
        <f>F179+F180</f>
        <v>24672</v>
      </c>
    </row>
    <row r="182" spans="1:7" ht="12" customHeight="1" x14ac:dyDescent="0.2">
      <c r="A182" s="1792"/>
      <c r="B182" s="1812"/>
      <c r="C182" s="1807"/>
      <c r="D182" s="1808" t="str">
        <f>D78</f>
        <v>9 Month ADA from District Average Daily Attendance/Prior General State Aid Inquiry 2017-2018</v>
      </c>
      <c r="E182" s="1809"/>
      <c r="F182" s="1813">
        <f>'PCTC-OEPP 27-28'!F78</f>
        <v>39.6</v>
      </c>
      <c r="G182" s="931"/>
    </row>
    <row r="183" spans="1:7" ht="12" customHeight="1" thickBot="1" x14ac:dyDescent="0.25">
      <c r="A183" s="1792"/>
      <c r="B183" s="1812"/>
      <c r="C183" s="1807"/>
      <c r="D183" s="1808" t="s">
        <v>2017</v>
      </c>
      <c r="E183" s="1809" t="s">
        <v>1626</v>
      </c>
      <c r="F183" s="1814">
        <f>F181/F182</f>
        <v>623.030303030303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2099</v>
      </c>
      <c r="B17" s="1957" t="s">
        <v>2101</v>
      </c>
      <c r="C17" s="1958" t="s">
        <v>2098</v>
      </c>
      <c r="D17" s="1867">
        <v>2100</v>
      </c>
      <c r="E17" s="1562">
        <f t="shared" ref="E17:E141" si="1">IF(D17&lt;=25000,D17,IF(D17&gt;25000,25000,0))</f>
        <v>2100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2100</v>
      </c>
      <c r="E141" s="1563">
        <f t="shared" si="1"/>
        <v>2100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colorId="8" zoomScaleNormal="110" workbookViewId="0">
      <selection activeCell="A4" sqref="A4:F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0</v>
      </c>
      <c r="F19" s="1822"/>
      <c r="G19" s="1824">
        <f>'Expenditures 15-22'!K33-SUM('Expenditures 15-22'!G33,'Expenditures 15-22'!I33)+'Expenditures 15-22'!D229</f>
        <v>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19313</v>
      </c>
      <c r="F23" s="1825"/>
      <c r="G23" s="1827">
        <f>'Expenditures 15-22'!K53-SUM('Expenditures 15-22'!G53,'Expenditures 15-22'!I53)+'Expenditures 15-22'!D257+'Expenditures 15-22'!K330-SUM('Expenditures 15-22'!G330,'Expenditures 15-22'!I330)</f>
        <v>19313</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47663</v>
      </c>
      <c r="F29" s="1825"/>
      <c r="G29" s="1828">
        <f>'Expenditures 15-22'!K62-SUM('Expenditures 15-22'!G62,'Expenditures 15-22'!I62)+'Expenditures 15-22'!K125-SUM('Expenditures 15-22'!G125,'Expenditures 15-22'!I125)+'Expenditures 15-22'!K182-SUM('Expenditures 15-22'!G182,'Expenditures 15-22'!I182)+'Expenditures 15-22'!D267</f>
        <v>47663</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66976</v>
      </c>
      <c r="F41" s="1829">
        <f>SUM(F19:F39)</f>
        <v>0</v>
      </c>
      <c r="G41" s="1829">
        <f>SUM(G19:G40)</f>
        <v>66976</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66976</v>
      </c>
      <c r="F44" s="1830" t="s">
        <v>494</v>
      </c>
      <c r="G44" s="1831">
        <f>G41</f>
        <v>66976</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 sqref="A4:F4"/>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Chester Non-High SD 122</v>
      </c>
      <c r="D6" s="2326"/>
      <c r="E6" s="2326"/>
      <c r="F6" s="1877"/>
    </row>
    <row r="7" spans="1:10" ht="11.25" customHeight="1" thickBot="1" x14ac:dyDescent="0.3">
      <c r="A7" s="1875"/>
      <c r="B7" s="1876"/>
      <c r="C7" s="2327" t="str">
        <f>COVER!A13</f>
        <v>45-079-1220-19</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2096</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A4" sqref="A4:F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Chester Non-High SD 122</v>
      </c>
      <c r="J6" s="2336"/>
      <c r="Q6" s="1686"/>
    </row>
    <row r="7" spans="1:17" x14ac:dyDescent="0.2">
      <c r="A7" s="2337" t="s">
        <v>924</v>
      </c>
      <c r="B7" s="2338"/>
      <c r="C7" s="2338"/>
      <c r="D7" s="2338"/>
      <c r="E7" s="2339"/>
      <c r="F7" s="1018"/>
      <c r="G7" s="1010"/>
      <c r="H7" s="1017" t="s">
        <v>390</v>
      </c>
      <c r="I7" s="2340" t="str">
        <f>COVER!A13</f>
        <v>45-079-1220-19</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14917</v>
      </c>
      <c r="F12" s="1040"/>
      <c r="G12" s="1834">
        <f t="shared" ref="G12:G18" si="0">SUM(E12:F12)</f>
        <v>14917</v>
      </c>
      <c r="H12" s="1041">
        <v>15130</v>
      </c>
      <c r="I12" s="1040"/>
      <c r="J12" s="1834">
        <f t="shared" ref="J12:J18" si="1">SUM(H12:I12)</f>
        <v>15130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14917</v>
      </c>
      <c r="F19" s="1836">
        <f t="shared" si="2"/>
        <v>0</v>
      </c>
      <c r="G19" s="1836">
        <f t="shared" si="2"/>
        <v>14917</v>
      </c>
      <c r="H19" s="1836">
        <f t="shared" si="2"/>
        <v>15130</v>
      </c>
      <c r="I19" s="1836">
        <f t="shared" si="2"/>
        <v>0</v>
      </c>
      <c r="J19" s="1836">
        <f t="shared" si="2"/>
        <v>15130</v>
      </c>
    </row>
    <row r="20" spans="1:10" ht="13.5" thickTop="1" x14ac:dyDescent="0.2">
      <c r="A20" s="1036">
        <v>9</v>
      </c>
      <c r="B20" s="2347" t="s">
        <v>1703</v>
      </c>
      <c r="C20" s="2347"/>
      <c r="D20" s="2348"/>
      <c r="E20" s="1047"/>
      <c r="F20" s="1047"/>
      <c r="G20" s="1047"/>
      <c r="H20" s="1047"/>
      <c r="I20" s="1047"/>
      <c r="J20" s="1837">
        <f>IF(AND(G19&gt;0,J19&gt;0),(((J19-G19)/G19)),"Enter Budget Data")</f>
        <v>1.4279010524904471E-2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view="pageBreakPreview" zoomScale="60" zoomScaleNormal="110" workbookViewId="0">
      <selection activeCell="A4" sqref="A4:F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c r="B62" s="258" t="str">
        <f>COVER!A17</f>
        <v>Chester Non-High SD 122</v>
      </c>
    </row>
    <row r="63" spans="1:2" x14ac:dyDescent="0.2">
      <c r="B63" s="1071" t="str">
        <f>COVER!A13</f>
        <v>45-079-1220-19</v>
      </c>
    </row>
  </sheetData>
  <phoneticPr fontId="13"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13" zoomScale="110" zoomScaleNormal="110" workbookViewId="0">
      <selection activeCell="A4" sqref="A4:F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2047875</xdr:colOff>
                <xdr:row>4</xdr:row>
                <xdr:rowOff>133350</xdr:rowOff>
              </from>
              <to>
                <xdr:col>1</xdr:col>
                <xdr:colOff>2952750</xdr:colOff>
                <xdr:row>9</xdr:row>
                <xdr:rowOff>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topLeftCell="A9"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367506</v>
      </c>
      <c r="C8" s="1838">
        <f>'Acct Summary 7-8'!D8</f>
        <v>0</v>
      </c>
      <c r="D8" s="1838">
        <f>'Acct Summary 7-8'!F8</f>
        <v>63469</v>
      </c>
      <c r="E8" s="1838">
        <f>'Acct Summary 7-8'!I8</f>
        <v>0</v>
      </c>
      <c r="F8" s="1838">
        <f>SUM(B8:E8)</f>
        <v>430975</v>
      </c>
    </row>
    <row r="9" spans="1:8" s="1080" customFormat="1" ht="14.25" customHeight="1" thickBot="1" x14ac:dyDescent="0.25">
      <c r="A9" s="1079" t="s">
        <v>1436</v>
      </c>
      <c r="B9" s="1839">
        <f>'Acct Summary 7-8'!C17</f>
        <v>439356</v>
      </c>
      <c r="C9" s="1839">
        <f>'Acct Summary 7-8'!D17</f>
        <v>0</v>
      </c>
      <c r="D9" s="1839">
        <f>'Acct Summary 7-8'!F17</f>
        <v>47663</v>
      </c>
      <c r="E9" s="1838"/>
      <c r="F9" s="1838">
        <f>SUM(B9:E9)</f>
        <v>487019</v>
      </c>
    </row>
    <row r="10" spans="1:8" s="1080" customFormat="1" ht="14.25" thickTop="1" thickBot="1" x14ac:dyDescent="0.25">
      <c r="A10" s="1081" t="s">
        <v>1437</v>
      </c>
      <c r="B10" s="1840">
        <f>(B8-B9)</f>
        <v>-71850</v>
      </c>
      <c r="C10" s="1840">
        <f>(C8-C9)</f>
        <v>0</v>
      </c>
      <c r="D10" s="1840">
        <f>(D8-D9)</f>
        <v>15806</v>
      </c>
      <c r="E10" s="1839">
        <f>(E8-E9)</f>
        <v>0</v>
      </c>
      <c r="F10" s="1841">
        <f>SUM(F8-F9)</f>
        <v>-56044</v>
      </c>
    </row>
    <row r="11" spans="1:8" s="1080" customFormat="1" ht="14.25" thickTop="1" thickBot="1" x14ac:dyDescent="0.25">
      <c r="A11" s="1082" t="s">
        <v>1785</v>
      </c>
      <c r="B11" s="1842">
        <f>'Acct Summary 7-8'!C81</f>
        <v>250158</v>
      </c>
      <c r="C11" s="1842">
        <f>'Acct Summary 7-8'!D81</f>
        <v>0</v>
      </c>
      <c r="D11" s="1842">
        <f>'Acct Summary 7-8'!F81</f>
        <v>153108</v>
      </c>
      <c r="E11" s="1842">
        <f>'Acct Summary 7-8'!I81</f>
        <v>0</v>
      </c>
      <c r="F11" s="1843">
        <f>SUM(B11:E11)</f>
        <v>403266</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45-079-1220-19</v>
      </c>
    </row>
    <row r="3" spans="1:2" x14ac:dyDescent="0.2">
      <c r="A3" t="s">
        <v>1013</v>
      </c>
      <c r="B3" s="138" t="str">
        <f>COVER!A15</f>
        <v>Randolph</v>
      </c>
    </row>
    <row r="4" spans="1:2" x14ac:dyDescent="0.2">
      <c r="A4" t="s">
        <v>1064</v>
      </c>
      <c r="B4" s="138" t="str">
        <f>COVER!A17</f>
        <v>Chester Non-High SD 122</v>
      </c>
    </row>
    <row r="5" spans="1:2" x14ac:dyDescent="0.2">
      <c r="A5" t="s">
        <v>728</v>
      </c>
      <c r="B5" s="138" t="str">
        <f>COVER!A38</f>
        <v>Mr. Kelton Davis</v>
      </c>
    </row>
    <row r="6" spans="1:2" x14ac:dyDescent="0.2">
      <c r="A6" t="s">
        <v>733</v>
      </c>
      <c r="B6" s="138">
        <f>COVER!P35</f>
        <v>0</v>
      </c>
    </row>
    <row r="7" spans="1:2" x14ac:dyDescent="0.2">
      <c r="A7" t="s">
        <v>729</v>
      </c>
      <c r="B7" s="138">
        <f>COVER!I38</f>
        <v>0</v>
      </c>
    </row>
    <row r="8" spans="1:2" x14ac:dyDescent="0.2">
      <c r="A8" t="s">
        <v>730</v>
      </c>
      <c r="B8" s="138" t="str">
        <f>COVER!T38</f>
        <v>Mr. Kelton Davis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065-026956</v>
      </c>
    </row>
    <row r="16" spans="1:2" x14ac:dyDescent="0.2">
      <c r="A16" t="s">
        <v>442</v>
      </c>
      <c r="B16" s="138" t="str">
        <f>COVER!T13</f>
        <v>Scheffel Boyle CPA's</v>
      </c>
    </row>
    <row r="17" spans="1:2" x14ac:dyDescent="0.2">
      <c r="A17" t="s">
        <v>939</v>
      </c>
      <c r="B17" s="138" t="str">
        <f>COVER!T15</f>
        <v>Dale Holtmann, CPA</v>
      </c>
    </row>
    <row r="18" spans="1:2" x14ac:dyDescent="0.2">
      <c r="A18" t="s">
        <v>1212</v>
      </c>
      <c r="B18" s="138" t="str">
        <f>COVER!T17</f>
        <v>222 East Main Street</v>
      </c>
    </row>
    <row r="19" spans="1:2" x14ac:dyDescent="0.2">
      <c r="A19" t="s">
        <v>941</v>
      </c>
      <c r="B19" s="138" t="str">
        <f>COVER!T25</f>
        <v>dale.holtmann@scheffelboyle.com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250158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245054</v>
      </c>
      <c r="D92" s="2" t="str">
        <f t="shared" si="0"/>
        <v>Error?</v>
      </c>
    </row>
    <row r="93" spans="1:4" x14ac:dyDescent="0.2">
      <c r="A93" s="5">
        <v>32</v>
      </c>
      <c r="B93" s="138">
        <f>'Assets-Liab 5-6'!C41</f>
        <v>250158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153108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153108</v>
      </c>
      <c r="D170" s="2" t="str">
        <f t="shared" si="1"/>
        <v>Error?</v>
      </c>
    </row>
    <row r="171" spans="1:4" x14ac:dyDescent="0.2">
      <c r="A171" s="5">
        <v>110</v>
      </c>
      <c r="B171" s="138">
        <f>'Assets-Liab 5-6'!F41</f>
        <v>153108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112476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112476</v>
      </c>
      <c r="D212" s="2" t="str">
        <f t="shared" si="2"/>
        <v>Error?</v>
      </c>
    </row>
    <row r="213" spans="1:4" x14ac:dyDescent="0.2">
      <c r="A213" s="12">
        <v>152</v>
      </c>
      <c r="B213" s="138">
        <f>'Assets-Liab 5-6'!H41</f>
        <v>112476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12414</v>
      </c>
      <c r="D733" s="2" t="str">
        <f t="shared" si="10"/>
        <v>Error?</v>
      </c>
    </row>
    <row r="734" spans="1:4" x14ac:dyDescent="0.2">
      <c r="A734" s="5">
        <v>673</v>
      </c>
      <c r="B734" s="138">
        <f>'Expenditures 15-22'!C53</f>
        <v>12414</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12414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12414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670</v>
      </c>
      <c r="D791" s="2" t="str">
        <f t="shared" si="11"/>
        <v>Error?</v>
      </c>
    </row>
    <row r="792" spans="1:4" x14ac:dyDescent="0.2">
      <c r="A792" s="5">
        <v>731</v>
      </c>
      <c r="B792" s="138">
        <f>'Expenditures 15-22'!D53</f>
        <v>670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4396</v>
      </c>
      <c r="D848" s="2" t="str">
        <f t="shared" si="12"/>
        <v>Error?</v>
      </c>
    </row>
    <row r="849" spans="1:4" x14ac:dyDescent="0.2">
      <c r="A849" s="5">
        <v>788</v>
      </c>
      <c r="B849" s="138">
        <f>'Expenditures 15-22'!E50</f>
        <v>1800</v>
      </c>
      <c r="D849" s="2" t="str">
        <f t="shared" si="12"/>
        <v>Error?</v>
      </c>
    </row>
    <row r="850" spans="1:4" x14ac:dyDescent="0.2">
      <c r="A850" s="5">
        <v>789</v>
      </c>
      <c r="B850" s="138">
        <f>'Expenditures 15-22'!E53</f>
        <v>6196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6196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33</v>
      </c>
      <c r="D907" s="2" t="str">
        <f t="shared" si="13"/>
        <v>Error?</v>
      </c>
    </row>
    <row r="908" spans="1:4" x14ac:dyDescent="0.2">
      <c r="A908" s="5">
        <v>847</v>
      </c>
      <c r="B908" s="138">
        <f>'Expenditures 15-22'!F53</f>
        <v>33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420043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420043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4396</v>
      </c>
      <c r="C1120" s="2" t="s">
        <v>594</v>
      </c>
      <c r="D1120" s="2" t="str">
        <f t="shared" si="16"/>
        <v>Error?</v>
      </c>
    </row>
    <row r="1121" spans="1:4" x14ac:dyDescent="0.2">
      <c r="A1121" s="5">
        <v>1060</v>
      </c>
      <c r="B1121" s="138">
        <f>'Expenditures 15-22'!K50</f>
        <v>14917</v>
      </c>
      <c r="C1121" s="2" t="s">
        <v>594</v>
      </c>
      <c r="D1121" s="2" t="str">
        <f t="shared" si="16"/>
        <v>Error?</v>
      </c>
    </row>
    <row r="1122" spans="1:4" x14ac:dyDescent="0.2">
      <c r="A1122" s="5">
        <v>1061</v>
      </c>
      <c r="B1122" s="138">
        <f>'Expenditures 15-22'!K53</f>
        <v>19313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19313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420043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439356</v>
      </c>
      <c r="C1152" s="2" t="s">
        <v>594</v>
      </c>
      <c r="D1152" s="2" t="str">
        <f t="shared" si="17"/>
        <v>Error?</v>
      </c>
    </row>
    <row r="1153" spans="1:4" x14ac:dyDescent="0.2">
      <c r="A1153" s="5">
        <v>1092</v>
      </c>
      <c r="B1153" s="138">
        <f>'Expenditures 15-22'!K115</f>
        <v>-71850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47663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47663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47663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47663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47663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47663</v>
      </c>
      <c r="C1388" s="2" t="s">
        <v>594</v>
      </c>
      <c r="D1388" s="2" t="str">
        <f t="shared" si="20"/>
        <v>Error?</v>
      </c>
    </row>
    <row r="1389" spans="1:4" x14ac:dyDescent="0.2">
      <c r="A1389" s="5">
        <v>1328</v>
      </c>
      <c r="B1389" s="138">
        <f>'Expenditures 15-22'!K211</f>
        <v>15806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30491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322008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250158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137302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153108</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81985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112476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134280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24806</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1997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161083</v>
      </c>
      <c r="C1759" s="2" t="s">
        <v>594</v>
      </c>
      <c r="D1759" s="2" t="str">
        <f t="shared" si="26"/>
        <v>Error?</v>
      </c>
    </row>
    <row r="1760" spans="1:5" x14ac:dyDescent="0.2">
      <c r="A1760" s="5">
        <v>1699</v>
      </c>
      <c r="B1760" s="138">
        <f>'Tax Sched 23'!D4</f>
        <v>134280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24806</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1997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161083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5274</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170</v>
      </c>
      <c r="D1955" s="2" t="str">
        <f t="shared" si="29"/>
        <v>Error?</v>
      </c>
    </row>
    <row r="1956" spans="1:5" x14ac:dyDescent="0.2">
      <c r="A1956" s="10">
        <v>1895</v>
      </c>
      <c r="D1956" s="2" t="str">
        <f t="shared" si="29"/>
        <v>OK</v>
      </c>
    </row>
    <row r="1957" spans="1:5" x14ac:dyDescent="0.2">
      <c r="A1957" s="5">
        <v>1896</v>
      </c>
      <c r="B1957" s="138">
        <f>'Rest Tax Levies-Tort Im 25'!G23</f>
        <v>170</v>
      </c>
      <c r="C1957" s="2" t="s">
        <v>594</v>
      </c>
      <c r="D1957" s="2" t="str">
        <f t="shared" si="29"/>
        <v>Error?</v>
      </c>
    </row>
    <row r="1958" spans="1:5" x14ac:dyDescent="0.2">
      <c r="A1958" s="5">
        <v>1897</v>
      </c>
      <c r="B1958" s="138">
        <f>'Rest Tax Levies-Tort Im 25'!G24</f>
        <v>5104</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1295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1295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1295</v>
      </c>
      <c r="D1980" s="2" t="str">
        <f t="shared" si="29"/>
        <v>Error?</v>
      </c>
    </row>
    <row r="1981" spans="1:5" x14ac:dyDescent="0.2">
      <c r="A1981" s="10">
        <v>1920</v>
      </c>
      <c r="D1981" s="2" t="str">
        <f t="shared" si="29"/>
        <v>OK</v>
      </c>
      <c r="E1981" s="2" t="s">
        <v>137</v>
      </c>
    </row>
    <row r="1982" spans="1:5" x14ac:dyDescent="0.2">
      <c r="A1982" s="5">
        <v>1921</v>
      </c>
      <c r="B1982" s="138">
        <f>'Rest Tax Levies-Tort Im 25'!H23</f>
        <v>1295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420043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5104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166374</v>
      </c>
      <c r="C2551" s="2" t="s">
        <v>594</v>
      </c>
      <c r="D2551" s="2" t="str">
        <f t="shared" si="38"/>
        <v>Error?</v>
      </c>
    </row>
    <row r="2552" spans="1:4" x14ac:dyDescent="0.2">
      <c r="A2552" s="10">
        <v>2491</v>
      </c>
      <c r="D2552" s="2" t="str">
        <f t="shared" si="38"/>
        <v>OK</v>
      </c>
    </row>
    <row r="2553" spans="1:4" x14ac:dyDescent="0.2">
      <c r="A2553" s="5">
        <v>2492</v>
      </c>
      <c r="B2553" s="138">
        <f>'Acct Summary 7-8'!C6</f>
        <v>201132</v>
      </c>
      <c r="C2553" s="2" t="s">
        <v>594</v>
      </c>
      <c r="D2553" s="2" t="str">
        <f t="shared" si="38"/>
        <v>Error?</v>
      </c>
    </row>
    <row r="2554" spans="1:4" x14ac:dyDescent="0.2">
      <c r="A2554" s="5">
        <v>2493</v>
      </c>
      <c r="B2554" s="138">
        <f>'Acct Summary 7-8'!C7</f>
        <v>0</v>
      </c>
      <c r="C2554" s="2" t="s">
        <v>594</v>
      </c>
      <c r="D2554" s="2" t="str">
        <f t="shared" si="38"/>
        <v>Error?</v>
      </c>
    </row>
    <row r="2555" spans="1:4" x14ac:dyDescent="0.2">
      <c r="A2555" s="5">
        <v>2494</v>
      </c>
      <c r="B2555" s="138">
        <f>'Acct Summary 7-8'!C8</f>
        <v>367506</v>
      </c>
      <c r="C2555" s="2" t="s">
        <v>594</v>
      </c>
      <c r="D2555" s="2" t="str">
        <f t="shared" si="38"/>
        <v>Error?</v>
      </c>
    </row>
    <row r="2556" spans="1:4" x14ac:dyDescent="0.2">
      <c r="A2556" s="5">
        <v>2495</v>
      </c>
      <c r="B2556" s="138">
        <f>'Acct Summary 7-8'!C12</f>
        <v>0</v>
      </c>
      <c r="C2556" s="2" t="s">
        <v>594</v>
      </c>
      <c r="D2556" s="2" t="str">
        <f t="shared" si="38"/>
        <v>Error?</v>
      </c>
    </row>
    <row r="2557" spans="1:4" x14ac:dyDescent="0.2">
      <c r="A2557" s="5">
        <v>2496</v>
      </c>
      <c r="B2557" s="138">
        <f>'Acct Summary 7-8'!C13</f>
        <v>19313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420043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439356</v>
      </c>
      <c r="C2561" s="2" t="s">
        <v>594</v>
      </c>
      <c r="D2561" s="2" t="str">
        <f t="shared" si="39"/>
        <v>Error?</v>
      </c>
    </row>
    <row r="2562" spans="1:4" x14ac:dyDescent="0.2">
      <c r="A2562" s="5">
        <v>2501</v>
      </c>
      <c r="B2562" s="138">
        <f>'Acct Summary 7-8'!C20</f>
        <v>-71850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24911</v>
      </c>
      <c r="C2591" s="2" t="s">
        <v>594</v>
      </c>
      <c r="D2591" s="2" t="str">
        <f t="shared" si="39"/>
        <v>Error?</v>
      </c>
    </row>
    <row r="2592" spans="1:4" x14ac:dyDescent="0.2">
      <c r="A2592" s="10">
        <v>2531</v>
      </c>
      <c r="D2592" s="2" t="str">
        <f t="shared" si="39"/>
        <v>OK</v>
      </c>
    </row>
    <row r="2593" spans="1:4" x14ac:dyDescent="0.2">
      <c r="A2593" s="5">
        <v>2532</v>
      </c>
      <c r="B2593" s="138">
        <f>'Acct Summary 7-8'!F6</f>
        <v>38558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63469</v>
      </c>
      <c r="C2595" s="2" t="s">
        <v>594</v>
      </c>
      <c r="D2595" s="2" t="str">
        <f t="shared" si="39"/>
        <v>Error?</v>
      </c>
    </row>
    <row r="2596" spans="1:4" x14ac:dyDescent="0.2">
      <c r="A2596" s="5">
        <v>2535</v>
      </c>
      <c r="B2596" s="138">
        <f>'Acct Summary 7-8'!F13</f>
        <v>47663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47663</v>
      </c>
      <c r="C2600" s="2" t="s">
        <v>594</v>
      </c>
      <c r="D2600" s="2" t="str">
        <f t="shared" si="39"/>
        <v>Error?</v>
      </c>
    </row>
    <row r="2601" spans="1:4" x14ac:dyDescent="0.2">
      <c r="A2601" s="5">
        <v>2540</v>
      </c>
      <c r="B2601" s="138">
        <f>'Acct Summary 7-8'!F20</f>
        <v>15806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30491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30491</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30491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-71850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15806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30491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250158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153108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112476</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367506</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63469</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30491</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439356</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47663</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1080.3399999999999</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270.09999999999997</v>
      </c>
      <c r="C4267" s="2" t="s">
        <v>594</v>
      </c>
      <c r="D4267" s="2" t="str">
        <f t="shared" si="65"/>
        <v>Error?</v>
      </c>
      <c r="E4267" s="128"/>
    </row>
    <row r="4268" spans="1:5" x14ac:dyDescent="0.2">
      <c r="A4268" s="12">
        <v>4207</v>
      </c>
      <c r="B4268" s="138">
        <f>('FP Info 3'!J10)*100000</f>
        <v>1350</v>
      </c>
      <c r="C4268" s="2" t="s">
        <v>594</v>
      </c>
      <c r="D4268" s="2" t="str">
        <f t="shared" si="65"/>
        <v>Error?</v>
      </c>
    </row>
    <row r="4269" spans="1:5" x14ac:dyDescent="0.2">
      <c r="A4269" s="12">
        <v>4208</v>
      </c>
      <c r="B4269" s="138">
        <f>'FP Info 3'!J16</f>
        <v>403266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12128687</v>
      </c>
      <c r="D4995" s="2" t="str">
        <f t="shared" si="77"/>
        <v>Error?</v>
      </c>
    </row>
    <row r="4996" spans="1:4" x14ac:dyDescent="0.2">
      <c r="A4996" s="12">
        <v>4935</v>
      </c>
      <c r="B4996" s="138">
        <f>'FP Info 3'!H31</f>
        <v>836879.40300000005</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134280</v>
      </c>
      <c r="D5061" s="2" t="str">
        <f t="shared" si="78"/>
        <v>Error?</v>
      </c>
    </row>
    <row r="5062" spans="1:4" x14ac:dyDescent="0.2">
      <c r="A5062" s="10">
        <v>5001</v>
      </c>
      <c r="D5062" s="2" t="str">
        <f t="shared" si="78"/>
        <v>OK</v>
      </c>
    </row>
    <row r="5063" spans="1:4" x14ac:dyDescent="0.2">
      <c r="A5063" s="5">
        <v>5002</v>
      </c>
      <c r="B5063" s="138">
        <f>'Revenues 9-14'!C7</f>
        <v>1997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136277</v>
      </c>
      <c r="C5066" s="2" t="s">
        <v>594</v>
      </c>
      <c r="D5066" s="2" t="str">
        <f t="shared" si="78"/>
        <v>Error?</v>
      </c>
    </row>
    <row r="5067" spans="1:4" x14ac:dyDescent="0.2">
      <c r="A5067" s="5">
        <v>5006</v>
      </c>
      <c r="B5067" s="138">
        <f>'Revenues 9-14'!C14</f>
        <v>566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27997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28563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1534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1534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166374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197386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197386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3110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636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3746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201132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0</v>
      </c>
      <c r="C5326" s="2" t="s">
        <v>594</v>
      </c>
      <c r="D5326" s="2" t="str">
        <f t="shared" si="82"/>
        <v>Error?</v>
      </c>
    </row>
    <row r="5327" spans="1:4" x14ac:dyDescent="0.2">
      <c r="A5327" s="5">
        <v>5266</v>
      </c>
      <c r="B5327" s="138">
        <f>'Revenues 9-14'!C275</f>
        <v>367506</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24806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24806</v>
      </c>
      <c r="C5557" s="2" t="s">
        <v>594</v>
      </c>
      <c r="D5557" s="2" t="str">
        <f t="shared" si="85"/>
        <v>Error?</v>
      </c>
    </row>
    <row r="5558" spans="1:4" x14ac:dyDescent="0.2">
      <c r="A5558" s="5">
        <v>5497</v>
      </c>
      <c r="B5558" s="138">
        <f>'Revenues 9-14'!F14</f>
        <v>105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24911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33676</v>
      </c>
      <c r="D5615" s="2" t="str">
        <f t="shared" si="86"/>
        <v>Error?</v>
      </c>
    </row>
    <row r="5616" spans="1:4" x14ac:dyDescent="0.2">
      <c r="A5616" s="10">
        <v>5555</v>
      </c>
      <c r="D5616" s="2" t="str">
        <f t="shared" si="86"/>
        <v>OK</v>
      </c>
    </row>
    <row r="5617" spans="1:4" x14ac:dyDescent="0.2">
      <c r="A5617" s="5">
        <v>5556</v>
      </c>
      <c r="B5617" s="138">
        <f>'Revenues 9-14'!F152</f>
        <v>4882</v>
      </c>
      <c r="D5617" s="2" t="str">
        <f t="shared" si="86"/>
        <v>Error?</v>
      </c>
    </row>
    <row r="5618" spans="1:4" x14ac:dyDescent="0.2">
      <c r="A5618" s="5">
        <v>5557</v>
      </c>
      <c r="B5618" s="138">
        <f>'Revenues 9-14'!F154</f>
        <v>38558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38558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38558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63469</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30491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30491</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30491</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-71850</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15806</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30491</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-0.28721847792195332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0.10323431825900671</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f>'Acct Summary 7-8'!H83</f>
        <v>0.2710889434190405</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399218</v>
      </c>
      <c r="D6981" s="2" t="str">
        <f t="shared" si="108"/>
        <v>Error?</v>
      </c>
    </row>
    <row r="6982" spans="1:4" x14ac:dyDescent="0.2">
      <c r="A6982">
        <v>6921</v>
      </c>
      <c r="B6982" s="138">
        <f>'Expenditures 15-22'!K85</f>
        <v>399218</v>
      </c>
      <c r="D6982" s="2" t="str">
        <f t="shared" si="108"/>
        <v>Error?</v>
      </c>
    </row>
    <row r="6983" spans="1:4" x14ac:dyDescent="0.2">
      <c r="A6983">
        <v>6922</v>
      </c>
      <c r="B6983" s="138">
        <f>'Expenditures 15-22'!H86</f>
        <v>20825</v>
      </c>
      <c r="D6983" s="2" t="str">
        <f t="shared" si="108"/>
        <v>Error?</v>
      </c>
    </row>
    <row r="6984" spans="1:4" x14ac:dyDescent="0.2">
      <c r="A6984">
        <v>6923</v>
      </c>
      <c r="B6984" s="138">
        <f>'Expenditures 15-22'!K86</f>
        <v>20825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420043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59182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30491</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30491</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30491</v>
      </c>
      <c r="D7731" s="2" t="str">
        <f t="shared" si="126"/>
        <v>Error?</v>
      </c>
      <c r="E7731" s="2" t="s">
        <v>881</v>
      </c>
    </row>
    <row r="7732" spans="1:6" x14ac:dyDescent="0.2">
      <c r="A7732">
        <v>7671</v>
      </c>
      <c r="B7732" s="138">
        <f>'Rest Tax Levies-Tort Im 25'!J24</f>
        <v>89673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5104</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89673</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2100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topLeftCell="A1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Chester Non-High SD 122</v>
      </c>
      <c r="B7" s="2403"/>
      <c r="C7" s="2403"/>
      <c r="D7" s="2440"/>
      <c r="E7" s="2441" t="str">
        <f>COVER!A13</f>
        <v>45-079-1220-19</v>
      </c>
      <c r="F7" s="2442"/>
      <c r="G7" s="2409" t="str">
        <f>COVER!T23</f>
        <v>065-026956</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Scheffel Boyle CPA's</v>
      </c>
      <c r="H9" s="2416"/>
      <c r="I9" s="2416"/>
      <c r="J9" s="2416"/>
      <c r="K9" s="2416"/>
      <c r="L9" s="2417"/>
    </row>
    <row r="10" spans="1:29" ht="13.5" customHeight="1" x14ac:dyDescent="0.2">
      <c r="A10" s="2399" t="str">
        <f>COVER!A38</f>
        <v>Mr. Kelton Davis</v>
      </c>
      <c r="B10" s="2400"/>
      <c r="C10" s="2400"/>
      <c r="D10" s="2400"/>
      <c r="E10" s="2400"/>
      <c r="F10" s="2401"/>
      <c r="G10" s="2415" t="str">
        <f>COVER!T17</f>
        <v>222 East Main Street</v>
      </c>
      <c r="H10" s="2428"/>
      <c r="I10" s="2428"/>
      <c r="J10" s="2428"/>
      <c r="K10" s="2428"/>
      <c r="L10" s="2429"/>
    </row>
    <row r="11" spans="1:29" ht="13.5" customHeight="1" x14ac:dyDescent="0.2">
      <c r="A11" s="1185" t="s">
        <v>1599</v>
      </c>
      <c r="B11" s="1186"/>
      <c r="C11" s="1187"/>
      <c r="D11" s="1192"/>
      <c r="E11" s="1187"/>
      <c r="F11" s="1191"/>
      <c r="G11" s="2415" t="str">
        <f>COVER!T19</f>
        <v>Belleville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dale.holtmann@scheffelboyle.com</v>
      </c>
      <c r="J13" s="2437"/>
      <c r="K13" s="2437"/>
      <c r="L13" s="2438"/>
    </row>
    <row r="14" spans="1:29" ht="13.5" customHeight="1" x14ac:dyDescent="0.2">
      <c r="A14" s="2415" t="str">
        <f>COVER!A19</f>
        <v>107 East Mill Street</v>
      </c>
      <c r="B14" s="2428"/>
      <c r="C14" s="2428"/>
      <c r="D14" s="2428"/>
      <c r="E14" s="2428"/>
      <c r="F14" s="2429"/>
      <c r="G14" s="1196" t="s">
        <v>1247</v>
      </c>
      <c r="H14" s="1194"/>
      <c r="I14" s="1194"/>
      <c r="J14" s="1194"/>
      <c r="K14" s="1194"/>
      <c r="L14" s="1195"/>
    </row>
    <row r="15" spans="1:29" ht="13.5" customHeight="1" x14ac:dyDescent="0.2">
      <c r="A15" s="2415" t="str">
        <f>COVER!A21</f>
        <v>Waterloo, IL</v>
      </c>
      <c r="B15" s="2428"/>
      <c r="C15" s="2428"/>
      <c r="D15" s="2428"/>
      <c r="E15" s="2428"/>
      <c r="F15" s="2429"/>
      <c r="G15" s="2425" t="str">
        <f>COVER!T15</f>
        <v>Dale Holtmann, CPA</v>
      </c>
      <c r="H15" s="2426"/>
      <c r="I15" s="2426"/>
      <c r="J15" s="2426"/>
      <c r="K15" s="2426"/>
      <c r="L15" s="2427"/>
    </row>
    <row r="16" spans="1:29" ht="12.2" customHeight="1" x14ac:dyDescent="0.2">
      <c r="A16" s="2405">
        <f>COVER!A25</f>
        <v>62298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618-277-8100</v>
      </c>
      <c r="H18" s="2403"/>
      <c r="I18" s="2403"/>
      <c r="J18" s="2403"/>
      <c r="K18" s="2402" t="str">
        <f>COVER!X21</f>
        <v>618-277-9307</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Chester Non-High SD 122</v>
      </c>
      <c r="B1" s="2439"/>
      <c r="C1" s="2439"/>
      <c r="D1" s="2439"/>
    </row>
    <row r="2" spans="1:11" s="1215" customFormat="1" ht="12.75" x14ac:dyDescent="0.2">
      <c r="A2" s="2444" t="str">
        <f>'Single Audit Cover'!E7</f>
        <v>45-079-1220-19</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2" sqref="D1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Chester Non-High SD 122</v>
      </c>
      <c r="B1" s="2447"/>
      <c r="C1" s="2447"/>
      <c r="D1" s="2447"/>
      <c r="E1" s="2447"/>
    </row>
    <row r="2" spans="1:5" x14ac:dyDescent="0.2">
      <c r="A2" s="2448" t="str">
        <f>'Single Audit Cover'!E7</f>
        <v>45-079-1220-19</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7" zoomScale="120" zoomScaleNormal="120" workbookViewId="0">
      <selection activeCell="B16" sqref="B1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Chester Non-High SD 122</v>
      </c>
      <c r="B1" s="2452"/>
      <c r="C1" s="2452"/>
      <c r="D1" s="2452"/>
      <c r="E1" s="2452"/>
      <c r="F1" s="2452"/>
    </row>
    <row r="2" spans="1:7" ht="13.5" customHeight="1" x14ac:dyDescent="0.2">
      <c r="A2" s="2453" t="str">
        <f>'Single Audit Cover'!E7</f>
        <v>45-079-1220-19</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Chester Non-High SD 122</v>
      </c>
      <c r="C1" s="2464"/>
      <c r="D1" s="2464"/>
      <c r="E1" s="2464"/>
      <c r="F1" s="2464"/>
      <c r="G1" s="2464"/>
      <c r="H1" s="2464"/>
      <c r="I1" s="2464"/>
      <c r="J1" s="2464"/>
      <c r="K1" s="2464"/>
      <c r="L1" s="2464"/>
      <c r="M1" s="2464"/>
    </row>
    <row r="2" spans="2:14" ht="15" x14ac:dyDescent="0.2">
      <c r="B2" s="2453" t="str">
        <f>'Single Audit Cover'!E7</f>
        <v>45-079-1220-19</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35370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Chester Non-High SD 122</v>
      </c>
      <c r="C1" s="2472"/>
      <c r="D1" s="2472"/>
      <c r="E1" s="2472"/>
      <c r="F1" s="2472"/>
      <c r="G1" s="2472"/>
      <c r="H1" s="2472"/>
      <c r="I1" s="2472"/>
      <c r="J1" s="1422"/>
    </row>
    <row r="2" spans="2:10" s="317" customFormat="1" ht="12.75" customHeight="1" x14ac:dyDescent="0.2">
      <c r="B2" s="2473" t="str">
        <f>'Single Audit Cover'!E7</f>
        <v>45-079-1220-19</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Chester Non-High SD 122</v>
      </c>
      <c r="C1" s="2471"/>
      <c r="D1" s="2471"/>
      <c r="E1" s="2471"/>
      <c r="F1" s="2471"/>
      <c r="G1" s="2471"/>
      <c r="H1" s="2471"/>
      <c r="I1" s="2471"/>
      <c r="J1" s="2471"/>
      <c r="K1" s="2471"/>
      <c r="L1" s="1374"/>
      <c r="M1" s="1374"/>
    </row>
    <row r="2" spans="1:13" ht="12" customHeight="1" x14ac:dyDescent="0.2">
      <c r="B2" s="2473" t="str">
        <f>'Single Audit Cover'!E7</f>
        <v>45-079-1220-19</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Chester Non-High SD 122</v>
      </c>
      <c r="C1" s="2498"/>
      <c r="D1" s="2498"/>
      <c r="E1" s="2498"/>
      <c r="F1" s="2498"/>
      <c r="G1" s="2498"/>
      <c r="H1" s="2498"/>
      <c r="I1" s="2498"/>
      <c r="J1" s="2498"/>
      <c r="K1" s="2498"/>
      <c r="L1" s="1465"/>
    </row>
    <row r="2" spans="1:12" ht="12.75" customHeight="1" x14ac:dyDescent="0.2">
      <c r="B2" s="2499" t="str">
        <f>'Single Audit Cover'!E7</f>
        <v>45-079-1220-19</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Chester Non-High SD 122</v>
      </c>
      <c r="C1" s="2471"/>
      <c r="D1" s="2471"/>
      <c r="E1" s="1491"/>
    </row>
    <row r="2" spans="2:5" s="1282" customFormat="1" ht="12.75" customHeight="1" x14ac:dyDescent="0.2">
      <c r="B2" s="2473" t="str">
        <f>'Single Audit Cover'!E7</f>
        <v>45-079-1220-19</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12128687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1.0803399999999999E-2</v>
      </c>
      <c r="E10" s="356" t="s">
        <v>1062</v>
      </c>
      <c r="F10" s="355">
        <v>0</v>
      </c>
      <c r="G10" s="356" t="s">
        <v>1062</v>
      </c>
      <c r="H10" s="355">
        <v>2.7009999999999998E-3</v>
      </c>
      <c r="I10" s="356" t="s">
        <v>1063</v>
      </c>
      <c r="J10" s="1754">
        <f>ROUND(D10+F10+H10,5)</f>
        <v>1.35E-2</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430975</v>
      </c>
      <c r="E16" s="356"/>
      <c r="F16" s="1755">
        <f>SUM('Acct Summary 7-8'!C17,'Acct Summary 7-8'!D17,'Acct Summary 7-8'!F17)</f>
        <v>487019</v>
      </c>
      <c r="G16" s="356"/>
      <c r="H16" s="1755">
        <f>SUM(D16-F16)</f>
        <v>-56044</v>
      </c>
      <c r="I16" s="222"/>
      <c r="J16" s="1755">
        <f>SUM('Acct Summary 7-8'!C81,'Acct Summary 7-8'!D81,'Acct Summary 7-8'!F81,'Acct Summary 7-8'!I81)</f>
        <v>403266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836879.40300000005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A4" sqref="A4:F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Chester Non-High SD 122</v>
      </c>
      <c r="E7" s="391"/>
      <c r="G7" s="252"/>
      <c r="H7" s="387"/>
      <c r="I7" s="387"/>
      <c r="J7" s="387"/>
      <c r="K7" s="387"/>
      <c r="L7" s="329"/>
      <c r="M7" s="329"/>
      <c r="N7" s="329"/>
      <c r="O7" s="329"/>
      <c r="P7" s="329"/>
    </row>
    <row r="8" spans="1:18" ht="12.75" x14ac:dyDescent="0.2">
      <c r="A8" s="329"/>
      <c r="B8" s="329"/>
      <c r="C8" s="389" t="s">
        <v>1187</v>
      </c>
      <c r="D8" s="392" t="str">
        <f>COVER!A13</f>
        <v>45-079-1220-19</v>
      </c>
      <c r="E8" s="393"/>
      <c r="G8" s="329"/>
      <c r="H8" s="329"/>
      <c r="I8" s="329"/>
      <c r="J8" s="329"/>
      <c r="K8" s="329"/>
      <c r="L8" s="329"/>
      <c r="M8" s="329"/>
      <c r="N8" s="329"/>
      <c r="O8" s="329"/>
      <c r="P8" s="329"/>
    </row>
    <row r="9" spans="1:18" ht="12.75" x14ac:dyDescent="0.2">
      <c r="A9" s="329"/>
      <c r="B9" s="329"/>
      <c r="C9" s="389" t="s">
        <v>737</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403266</v>
      </c>
      <c r="I12" s="404"/>
      <c r="J12" s="404"/>
      <c r="K12" s="405">
        <f>TRUNC((H12/H13*100000),5)/100000</f>
        <v>0.93570624739999997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430975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2</v>
      </c>
      <c r="P16" s="216"/>
      <c r="R16" s="384"/>
    </row>
    <row r="17" spans="1:18" s="408" customFormat="1" ht="11.25" x14ac:dyDescent="0.2">
      <c r="A17" s="218"/>
      <c r="B17" s="401"/>
      <c r="C17" s="218" t="s">
        <v>830</v>
      </c>
      <c r="D17" s="218"/>
      <c r="E17" s="218"/>
      <c r="F17" s="218" t="s">
        <v>464</v>
      </c>
      <c r="G17" s="402"/>
      <c r="H17" s="403">
        <f>SUM('Acct Summary 7-8'!C17+'Acct Summary 7-8'!D17+'Acct Summary 7-8'!F17)</f>
        <v>487019</v>
      </c>
      <c r="I17" s="404"/>
      <c r="J17" s="416"/>
      <c r="K17" s="405">
        <f>TRUNC((H17/H18*100000),5)/100000</f>
        <v>1.1300400255</v>
      </c>
      <c r="L17" s="406"/>
      <c r="M17" s="417" t="s">
        <v>1233</v>
      </c>
      <c r="O17" s="418" t="str">
        <f>IF(AND(O16="2", J20 &gt; 2),"1",IF(AND(O16 = "1", J20 &gt; 2),"2",IF(AND(O16="1", J20 &gt;1),"1","0")))</f>
        <v>1</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430975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6.4265309000000004</v>
      </c>
      <c r="K20" s="405">
        <f>IF(K17&lt;=1,"0",IF(AND(O16="2", J20 &gt; 2),TRUNC(((K12-0.1)/(K17-1)*100),5)/100,IF(AND(O16 = "1", J20 &gt; 2),TRUNC(((K12-0.1)/(K17-1)*100),5)/100,IF(AND(O16="1", J20 &gt;1),TRUNC(((K12-0.1)/(K17-1)*100),5)/100,""))))</f>
        <v>6.4265309000000004</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403266</v>
      </c>
      <c r="I24" s="422"/>
      <c r="J24" s="422"/>
      <c r="K24" s="423">
        <f>TRUNC(((H24/H25*100000)/100000),2)</f>
        <v>298.08999999999997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1352.8305600000001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139176.68333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836879.40300000005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0" activePane="bottomLeft" state="frozen"/>
      <selection activeCell="A4" sqref="A4:F4"/>
      <selection pane="bottomLeft" activeCell="A4" sqref="A4:F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250158</v>
      </c>
      <c r="D4" s="466"/>
      <c r="E4" s="466"/>
      <c r="F4" s="466">
        <v>153108</v>
      </c>
      <c r="G4" s="466"/>
      <c r="H4" s="466">
        <v>112476</v>
      </c>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250158</v>
      </c>
      <c r="D13" s="1759">
        <f t="shared" ref="D13:L13" si="0">SUM(D4:D12)</f>
        <v>0</v>
      </c>
      <c r="E13" s="1759">
        <f t="shared" si="0"/>
        <v>0</v>
      </c>
      <c r="F13" s="1759">
        <f t="shared" si="0"/>
        <v>153108</v>
      </c>
      <c r="G13" s="1759">
        <f t="shared" si="0"/>
        <v>0</v>
      </c>
      <c r="H13" s="1759">
        <f t="shared" si="0"/>
        <v>112476</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0</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5104</v>
      </c>
      <c r="D38" s="466"/>
      <c r="E38" s="466"/>
      <c r="F38" s="466"/>
      <c r="G38" s="466"/>
      <c r="H38" s="466"/>
      <c r="I38" s="466"/>
      <c r="J38" s="467"/>
      <c r="K38" s="466"/>
      <c r="L38" s="481"/>
      <c r="M38" s="497"/>
      <c r="N38" s="497"/>
    </row>
    <row r="39" spans="1:14" s="329" customFormat="1" ht="13.5" customHeight="1" x14ac:dyDescent="0.2">
      <c r="A39" s="496" t="s">
        <v>360</v>
      </c>
      <c r="B39" s="483">
        <v>730</v>
      </c>
      <c r="C39" s="466">
        <f>C4-C38</f>
        <v>245054</v>
      </c>
      <c r="D39" s="466"/>
      <c r="E39" s="466"/>
      <c r="F39" s="466">
        <v>153108</v>
      </c>
      <c r="G39" s="466"/>
      <c r="H39" s="466">
        <v>112476</v>
      </c>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8" t="s">
        <v>676</v>
      </c>
      <c r="B41" s="1728"/>
      <c r="C41" s="1710">
        <f>(SUM(C34,C37,C38,C39))</f>
        <v>250158</v>
      </c>
      <c r="D41" s="1710">
        <f t="shared" ref="D41:L41" si="2">SUM(D34,D37,D38:D39)</f>
        <v>0</v>
      </c>
      <c r="E41" s="1710">
        <f t="shared" si="2"/>
        <v>0</v>
      </c>
      <c r="F41" s="1710">
        <f t="shared" si="2"/>
        <v>153108</v>
      </c>
      <c r="G41" s="1710">
        <f t="shared" si="2"/>
        <v>0</v>
      </c>
      <c r="H41" s="1710">
        <f t="shared" si="2"/>
        <v>112476</v>
      </c>
      <c r="I41" s="1710">
        <f t="shared" si="2"/>
        <v>0</v>
      </c>
      <c r="J41" s="1710">
        <f t="shared" si="2"/>
        <v>0</v>
      </c>
      <c r="K41" s="1710">
        <f t="shared" si="2"/>
        <v>0</v>
      </c>
      <c r="L41" s="1710">
        <f t="shared" si="2"/>
        <v>0</v>
      </c>
      <c r="M41" s="1710">
        <f>SUM(M40)</f>
        <v>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2" activePane="bottomLeft" state="frozenSplit"/>
      <selection activeCell="A4" sqref="A4:F4"/>
      <selection pane="bottomLeft" activeCell="A4" sqref="A4:F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166374</v>
      </c>
      <c r="D4" s="1764">
        <f>'Revenues 9-14'!D109</f>
        <v>0</v>
      </c>
      <c r="E4" s="1764">
        <f>'Revenues 9-14'!E109</f>
        <v>0</v>
      </c>
      <c r="F4" s="1764">
        <f>'Revenues 9-14'!F109</f>
        <v>24911</v>
      </c>
      <c r="G4" s="1764">
        <f>'Revenues 9-14'!G109</f>
        <v>0</v>
      </c>
      <c r="H4" s="1764">
        <f>'Revenues 9-14'!H109</f>
        <v>30491</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201132</v>
      </c>
      <c r="D6" s="1765">
        <f>'Revenues 9-14'!D173</f>
        <v>0</v>
      </c>
      <c r="E6" s="1765">
        <f>'Revenues 9-14'!E173</f>
        <v>0</v>
      </c>
      <c r="F6" s="1765">
        <f>'Revenues 9-14'!F173</f>
        <v>38558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367506</v>
      </c>
      <c r="D8" s="1710">
        <f t="shared" ref="D8:K8" si="0">SUM(D4:D7)</f>
        <v>0</v>
      </c>
      <c r="E8" s="1710">
        <f t="shared" si="0"/>
        <v>0</v>
      </c>
      <c r="F8" s="1710">
        <f t="shared" si="0"/>
        <v>63469</v>
      </c>
      <c r="G8" s="1710">
        <f t="shared" si="0"/>
        <v>0</v>
      </c>
      <c r="H8" s="1710">
        <f t="shared" si="0"/>
        <v>30491</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367506</v>
      </c>
      <c r="D10" s="1710">
        <f t="shared" ref="D10:K10" si="1">SUM(D8:D9)</f>
        <v>0</v>
      </c>
      <c r="E10" s="1710">
        <f t="shared" si="1"/>
        <v>0</v>
      </c>
      <c r="F10" s="1710">
        <f t="shared" si="1"/>
        <v>63469</v>
      </c>
      <c r="G10" s="1710">
        <f t="shared" si="1"/>
        <v>0</v>
      </c>
      <c r="H10" s="1710">
        <f t="shared" si="1"/>
        <v>30491</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19313</v>
      </c>
      <c r="D13" s="1765">
        <f>'Expenditures 15-22'!K129</f>
        <v>0</v>
      </c>
      <c r="E13" s="469" t="s">
        <v>1231</v>
      </c>
      <c r="F13" s="1765">
        <f>'Expenditures 15-22'!K184</f>
        <v>47663</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420043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439356</v>
      </c>
      <c r="D17" s="1710">
        <f t="shared" si="2"/>
        <v>0</v>
      </c>
      <c r="E17" s="1710">
        <f t="shared" si="2"/>
        <v>0</v>
      </c>
      <c r="F17" s="1710">
        <f t="shared" si="2"/>
        <v>47663</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439356</v>
      </c>
      <c r="D19" s="1710">
        <f t="shared" si="4"/>
        <v>0</v>
      </c>
      <c r="E19" s="1710">
        <f t="shared" si="4"/>
        <v>0</v>
      </c>
      <c r="F19" s="1710">
        <f t="shared" si="4"/>
        <v>47663</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-71850</v>
      </c>
      <c r="D20" s="1768">
        <f t="shared" ref="D20:K20" si="5">D8-D17</f>
        <v>0</v>
      </c>
      <c r="E20" s="1768">
        <f t="shared" si="5"/>
        <v>0</v>
      </c>
      <c r="F20" s="1768">
        <f t="shared" si="5"/>
        <v>15806</v>
      </c>
      <c r="G20" s="1768">
        <f t="shared" si="5"/>
        <v>0</v>
      </c>
      <c r="H20" s="1768">
        <f t="shared" si="5"/>
        <v>30491</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-71850</v>
      </c>
      <c r="D78" s="1724">
        <f t="shared" si="9"/>
        <v>0</v>
      </c>
      <c r="E78" s="1724">
        <f t="shared" si="9"/>
        <v>0</v>
      </c>
      <c r="F78" s="1724">
        <f t="shared" si="9"/>
        <v>15806</v>
      </c>
      <c r="G78" s="1724">
        <f t="shared" si="9"/>
        <v>0</v>
      </c>
      <c r="H78" s="1724">
        <f t="shared" si="9"/>
        <v>30491</v>
      </c>
      <c r="I78" s="1724">
        <f t="shared" si="9"/>
        <v>0</v>
      </c>
      <c r="J78" s="1724">
        <f t="shared" si="9"/>
        <v>0</v>
      </c>
      <c r="K78" s="1724">
        <f t="shared" si="9"/>
        <v>0</v>
      </c>
      <c r="L78" s="533"/>
    </row>
    <row r="79" spans="1:12" ht="13.5" thickTop="1" x14ac:dyDescent="0.2">
      <c r="A79" s="1516" t="s">
        <v>2073</v>
      </c>
      <c r="B79" s="534"/>
      <c r="C79" s="478">
        <v>322008</v>
      </c>
      <c r="D79" s="535"/>
      <c r="E79" s="535"/>
      <c r="F79" s="535">
        <v>137302</v>
      </c>
      <c r="G79" s="535"/>
      <c r="H79" s="535">
        <v>81985</v>
      </c>
      <c r="I79" s="535"/>
      <c r="J79" s="535"/>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250158</v>
      </c>
      <c r="D81" s="1710">
        <f>SUM(D78:D80)</f>
        <v>0</v>
      </c>
      <c r="E81" s="1710">
        <f t="shared" ref="E81:K81" si="10">SUM(E78:E80)</f>
        <v>0</v>
      </c>
      <c r="F81" s="1710">
        <f t="shared" si="10"/>
        <v>153108</v>
      </c>
      <c r="G81" s="1710">
        <f t="shared" si="10"/>
        <v>0</v>
      </c>
      <c r="H81" s="1710">
        <f t="shared" si="10"/>
        <v>112476</v>
      </c>
      <c r="I81" s="1710">
        <f t="shared" si="10"/>
        <v>0</v>
      </c>
      <c r="J81" s="1710">
        <f t="shared" si="10"/>
        <v>0</v>
      </c>
      <c r="K81" s="1710">
        <f t="shared" si="10"/>
        <v>0</v>
      </c>
      <c r="L81" s="347"/>
    </row>
    <row r="82" spans="1:12" ht="0.75" customHeight="1" thickTop="1" thickBot="1" x14ac:dyDescent="0.25">
      <c r="A82" s="536" t="s">
        <v>361</v>
      </c>
      <c r="B82" s="537"/>
      <c r="C82" s="538">
        <f>(C81-C79)</f>
        <v>-71850</v>
      </c>
      <c r="D82" s="538">
        <f t="shared" ref="D82:K82" si="11">(D81-D79)</f>
        <v>0</v>
      </c>
      <c r="E82" s="538">
        <f t="shared" si="11"/>
        <v>0</v>
      </c>
      <c r="F82" s="538">
        <f t="shared" si="11"/>
        <v>15806</v>
      </c>
      <c r="G82" s="538">
        <f t="shared" si="11"/>
        <v>0</v>
      </c>
      <c r="H82" s="538">
        <f t="shared" si="11"/>
        <v>30491</v>
      </c>
      <c r="I82" s="538">
        <f t="shared" si="11"/>
        <v>0</v>
      </c>
      <c r="J82" s="538">
        <f t="shared" si="11"/>
        <v>0</v>
      </c>
      <c r="K82" s="538">
        <f t="shared" si="11"/>
        <v>0</v>
      </c>
    </row>
    <row r="83" spans="1:12" ht="14.25" hidden="1" thickTop="1" thickBot="1" x14ac:dyDescent="0.25">
      <c r="A83" s="539" t="s">
        <v>362</v>
      </c>
      <c r="B83" s="464"/>
      <c r="C83" s="540">
        <f>C82/C81</f>
        <v>-0.28721847792195332</v>
      </c>
      <c r="D83" s="540" t="e">
        <f t="shared" ref="D83:K83" si="12">D82/D81</f>
        <v>#DIV/0!</v>
      </c>
      <c r="E83" s="540" t="e">
        <f t="shared" si="12"/>
        <v>#DIV/0!</v>
      </c>
      <c r="F83" s="540">
        <f t="shared" si="12"/>
        <v>0.10323431825900671</v>
      </c>
      <c r="G83" s="540" t="e">
        <f t="shared" si="12"/>
        <v>#DIV/0!</v>
      </c>
      <c r="H83" s="540">
        <f t="shared" si="12"/>
        <v>0.2710889434190405</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 sqref="A4:F4"/>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134846-C14</f>
        <v>134280</v>
      </c>
      <c r="D5" s="481"/>
      <c r="E5" s="466"/>
      <c r="F5" s="548">
        <f>24911-F14</f>
        <v>24806</v>
      </c>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1997</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136277</v>
      </c>
      <c r="D12" s="1729">
        <f t="shared" si="0"/>
        <v>0</v>
      </c>
      <c r="E12" s="1729">
        <f t="shared" si="0"/>
        <v>0</v>
      </c>
      <c r="F12" s="1729">
        <f t="shared" si="0"/>
        <v>24806</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566</v>
      </c>
      <c r="D14" s="466"/>
      <c r="E14" s="466"/>
      <c r="F14" s="466">
        <v>105</v>
      </c>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27997</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28563</v>
      </c>
      <c r="D18" s="1732">
        <f t="shared" ref="D18:K18" si="1">SUM(D14:D17)</f>
        <v>0</v>
      </c>
      <c r="E18" s="1732">
        <f t="shared" si="1"/>
        <v>0</v>
      </c>
      <c r="F18" s="1732">
        <f t="shared" si="1"/>
        <v>105</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1534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1534</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30491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30491</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166374</v>
      </c>
      <c r="D109" s="1737">
        <f t="shared" si="4"/>
        <v>0</v>
      </c>
      <c r="E109" s="1737">
        <f t="shared" si="4"/>
        <v>0</v>
      </c>
      <c r="F109" s="1737">
        <f t="shared" si="4"/>
        <v>24911</v>
      </c>
      <c r="G109" s="1737">
        <f t="shared" si="4"/>
        <v>0</v>
      </c>
      <c r="H109" s="1737">
        <f t="shared" si="4"/>
        <v>30491</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197386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197386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3110</v>
      </c>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636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3746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33676</v>
      </c>
      <c r="G151" s="467"/>
      <c r="H151" s="468"/>
      <c r="I151" s="468"/>
      <c r="J151" s="468"/>
      <c r="K151" s="468"/>
    </row>
    <row r="152" spans="1:11" ht="12.75" customHeight="1" x14ac:dyDescent="0.2">
      <c r="A152" s="463" t="s">
        <v>1117</v>
      </c>
      <c r="B152" s="562">
        <v>3510</v>
      </c>
      <c r="C152" s="551"/>
      <c r="D152" s="466"/>
      <c r="E152" s="561"/>
      <c r="F152" s="466">
        <v>4882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38558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3746</v>
      </c>
      <c r="D172" s="1744">
        <f t="shared" si="6"/>
        <v>0</v>
      </c>
      <c r="E172" s="1744">
        <f t="shared" si="6"/>
        <v>0</v>
      </c>
      <c r="F172" s="1744">
        <f t="shared" si="6"/>
        <v>38558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201132</v>
      </c>
      <c r="D173" s="1737">
        <f>SUM(D121,D172)</f>
        <v>0</v>
      </c>
      <c r="E173" s="1737">
        <f>SUM(E121,E172)</f>
        <v>0</v>
      </c>
      <c r="F173" s="1737">
        <f t="shared" ref="F173:K173" si="7">SUM(F121,F172)</f>
        <v>38558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367506</v>
      </c>
      <c r="D275" s="1737">
        <f t="shared" si="12"/>
        <v>0</v>
      </c>
      <c r="E275" s="1737">
        <f t="shared" si="12"/>
        <v>0</v>
      </c>
      <c r="F275" s="1737">
        <f t="shared" si="12"/>
        <v>63469</v>
      </c>
      <c r="G275" s="1737">
        <f t="shared" si="12"/>
        <v>0</v>
      </c>
      <c r="H275" s="1737">
        <f t="shared" si="12"/>
        <v>30491</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10" zoomScaleNormal="110" zoomScaleSheetLayoutView="110" workbookViewId="0">
      <pane ySplit="2" topLeftCell="A40" activePane="bottomLeft" state="frozen"/>
      <selection activeCell="A4" sqref="A4:F4"/>
      <selection pane="bottomLeft" activeCell="A4" sqref="A4:F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0</v>
      </c>
      <c r="F33" s="1692">
        <f t="shared" si="1"/>
        <v>0</v>
      </c>
      <c r="G33" s="1692">
        <f t="shared" si="1"/>
        <v>0</v>
      </c>
      <c r="H33" s="1692">
        <f t="shared" si="1"/>
        <v>0</v>
      </c>
      <c r="I33" s="1692">
        <f t="shared" si="1"/>
        <v>0</v>
      </c>
      <c r="J33" s="1692">
        <f t="shared" si="1"/>
        <v>0</v>
      </c>
      <c r="K33" s="1692">
        <f t="shared" si="1"/>
        <v>0</v>
      </c>
      <c r="L33" s="1692">
        <f t="shared" si="1"/>
        <v>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2100+2100+196</f>
        <v>4396</v>
      </c>
      <c r="F49" s="481"/>
      <c r="G49" s="481"/>
      <c r="H49" s="481"/>
      <c r="I49" s="467"/>
      <c r="J49" s="467"/>
      <c r="K49" s="1694">
        <f>SUM(C49:J49)</f>
        <v>4396</v>
      </c>
      <c r="L49" s="481">
        <v>4200</v>
      </c>
    </row>
    <row r="50" spans="1:14" x14ac:dyDescent="0.2">
      <c r="A50" s="1526" t="s">
        <v>872</v>
      </c>
      <c r="B50" s="615">
        <v>2320</v>
      </c>
      <c r="C50" s="466">
        <v>12414</v>
      </c>
      <c r="D50" s="466">
        <f>196+165+170+139</f>
        <v>670</v>
      </c>
      <c r="E50" s="466">
        <v>1800</v>
      </c>
      <c r="F50" s="466">
        <v>33</v>
      </c>
      <c r="G50" s="466"/>
      <c r="H50" s="466"/>
      <c r="I50" s="467"/>
      <c r="J50" s="467"/>
      <c r="K50" s="1694">
        <f>SUM(C50:J50)</f>
        <v>14917</v>
      </c>
      <c r="L50" s="466">
        <v>15130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12414</v>
      </c>
      <c r="D53" s="1692">
        <f t="shared" ref="D53:L53" si="5">SUM(D49:D52)</f>
        <v>670</v>
      </c>
      <c r="E53" s="1692">
        <f t="shared" si="5"/>
        <v>6196</v>
      </c>
      <c r="F53" s="1692">
        <f t="shared" si="5"/>
        <v>33</v>
      </c>
      <c r="G53" s="1692">
        <f t="shared" si="5"/>
        <v>0</v>
      </c>
      <c r="H53" s="1692">
        <f t="shared" si="5"/>
        <v>0</v>
      </c>
      <c r="I53" s="1692">
        <f t="shared" si="5"/>
        <v>0</v>
      </c>
      <c r="J53" s="1692">
        <f t="shared" si="5"/>
        <v>0</v>
      </c>
      <c r="K53" s="1692">
        <f t="shared" si="5"/>
        <v>19313</v>
      </c>
      <c r="L53" s="1692">
        <f t="shared" si="5"/>
        <v>19330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0</v>
      </c>
      <c r="F65" s="1692">
        <f t="shared" si="8"/>
        <v>0</v>
      </c>
      <c r="G65" s="1692">
        <f t="shared" si="8"/>
        <v>0</v>
      </c>
      <c r="H65" s="1692">
        <f t="shared" si="8"/>
        <v>0</v>
      </c>
      <c r="I65" s="1692">
        <f t="shared" si="8"/>
        <v>0</v>
      </c>
      <c r="J65" s="1692">
        <f t="shared" si="8"/>
        <v>0</v>
      </c>
      <c r="K65" s="1692">
        <f t="shared" si="8"/>
        <v>0</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12414</v>
      </c>
      <c r="D74" s="1699">
        <f t="shared" ref="D74:K74" si="10">SUM(D42,D47,D53,D57,D65,D72,D73)</f>
        <v>670</v>
      </c>
      <c r="E74" s="1699">
        <f t="shared" si="10"/>
        <v>6196</v>
      </c>
      <c r="F74" s="1699">
        <f t="shared" si="10"/>
        <v>33</v>
      </c>
      <c r="G74" s="1699">
        <f t="shared" si="10"/>
        <v>0</v>
      </c>
      <c r="H74" s="1699">
        <f t="shared" si="10"/>
        <v>0</v>
      </c>
      <c r="I74" s="1699">
        <f t="shared" si="10"/>
        <v>0</v>
      </c>
      <c r="J74" s="1699">
        <f t="shared" si="10"/>
        <v>0</v>
      </c>
      <c r="K74" s="1699">
        <f t="shared" si="10"/>
        <v>19313</v>
      </c>
      <c r="L74" s="1699">
        <f>SUM(L42,L47,L53,L57,L65,L72,L73)</f>
        <v>19330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v>399218</v>
      </c>
      <c r="I85" s="477"/>
      <c r="J85" s="477"/>
      <c r="K85" s="1699">
        <f>H85</f>
        <v>399218</v>
      </c>
      <c r="L85" s="530">
        <v>353000</v>
      </c>
    </row>
    <row r="86" spans="1:12" ht="12.75" customHeight="1" thickTop="1" thickBot="1" x14ac:dyDescent="0.25">
      <c r="A86" s="1534" t="s">
        <v>723</v>
      </c>
      <c r="B86" s="638">
        <v>4220</v>
      </c>
      <c r="C86" s="617"/>
      <c r="D86" s="617"/>
      <c r="E86" s="639"/>
      <c r="F86" s="617"/>
      <c r="G86" s="617"/>
      <c r="H86" s="467">
        <v>20825</v>
      </c>
      <c r="I86" s="477"/>
      <c r="J86" s="477"/>
      <c r="K86" s="1699">
        <f t="shared" ref="K86:K98" si="12">H86</f>
        <v>20825</v>
      </c>
      <c r="L86" s="530">
        <v>31000</v>
      </c>
    </row>
    <row r="87" spans="1:12" ht="14.25" thickTop="1" thickBot="1" x14ac:dyDescent="0.25">
      <c r="A87" s="1535" t="s">
        <v>724</v>
      </c>
      <c r="B87" s="640">
        <v>4230</v>
      </c>
      <c r="C87" s="617"/>
      <c r="D87" s="617"/>
      <c r="E87" s="639"/>
      <c r="F87" s="617"/>
      <c r="G87" s="617"/>
      <c r="H87" s="467"/>
      <c r="I87" s="477"/>
      <c r="J87" s="477"/>
      <c r="K87" s="1699">
        <f t="shared" si="12"/>
        <v>0</v>
      </c>
      <c r="L87" s="530">
        <v>3000</v>
      </c>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v>300</v>
      </c>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420043</v>
      </c>
      <c r="I92" s="477"/>
      <c r="J92" s="477"/>
      <c r="K92" s="1699">
        <f t="shared" si="12"/>
        <v>420043</v>
      </c>
      <c r="L92" s="1692">
        <f>SUM(L85:L91)</f>
        <v>387300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v>500</v>
      </c>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500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420043</v>
      </c>
      <c r="I102" s="477"/>
      <c r="J102" s="477"/>
      <c r="K102" s="1699">
        <f>SUM(K84,K92,K100,K101)</f>
        <v>420043</v>
      </c>
      <c r="L102" s="1699">
        <f>SUM(L84,L92,L100,L101)</f>
        <v>387800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12414</v>
      </c>
      <c r="D114" s="1692">
        <f t="shared" ref="D114:K114" si="13">SUM(D33,D74,D75,D102,D112,D113)</f>
        <v>670</v>
      </c>
      <c r="E114" s="1692">
        <f t="shared" si="13"/>
        <v>6196</v>
      </c>
      <c r="F114" s="1692">
        <f t="shared" si="13"/>
        <v>33</v>
      </c>
      <c r="G114" s="1692">
        <f t="shared" si="13"/>
        <v>0</v>
      </c>
      <c r="H114" s="1692">
        <f>SUM(H33,H74,H75,H102,H112,H113)</f>
        <v>420043</v>
      </c>
      <c r="I114" s="1692">
        <f t="shared" si="13"/>
        <v>0</v>
      </c>
      <c r="J114" s="1692">
        <f t="shared" si="13"/>
        <v>0</v>
      </c>
      <c r="K114" s="1692">
        <f t="shared" si="13"/>
        <v>439356</v>
      </c>
      <c r="L114" s="1692">
        <f>SUM(L33,L74,L75,L102,L112,L113)</f>
        <v>407130</v>
      </c>
    </row>
    <row r="115" spans="1:14" ht="13.5" thickTop="1" x14ac:dyDescent="0.2">
      <c r="A115" s="2174" t="s">
        <v>1053</v>
      </c>
      <c r="B115" s="2175"/>
      <c r="C115" s="619"/>
      <c r="D115" s="619"/>
      <c r="E115" s="619"/>
      <c r="F115" s="619"/>
      <c r="G115" s="619"/>
      <c r="H115" s="619"/>
      <c r="I115" s="619"/>
      <c r="J115" s="619"/>
      <c r="K115" s="1706">
        <f>'Revenues 9-14'!C275-'Expenditures 15-22'!K114</f>
        <v>-71850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47663</v>
      </c>
      <c r="F182" s="466"/>
      <c r="G182" s="466"/>
      <c r="H182" s="466"/>
      <c r="I182" s="467"/>
      <c r="J182" s="467"/>
      <c r="K182" s="1693">
        <f>SUM(C182:J182)</f>
        <v>47663</v>
      </c>
      <c r="L182" s="466">
        <v>49500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47663</v>
      </c>
      <c r="F184" s="1699">
        <f t="shared" si="17"/>
        <v>0</v>
      </c>
      <c r="G184" s="1699">
        <f t="shared" si="17"/>
        <v>0</v>
      </c>
      <c r="H184" s="1699">
        <f t="shared" si="17"/>
        <v>0</v>
      </c>
      <c r="I184" s="1699">
        <f t="shared" si="17"/>
        <v>0</v>
      </c>
      <c r="J184" s="1699">
        <f t="shared" si="17"/>
        <v>0</v>
      </c>
      <c r="K184" s="1699">
        <f>SUM(K180,K182,K183)</f>
        <v>47663</v>
      </c>
      <c r="L184" s="1699">
        <f>SUM(L180, L182:L183)</f>
        <v>49500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47663</v>
      </c>
      <c r="F210" s="1692">
        <f>SUM(F184,F185)</f>
        <v>0</v>
      </c>
      <c r="G210" s="1692">
        <f>SUM(G184,G185)</f>
        <v>0</v>
      </c>
      <c r="H210" s="1692">
        <f>SUM(H184,H185,H196,H208,H209)</f>
        <v>0</v>
      </c>
      <c r="I210" s="1692">
        <f>SUM(I184,I185)</f>
        <v>0</v>
      </c>
      <c r="J210" s="1692">
        <f>SUM(J184,J185)</f>
        <v>0</v>
      </c>
      <c r="K210" s="1693">
        <f>SUM(K184,K185,K196,K208,K209)</f>
        <v>47663</v>
      </c>
      <c r="L210" s="1692">
        <f>SUM(L184,L185,L196,L208,L209)</f>
        <v>49500</v>
      </c>
    </row>
    <row r="211" spans="1:14" ht="13.5" thickTop="1" x14ac:dyDescent="0.2">
      <c r="A211" s="2174" t="s">
        <v>1053</v>
      </c>
      <c r="B211" s="2175"/>
      <c r="C211" s="619"/>
      <c r="D211" s="619"/>
      <c r="E211" s="619"/>
      <c r="F211" s="619"/>
      <c r="G211" s="619"/>
      <c r="H211" s="619"/>
      <c r="I211" s="617"/>
      <c r="J211" s="617"/>
      <c r="K211" s="1706">
        <f>'Revenues 9-14'!F275-'Expenditures 15-22'!K210</f>
        <v>15806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25000</v>
      </c>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25000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25000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30491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purl.org/dc/elements/1.1/"/>
    <ds:schemaRef ds:uri="http://purl.org/dc/dcmitype/"/>
    <ds:schemaRef ds:uri="http://www.w3.org/XML/1998/namespace"/>
    <ds:schemaRef ds:uri="http://schemas.microsoft.com/office/infopath/2007/PartnerControls"/>
    <ds:schemaRef ds:uri="d21dc803-237d-4c68-8692-8d731fd29118"/>
    <ds:schemaRef ds:uri="http://schemas.openxmlformats.org/package/2006/metadata/core-properties"/>
    <ds:schemaRef ds:uri="4d435f69-8686-490b-bd6d-b153bf22ab50"/>
    <ds:schemaRef ds:uri="6ce3111e-7420-4802-b50a-75d4e9a0b980"/>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2018-11-19T17:51:04Z</cp:lastPrinted>
  <dcterms:created xsi:type="dcterms:W3CDTF">2003-10-29T19:06:34Z</dcterms:created>
  <dcterms:modified xsi:type="dcterms:W3CDTF">2018-12-10T14:46:44Z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