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26" i="127" l="1"/>
  <c r="I39" i="3" l="1"/>
  <c r="K39" i="3"/>
  <c r="J39" i="3"/>
  <c r="G39" i="3"/>
  <c r="F39" i="3"/>
  <c r="D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D7761" i="106" s="1"/>
  <c r="L127" i="29"/>
  <c r="L129" i="29" s="1"/>
  <c r="L139" i="29"/>
  <c r="L149" i="29"/>
  <c r="I7" i="145"/>
  <c r="I6" i="145"/>
  <c r="D78" i="36"/>
  <c r="K75" i="29"/>
  <c r="K130" i="29"/>
  <c r="F56" i="34"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K93" i="29"/>
  <c r="B6997" i="106" s="1"/>
  <c r="D6997" i="106" s="1"/>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B7088" i="106" s="1"/>
  <c r="D7088" i="106" s="1"/>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s="1"/>
  <c r="B6305" i="106"/>
  <c r="D6305" i="106" s="1"/>
  <c r="B6307" i="106"/>
  <c r="D6307" i="106"/>
  <c r="B6308" i="106"/>
  <c r="D6308" i="106" s="1"/>
  <c r="B6309" i="106"/>
  <c r="D6309" i="106" s="1"/>
  <c r="B6310" i="106"/>
  <c r="D6310" i="106" s="1"/>
  <c r="B6311" i="106"/>
  <c r="D6311" i="106"/>
  <c r="B6312" i="106"/>
  <c r="D6312" i="106" s="1"/>
  <c r="B6313" i="106"/>
  <c r="D6313" i="106" s="1"/>
  <c r="B6314" i="106"/>
  <c r="D6314" i="106" s="1"/>
  <c r="B6315" i="106"/>
  <c r="D6315" i="106"/>
  <c r="B6316" i="106"/>
  <c r="D6316" i="106" s="1"/>
  <c r="B6317" i="106"/>
  <c r="D6317" i="106" s="1"/>
  <c r="B6319" i="106"/>
  <c r="D6319" i="106" s="1"/>
  <c r="B6320" i="106"/>
  <c r="D6320" i="106"/>
  <c r="B6321" i="106"/>
  <c r="D6321" i="106" s="1"/>
  <c r="B6322" i="106"/>
  <c r="D6322" i="106" s="1"/>
  <c r="B6323" i="106"/>
  <c r="D6323" i="106" s="1"/>
  <c r="B6324" i="106"/>
  <c r="D6324" i="106"/>
  <c r="B6325" i="106"/>
  <c r="D6325" i="106" s="1"/>
  <c r="B6326" i="106"/>
  <c r="D6326" i="106" s="1"/>
  <c r="B6327" i="106"/>
  <c r="D6327" i="106" s="1"/>
  <c r="B6328" i="106"/>
  <c r="D6328" i="106"/>
  <c r="B6329" i="106"/>
  <c r="D6329" i="106" s="1"/>
  <c r="B6330" i="106"/>
  <c r="D6330" i="106" s="1"/>
  <c r="B6331" i="106"/>
  <c r="D6331" i="106" s="1"/>
  <c r="B6332" i="106"/>
  <c r="D6332" i="106"/>
  <c r="B6333" i="106"/>
  <c r="D6333" i="106" s="1"/>
  <c r="B6334" i="106"/>
  <c r="D6334" i="106" s="1"/>
  <c r="B6335" i="106"/>
  <c r="D6335" i="106" s="1"/>
  <c r="B6336" i="106"/>
  <c r="D6336" i="106"/>
  <c r="B6337" i="106"/>
  <c r="D6337" i="106" s="1"/>
  <c r="B6338" i="106"/>
  <c r="D6338" i="106" s="1"/>
  <c r="B6339" i="106"/>
  <c r="D6339" i="106" s="1"/>
  <c r="B6340" i="106"/>
  <c r="D6340" i="106"/>
  <c r="B6341" i="106"/>
  <c r="D6341" i="106" s="1"/>
  <c r="B6342" i="106"/>
  <c r="D6342" i="106" s="1"/>
  <c r="B6343" i="106"/>
  <c r="D6343" i="106" s="1"/>
  <c r="B6344" i="106"/>
  <c r="D6344" i="106"/>
  <c r="B6345" i="106"/>
  <c r="D6345" i="106" s="1"/>
  <c r="B6346" i="106"/>
  <c r="D6346" i="106" s="1"/>
  <c r="B6347" i="106"/>
  <c r="D6347" i="106" s="1"/>
  <c r="B6348" i="106"/>
  <c r="D6348" i="106"/>
  <c r="B6349" i="106"/>
  <c r="D6349" i="106" s="1"/>
  <c r="B6350" i="106"/>
  <c r="D6350" i="106" s="1"/>
  <c r="B6353" i="106"/>
  <c r="D6353" i="106" s="1"/>
  <c r="B6354" i="106"/>
  <c r="D6354" i="106" s="1"/>
  <c r="B6355" i="106"/>
  <c r="D6355" i="106" s="1"/>
  <c r="B6356" i="106"/>
  <c r="D6356" i="106"/>
  <c r="B6358" i="106"/>
  <c r="D6358" i="106" s="1"/>
  <c r="B6359" i="106"/>
  <c r="D6359" i="106" s="1"/>
  <c r="B6360" i="106"/>
  <c r="D6360" i="106" s="1"/>
  <c r="B6361" i="106"/>
  <c r="D6361" i="106"/>
  <c r="B6362" i="106"/>
  <c r="D6362" i="106" s="1"/>
  <c r="B6363" i="106"/>
  <c r="D6363" i="106" s="1"/>
  <c r="B6364" i="106"/>
  <c r="D6364" i="106" s="1"/>
  <c r="B6365" i="106"/>
  <c r="D6365" i="106"/>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c r="B6378" i="106"/>
  <c r="D6378" i="106" s="1"/>
  <c r="B6379" i="106"/>
  <c r="D6379" i="106" s="1"/>
  <c r="B6380" i="106"/>
  <c r="D6380" i="106" s="1"/>
  <c r="B6381" i="106"/>
  <c r="D6381" i="106"/>
  <c r="B6382" i="106"/>
  <c r="D6382" i="106" s="1"/>
  <c r="B6383" i="106"/>
  <c r="D6383" i="106" s="1"/>
  <c r="B6384" i="106"/>
  <c r="D6384" i="106" s="1"/>
  <c r="B6385" i="106"/>
  <c r="D6385" i="106"/>
  <c r="B6386" i="106"/>
  <c r="D6386" i="106" s="1"/>
  <c r="B6387" i="106"/>
  <c r="D6387" i="106" s="1"/>
  <c r="B6388" i="106"/>
  <c r="D6388" i="106" s="1"/>
  <c r="B6389" i="106"/>
  <c r="D6389" i="106"/>
  <c r="B6390" i="106"/>
  <c r="D6390" i="106" s="1"/>
  <c r="B6391" i="106"/>
  <c r="D6391" i="106" s="1"/>
  <c r="B6392" i="106"/>
  <c r="D6392" i="106" s="1"/>
  <c r="B6393" i="106"/>
  <c r="D6393" i="106"/>
  <c r="B6394" i="106"/>
  <c r="D6394" i="106" s="1"/>
  <c r="B6395" i="106"/>
  <c r="D6395" i="106" s="1"/>
  <c r="B6398" i="106"/>
  <c r="D6398" i="106" s="1"/>
  <c r="B6399" i="106"/>
  <c r="D6399" i="106"/>
  <c r="B6401" i="106"/>
  <c r="D6401" i="106" s="1"/>
  <c r="B6402" i="106"/>
  <c r="D6402" i="106" s="1"/>
  <c r="B6403" i="106"/>
  <c r="D6403" i="106" s="1"/>
  <c r="B6404" i="106"/>
  <c r="D6404" i="106"/>
  <c r="B6405" i="106"/>
  <c r="D6405" i="106" s="1"/>
  <c r="B6406" i="106"/>
  <c r="D6406" i="106" s="1"/>
  <c r="B6407" i="106"/>
  <c r="D6407" i="106" s="1"/>
  <c r="B6408" i="106"/>
  <c r="D6408" i="106"/>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c r="B6621" i="106"/>
  <c r="D6621" i="106" s="1"/>
  <c r="B6622" i="106"/>
  <c r="D6622" i="106" s="1"/>
  <c r="B6623" i="106"/>
  <c r="D6623" i="106" s="1"/>
  <c r="B6624" i="106"/>
  <c r="D6624" i="106"/>
  <c r="B6625" i="106"/>
  <c r="D6625" i="106" s="1"/>
  <c r="B6626" i="106"/>
  <c r="D6626" i="106" s="1"/>
  <c r="B6627" i="106"/>
  <c r="D6627" i="106" s="1"/>
  <c r="B6628" i="106"/>
  <c r="D6628" i="106"/>
  <c r="B6629" i="106"/>
  <c r="D6629" i="106" s="1"/>
  <c r="B6630" i="106"/>
  <c r="D6630" i="106" s="1"/>
  <c r="B6631" i="106"/>
  <c r="D6631" i="106" s="1"/>
  <c r="B6632" i="106"/>
  <c r="D6632" i="106"/>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c r="B6645" i="106"/>
  <c r="D6645" i="106" s="1"/>
  <c r="B6646" i="106"/>
  <c r="D6646" i="106" s="1"/>
  <c r="B6647" i="106"/>
  <c r="D6647" i="106" s="1"/>
  <c r="B6648" i="106"/>
  <c r="D6648" i="106"/>
  <c r="B6649" i="106"/>
  <c r="D6649" i="106" s="1"/>
  <c r="B6650" i="106"/>
  <c r="D6650" i="106" s="1"/>
  <c r="B6651" i="106"/>
  <c r="D6651" i="106" s="1"/>
  <c r="B6652" i="106"/>
  <c r="D6652" i="106"/>
  <c r="B6653" i="106"/>
  <c r="D6653" i="106" s="1"/>
  <c r="B6654" i="106"/>
  <c r="D6654" i="106" s="1"/>
  <c r="B6655" i="106"/>
  <c r="D6655" i="106" s="1"/>
  <c r="B6656" i="106"/>
  <c r="D6656" i="106"/>
  <c r="B6657" i="106"/>
  <c r="D6657" i="106" s="1"/>
  <c r="B6658" i="106"/>
  <c r="D6658" i="106" s="1"/>
  <c r="B6659" i="106"/>
  <c r="D6659" i="106" s="1"/>
  <c r="B6660" i="106"/>
  <c r="D6660" i="106"/>
  <c r="B6661" i="106"/>
  <c r="D6661" i="106" s="1"/>
  <c r="B6662" i="106"/>
  <c r="D6662" i="106" s="1"/>
  <c r="B6663" i="106"/>
  <c r="D6663" i="106" s="1"/>
  <c r="B6664" i="106"/>
  <c r="D6664" i="106"/>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c r="B6681" i="106"/>
  <c r="D6681" i="106" s="1"/>
  <c r="B6682" i="106"/>
  <c r="D6682" i="106" s="1"/>
  <c r="B6683" i="106"/>
  <c r="D6683" i="106" s="1"/>
  <c r="B6684" i="106"/>
  <c r="D6684" i="106"/>
  <c r="B6685" i="106"/>
  <c r="D6685" i="106" s="1"/>
  <c r="B6686" i="106"/>
  <c r="D6686" i="106" s="1"/>
  <c r="B6687" i="106"/>
  <c r="D6687" i="106" s="1"/>
  <c r="B6688" i="106"/>
  <c r="D6688" i="106"/>
  <c r="B6689" i="106"/>
  <c r="D6689" i="106" s="1"/>
  <c r="B6690" i="106"/>
  <c r="D6690" i="106" s="1"/>
  <c r="B6691" i="106"/>
  <c r="D6691" i="106" s="1"/>
  <c r="B6692" i="106"/>
  <c r="D6692" i="106"/>
  <c r="B6693" i="106"/>
  <c r="D6693" i="106" s="1"/>
  <c r="B6694" i="106"/>
  <c r="D6694" i="106" s="1"/>
  <c r="B6695" i="106"/>
  <c r="D6695" i="106" s="1"/>
  <c r="B6696" i="106"/>
  <c r="D6696" i="106"/>
  <c r="B6697" i="106"/>
  <c r="D6697" i="106" s="1"/>
  <c r="B6698" i="106"/>
  <c r="D6698" i="106" s="1"/>
  <c r="B6699" i="106"/>
  <c r="D6699" i="106" s="1"/>
  <c r="B6700" i="106"/>
  <c r="D6700" i="106"/>
  <c r="B6701" i="106"/>
  <c r="D6701" i="106" s="1"/>
  <c r="B6702" i="106"/>
  <c r="D6702" i="106" s="1"/>
  <c r="B6703" i="106"/>
  <c r="D6703" i="106" s="1"/>
  <c r="B6704" i="106"/>
  <c r="D6704" i="106"/>
  <c r="B6705" i="106"/>
  <c r="D6705" i="106" s="1"/>
  <c r="B6706" i="106"/>
  <c r="D6706" i="106" s="1"/>
  <c r="B6707" i="106"/>
  <c r="D6707" i="106" s="1"/>
  <c r="B6708" i="106"/>
  <c r="D6708" i="106"/>
  <c r="B6709" i="106"/>
  <c r="D6709" i="106" s="1"/>
  <c r="B6710" i="106"/>
  <c r="D6710" i="106" s="1"/>
  <c r="B6711" i="106"/>
  <c r="D6711" i="106" s="1"/>
  <c r="B6712" i="106"/>
  <c r="D6712" i="106"/>
  <c r="B6713" i="106"/>
  <c r="D6713" i="106" s="1"/>
  <c r="B6714" i="106"/>
  <c r="D6714" i="106" s="1"/>
  <c r="B6715" i="106"/>
  <c r="D6715" i="106" s="1"/>
  <c r="B6716" i="106"/>
  <c r="D6716" i="106"/>
  <c r="B6717" i="106"/>
  <c r="D6717" i="106" s="1"/>
  <c r="B6718" i="106"/>
  <c r="D6718" i="106" s="1"/>
  <c r="B6719" i="106"/>
  <c r="D6719" i="106" s="1"/>
  <c r="B6720" i="106"/>
  <c r="D6720" i="106"/>
  <c r="B6721" i="106"/>
  <c r="D6721" i="106" s="1"/>
  <c r="B6722" i="106"/>
  <c r="D6722" i="106" s="1"/>
  <c r="B6723" i="106"/>
  <c r="D6723" i="106" s="1"/>
  <c r="B6724" i="106"/>
  <c r="D6724" i="106"/>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E26" i="108"/>
  <c r="F26" i="108"/>
  <c r="G26" i="108"/>
  <c r="E27" i="108"/>
  <c r="G27" i="108"/>
  <c r="F31" i="108"/>
  <c r="F36" i="108"/>
  <c r="F37" i="108"/>
  <c r="G28" i="108"/>
  <c r="E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C51" i="34"/>
  <c r="D51" i="34"/>
  <c r="C52" i="34"/>
  <c r="F52" i="34"/>
  <c r="C53" i="34"/>
  <c r="D53" i="34"/>
  <c r="C56" i="34"/>
  <c r="C57" i="34"/>
  <c r="D57" i="34"/>
  <c r="C61" i="34"/>
  <c r="C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C14" i="4"/>
  <c r="B2558" i="106" s="1"/>
  <c r="D2558" i="106" s="1"/>
  <c r="D14" i="4"/>
  <c r="B2570" i="106" s="1"/>
  <c r="D2570" i="106" s="1"/>
  <c r="B2633" i="106"/>
  <c r="D2633" i="106" s="1"/>
  <c r="D7" i="118"/>
  <c r="D8" i="118"/>
  <c r="D9" i="118"/>
  <c r="H14" i="118"/>
  <c r="H19" i="118"/>
  <c r="H24" i="118"/>
  <c r="D22" i="37"/>
  <c r="J22" i="37"/>
  <c r="D4" i="7"/>
  <c r="B1760" i="106" s="1"/>
  <c r="D1760" i="106" s="1"/>
  <c r="D13" i="7"/>
  <c r="B3726" i="106" s="1"/>
  <c r="D3726" i="106" s="1"/>
  <c r="D9" i="7"/>
  <c r="B1767" i="106" s="1"/>
  <c r="D1767" i="106" s="1"/>
  <c r="B5752" i="106"/>
  <c r="D5752" i="106" s="1"/>
  <c r="D17" i="7"/>
  <c r="B4104" i="106" s="1"/>
  <c r="D4104" i="106" s="1"/>
  <c r="F131" i="34" l="1"/>
  <c r="B3647" i="106"/>
  <c r="D3647" i="106" s="1"/>
  <c r="G352" i="29"/>
  <c r="B1995" i="106"/>
  <c r="D1995" i="106" s="1"/>
  <c r="I24" i="12"/>
  <c r="I26" i="12" s="1"/>
  <c r="B7741" i="106" s="1"/>
  <c r="D7741" i="106" s="1"/>
  <c r="B7727" i="106"/>
  <c r="D7727" i="106" s="1"/>
  <c r="J23" i="12"/>
  <c r="F106" i="34"/>
  <c r="D24" i="37"/>
  <c r="B4270" i="106" s="1"/>
  <c r="D4270" i="106" s="1"/>
  <c r="D5" i="4"/>
  <c r="B3406" i="106" s="1"/>
  <c r="D3406" i="106" s="1"/>
  <c r="B4413" i="106"/>
  <c r="D4413" i="106" s="1"/>
  <c r="F50" i="34"/>
  <c r="F46" i="34"/>
  <c r="D7245" i="106"/>
  <c r="F77" i="4"/>
  <c r="B3255" i="106" s="1"/>
  <c r="D3255" i="106" s="1"/>
  <c r="L22" i="37"/>
  <c r="B2734" i="106"/>
  <c r="D2734" i="106" s="1"/>
  <c r="D6103" i="106"/>
  <c r="K76" i="4"/>
  <c r="B3586" i="106" s="1"/>
  <c r="D3586" i="106" s="1"/>
  <c r="G15" i="145"/>
  <c r="K350" i="29"/>
  <c r="B3670" i="106" s="1"/>
  <c r="D3670" i="106" s="1"/>
  <c r="L5" i="11"/>
  <c r="B2056" i="106" s="1"/>
  <c r="D2056" i="106" s="1"/>
  <c r="L15" i="11"/>
  <c r="B3459" i="106" s="1"/>
  <c r="D3459" i="106" s="1"/>
  <c r="H33" i="118"/>
  <c r="F111" i="34"/>
  <c r="I173" i="5"/>
  <c r="B4216" i="106" s="1"/>
  <c r="D4216" i="106" s="1"/>
  <c r="G172" i="5"/>
  <c r="L342" i="29"/>
  <c r="J41" i="3"/>
  <c r="B4268" i="106"/>
  <c r="D4268" i="106" s="1"/>
  <c r="L13" i="11"/>
  <c r="B2060" i="106" s="1"/>
  <c r="D2060" i="106" s="1"/>
  <c r="B1996" i="106"/>
  <c r="D1996" i="106" s="1"/>
  <c r="K24" i="12"/>
  <c r="H28" i="118"/>
  <c r="K28" i="118" s="1"/>
  <c r="O27" i="118" s="1"/>
  <c r="O29" i="118" s="1"/>
  <c r="F128" i="34"/>
  <c r="F21" i="8"/>
  <c r="B1879" i="106" s="1"/>
  <c r="D1879" i="106" s="1"/>
  <c r="G39" i="108"/>
  <c r="H365" i="29"/>
  <c r="B7242" i="106" s="1"/>
  <c r="D7242" i="106" s="1"/>
  <c r="C342" i="29"/>
  <c r="B7216" i="106" s="1"/>
  <c r="D7216" i="106" s="1"/>
  <c r="F27" i="108"/>
  <c r="B5096" i="106"/>
  <c r="D5096" i="106" s="1"/>
  <c r="C109" i="5"/>
  <c r="B5121" i="106" s="1"/>
  <c r="D5121" i="106" s="1"/>
  <c r="B1746" i="106"/>
  <c r="D1746" i="106" s="1"/>
  <c r="G173" i="5"/>
  <c r="B5778" i="106" s="1"/>
  <c r="D5778" i="106" s="1"/>
  <c r="B5770" i="106"/>
  <c r="D5770" i="106" s="1"/>
  <c r="F62" i="34"/>
  <c r="B4357" i="106"/>
  <c r="D4357" i="106" s="1"/>
  <c r="D31" i="36"/>
  <c r="C172" i="5"/>
  <c r="F127" i="34"/>
  <c r="D5" i="7"/>
  <c r="B1761" i="106" s="1"/>
  <c r="D1761" i="106" s="1"/>
  <c r="D11" i="37"/>
  <c r="B4395" i="106"/>
  <c r="D4395" i="106" s="1"/>
  <c r="K173" i="5"/>
  <c r="K6" i="4" s="1"/>
  <c r="B3570" i="106" s="1"/>
  <c r="D3570" i="106" s="1"/>
  <c r="F45" i="34"/>
  <c r="F36" i="34"/>
  <c r="H112" i="29"/>
  <c r="B7018" i="106" s="1"/>
  <c r="D7018" i="106" s="1"/>
  <c r="B3649" i="106"/>
  <c r="D3649" i="106" s="1"/>
  <c r="G367" i="29"/>
  <c r="B3650" i="106" s="1"/>
  <c r="D3650" i="106" s="1"/>
  <c r="K285" i="29"/>
  <c r="B1329" i="106"/>
  <c r="D1329" i="106" s="1"/>
  <c r="F61" i="34"/>
  <c r="K184" i="29"/>
  <c r="F13" i="4" s="1"/>
  <c r="B2596" i="106" s="1"/>
  <c r="D2596" i="106" s="1"/>
  <c r="H22" i="37"/>
  <c r="D69" i="36"/>
  <c r="K41" i="3"/>
  <c r="H76" i="4"/>
  <c r="B3298" i="106" s="1"/>
  <c r="D3298" i="106" s="1"/>
  <c r="B2805" i="106"/>
  <c r="D2805" i="106" s="1"/>
  <c r="B2724" i="106"/>
  <c r="D2724" i="106" s="1"/>
  <c r="B1124" i="106"/>
  <c r="D1124" i="106" s="1"/>
  <c r="D109" i="5"/>
  <c r="B6995" i="106"/>
  <c r="D6995" i="106" s="1"/>
  <c r="B3621" i="106"/>
  <c r="D3621" i="106" s="1"/>
  <c r="C367" i="29"/>
  <c r="H109" i="5"/>
  <c r="I342" i="29"/>
  <c r="B7222" i="106" s="1"/>
  <c r="D7222" i="106" s="1"/>
  <c r="E38" i="108"/>
  <c r="G30" i="108"/>
  <c r="F28" i="108"/>
  <c r="G5" i="4"/>
  <c r="B3409" i="106" s="1"/>
  <c r="D3409" i="106" s="1"/>
  <c r="F44" i="34"/>
  <c r="F41" i="34"/>
  <c r="F35" i="34"/>
  <c r="E30" i="108"/>
  <c r="E28" i="108"/>
  <c r="D54" i="36"/>
  <c r="H342" i="29"/>
  <c r="K352" i="29"/>
  <c r="K13" i="4" s="1"/>
  <c r="B3572" i="106" s="1"/>
  <c r="D3572" i="106" s="1"/>
  <c r="G109" i="5"/>
  <c r="B6289" i="106"/>
  <c r="D6289" i="106" s="1"/>
  <c r="E109" i="5"/>
  <c r="E4" i="4" s="1"/>
  <c r="B2630" i="106" s="1"/>
  <c r="D2630" i="106" s="1"/>
  <c r="B2836" i="106"/>
  <c r="D2836" i="106" s="1"/>
  <c r="H173" i="5"/>
  <c r="J274" i="5"/>
  <c r="B7054" i="106" s="1"/>
  <c r="D7054" i="106" s="1"/>
  <c r="F19" i="7"/>
  <c r="B1807" i="106" s="1"/>
  <c r="D1807" i="106" s="1"/>
  <c r="G38" i="108"/>
  <c r="D15" i="7"/>
  <c r="B1772" i="106" s="1"/>
  <c r="D1772" i="106" s="1"/>
  <c r="K274" i="5"/>
  <c r="K7" i="4" s="1"/>
  <c r="B3718" i="106" s="1"/>
  <c r="D3718" i="106" s="1"/>
  <c r="F130" i="34"/>
  <c r="N22" i="3"/>
  <c r="B283" i="106" s="1"/>
  <c r="D283" i="106" s="1"/>
  <c r="G14" i="4"/>
  <c r="B2609" i="106" s="1"/>
  <c r="D2609" i="106" s="1"/>
  <c r="D11" i="7"/>
  <c r="B1768" i="106" s="1"/>
  <c r="D1768" i="106" s="1"/>
  <c r="D12" i="7"/>
  <c r="B1769" i="106" s="1"/>
  <c r="D1769" i="106" s="1"/>
  <c r="D7" i="7"/>
  <c r="B1763" i="106" s="1"/>
  <c r="D1763" i="106" s="1"/>
  <c r="F136" i="34"/>
  <c r="F172" i="5"/>
  <c r="B5644" i="106" s="1"/>
  <c r="D5644" i="106" s="1"/>
  <c r="L312" i="29"/>
  <c r="G29" i="108"/>
  <c r="B3689" i="106"/>
  <c r="D368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3447" i="106"/>
  <c r="D3447" i="106" s="1"/>
  <c r="B7270" i="106"/>
  <c r="D7255" i="106" l="1"/>
  <c r="D7253" i="106"/>
  <c r="F41" i="108"/>
  <c r="G43" i="108" s="1"/>
  <c r="B1381" i="106"/>
  <c r="D1381" i="106" s="1"/>
  <c r="L16" i="11"/>
  <c r="B2061" i="106" s="1"/>
  <c r="D2061" i="106" s="1"/>
  <c r="B7733" i="106"/>
  <c r="D7733" i="106" s="1"/>
  <c r="K26" i="12"/>
  <c r="B7743" i="106" s="1"/>
  <c r="D7743" i="106" s="1"/>
  <c r="N23" i="3"/>
  <c r="B284" i="106" s="1"/>
  <c r="D284" i="106" s="1"/>
  <c r="C114" i="29"/>
  <c r="B757" i="106" s="1"/>
  <c r="D757" i="106" s="1"/>
  <c r="C4" i="4"/>
  <c r="B2551" i="106" s="1"/>
  <c r="D2551" i="106" s="1"/>
  <c r="B5527" i="106"/>
  <c r="D5527" i="106" s="1"/>
  <c r="D44" i="36"/>
  <c r="B6025" i="106"/>
  <c r="D6025" i="106" s="1"/>
  <c r="H4" i="4"/>
  <c r="D19" i="7"/>
  <c r="B1775" i="106" s="1"/>
  <c r="D1775" i="106" s="1"/>
  <c r="B6022" i="106"/>
  <c r="D6022" i="106" s="1"/>
  <c r="D274" i="5"/>
  <c r="D7" i="4" s="1"/>
  <c r="B3628" i="106"/>
  <c r="D3628" i="106" s="1"/>
  <c r="B5356" i="106"/>
  <c r="D5356" i="106" s="1"/>
  <c r="D4" i="4"/>
  <c r="B2564" i="106" s="1"/>
  <c r="D2564" i="106" s="1"/>
  <c r="F274" i="5"/>
  <c r="B3568" i="106"/>
  <c r="D3568" i="106" s="1"/>
  <c r="D52" i="36"/>
  <c r="F173" i="5"/>
  <c r="B5906" i="106"/>
  <c r="D5906" i="106" s="1"/>
  <c r="H6" i="4"/>
  <c r="B2656" i="106" s="1"/>
  <c r="D2656" i="106" s="1"/>
  <c r="K342" i="29"/>
  <c r="F13" i="34" s="1"/>
  <c r="B6024" i="106"/>
  <c r="D6024" i="106" s="1"/>
  <c r="G4" i="4"/>
  <c r="B2603" i="106" s="1"/>
  <c r="D2603" i="106" s="1"/>
  <c r="H275" i="5"/>
  <c r="B5214" i="106"/>
  <c r="D5214" i="106" s="1"/>
  <c r="C173" i="5"/>
  <c r="K367" i="29"/>
  <c r="H77" i="4"/>
  <c r="B3299" i="106" s="1"/>
  <c r="D3299" i="106" s="1"/>
  <c r="B3672" i="106"/>
  <c r="D3672" i="106" s="1"/>
  <c r="D7252" i="106"/>
  <c r="L114" i="29"/>
  <c r="B6014" i="106"/>
  <c r="D6014" i="106" s="1"/>
  <c r="H367" i="29"/>
  <c r="B3660" i="106" s="1"/>
  <c r="D3660" i="106" s="1"/>
  <c r="F73" i="34"/>
  <c r="G15" i="4"/>
  <c r="B6032" i="106" s="1"/>
  <c r="D603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5507" i="106"/>
  <c r="D5507" i="106" s="1"/>
  <c r="B7298" i="106"/>
  <c r="B7299" i="106"/>
  <c r="J17" i="4" l="1"/>
  <c r="J19" i="4" s="1"/>
  <c r="B6229" i="106" s="1"/>
  <c r="D6229" i="106" s="1"/>
  <c r="B1145" i="106"/>
  <c r="D1145" i="106" s="1"/>
  <c r="B5223" i="106"/>
  <c r="D5223" i="106" s="1"/>
  <c r="C6" i="4"/>
  <c r="B2553" i="106" s="1"/>
  <c r="D2553" i="106" s="1"/>
  <c r="F275" i="5"/>
  <c r="B5720" i="106" s="1"/>
  <c r="D5720" i="106" s="1"/>
  <c r="B5653" i="106"/>
  <c r="D5653" i="106" s="1"/>
  <c r="F6" i="4"/>
  <c r="B2593" i="106" s="1"/>
  <c r="D2593" i="106" s="1"/>
  <c r="G41" i="108"/>
  <c r="G44" i="108" s="1"/>
  <c r="G45" i="108" s="1"/>
  <c r="B2655" i="106"/>
  <c r="D2655" i="106" s="1"/>
  <c r="H8" i="4"/>
  <c r="B7224" i="106"/>
  <c r="D7224" i="106" s="1"/>
  <c r="J8" i="4"/>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20" i="4" l="1"/>
  <c r="B6230" i="106" s="1"/>
  <c r="D6230" i="106" s="1"/>
  <c r="J10" i="4"/>
  <c r="B6225" i="106" s="1"/>
  <c r="D6225" i="106" s="1"/>
  <c r="H10" i="4"/>
  <c r="B4127" i="106" s="1"/>
  <c r="D4127" i="106" s="1"/>
  <c r="B2658" i="106"/>
  <c r="D2658" i="106" s="1"/>
  <c r="F76" i="34"/>
  <c r="D10" i="171"/>
  <c r="D19" i="171" s="1"/>
  <c r="D32" i="171" s="1"/>
  <c r="D49" i="171" s="1"/>
  <c r="F8" i="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J81" i="4" s="1"/>
  <c r="D8" i="146"/>
  <c r="B2595" i="106"/>
  <c r="D2595" i="106" s="1"/>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78" i="4"/>
  <c r="B2574" i="106"/>
  <c r="D2574" i="106" s="1"/>
  <c r="F179" i="34" l="1"/>
  <c r="F79" i="34"/>
  <c r="B6263" i="106"/>
  <c r="D6263" i="106" s="1"/>
  <c r="D10" i="146"/>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<sst xmlns="http://schemas.openxmlformats.org/spreadsheetml/2006/main" count="5099" uniqueCount="2132">
  <si>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</si>
  <si>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</si>
  <si>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</si>
  <si>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</si>
  <si>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</si>
  <si>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</si>
  <si>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</si>
  <si>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</si>
  <si>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</si>
  <si>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</si>
  <si>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</si>
  <si>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</si>
  <si>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</si>
  <si>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</si>
  <si>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</si>
  <si>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</si>
  <si>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</si>
  <si>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</si>
  <si>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</si>
  <si>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</si>
  <si>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</si>
  <si>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</si>
  <si>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</si>
  <si>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</si>
  <si>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</si>
  <si>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</si>
  <si>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</si>
  <si>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</si>
  <si>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</si>
  <si>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</si>
  <si>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</si>
  <si>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</si>
  <si>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</si>
  <si>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</si>
  <si>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</si>
  <si>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</si>
  <si>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</si>
  <si>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</si>
  <si>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</si>
  <si>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</si>
  <si>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</si>
  <si>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</si>
  <si>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</si>
  <si>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</si>
  <si>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</si>
  <si>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</si>
  <si>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</si>
  <si>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</si>
  <si>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</si>
  <si>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</si>
  <si>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</si>
  <si>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</si>
  <si>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</si>
  <si>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</si>
  <si>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</si>
  <si>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</si>
  <si>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</si>
  <si>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</si>
  <si>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</si>
  <si>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</si>
  <si>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</si>
  <si>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</si>
  <si>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</si>
  <si>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</si>
  <si>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</si>
  <si>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</si>
  <si>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</si>
  <si>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</si>
  <si>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</si>
  <si>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</si>
  <si>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</si>
  <si>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</si>
  <si>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</si>
  <si>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</si>
  <si>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</si>
  <si>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</si>
  <si>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</si>
  <si>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</si>
  <si>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</si>
  <si>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</si>
  <si>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</si>
  <si>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</si>
  <si>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</si>
  <si>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</si>
  <si>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</si>
  <si>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</si>
  <si>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</si>
  <si>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</si>
  <si>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</si>
  <si>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</si>
  <si>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</si>
  <si>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</si>
  <si>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</si>
  <si>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</si>
  <si>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</si>
  <si>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</si>
  <si>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</si>
  <si>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</si>
  <si>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</si>
  <si>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</si>
  <si>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</si>
  <si>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</si>
  <si>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</si>
  <si>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</si>
  <si>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</si>
  <si>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</si>
  <si>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</si>
  <si>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</si>
  <si>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</si>
  <si>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</si>
  <si>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</si>
  <si>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</si>
  <si>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</si>
  <si>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</si>
  <si>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</si>
  <si>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</si>
  <si>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</si>
  <si>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</si>
  <si>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</si>
  <si>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</si>
  <si>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</si>
  <si>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</si>
  <si>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</si>
  <si>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</si>
  <si>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</si>
  <si>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</si>
  <si>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</si>
  <si>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</si>
  <si>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</si>
  <si>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</si>
  <si>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</si>
  <si>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</si>
  <si>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</si>
  <si>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</si>
  <si>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</si>
  <si>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</si>
  <si>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</si>
  <si>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</si>
  <si>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</si>
  <si>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</si>
  <si>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</si>
  <si>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</si>
  <si>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</si>
  <si>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</si>
  <si>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</si>
  <si>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</si>
  <si>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</si>
  <si>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</si>
  <si>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</si>
  <si>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</si>
  <si>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</si>
  <si>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</si>
  <si>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</si>
  <si>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</si>
  <si>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</si>
  <si>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</si>
  <si>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</si>
  <si>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</si>
  <si>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</si>
  <si>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</si>
  <si>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</si>
  <si>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</si>
  <si>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</si>
  <si>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</si>
  <si>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</si>
  <si>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</si>
  <si>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</si>
  <si>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</si>
  <si>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</si>
  <si>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</si>
  <si>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</si>
  <si>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</si>
  <si>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</si>
  <si>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</si>
  <si>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</si>
  <si>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</si>
  <si>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</si>
  <si>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</si>
  <si>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</si>
  <si>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</si>
  <si>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</si>
  <si>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</si>
  <si>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</si>
  <si>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</si>
  <si>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</si>
  <si>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</si>
  <si>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</si>
  <si>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</si>
  <si>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</si>
  <si>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</si>
  <si>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</si>
  <si>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</si>
  <si>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</si>
  <si>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</si>
  <si>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</si>
  <si>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</si>
  <si>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</si>
  <si>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</si>
  <si>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</si>
  <si>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</si>
  <si>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</si>
  <si>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</si>
  <si>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</si>
  <si>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</si>
  <si>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</si>
  <si>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</si>
  <si>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</si>
  <si>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</si>
  <si>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</si>
  <si>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</si>
  <si>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</si>
  <si>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</si>
  <si>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</si>
  <si>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</si>
  <si>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</si>
  <si>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</si>
  <si>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</si>
  <si>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</si>
  <si>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</si>
  <si>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</si>
  <si>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</si>
  <si>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</si>
  <si>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</si>
  <si>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</si>
  <si>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</si>
  <si>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</si>
  <si>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</si>
  <si>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</si>
  <si>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</si>
  <si>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</si>
  <si>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</si>
  <si>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</si>
  <si>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</si>
  <si>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</si>
  <si>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</si>
  <si>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</si>
  <si>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</si>
  <si>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</si>
  <si>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</si>
  <si>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</si>
  <si>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</si>
  <si>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</si>
  <si>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</si>
  <si>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</si>
  <si>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</si>
  <si>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</si>
  <si>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</si>
  <si>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</si>
  <si>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</si>
  <si>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</si>
  <si>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</si>
  <si>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</si>
  <si>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</si>
  <si>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</si>
  <si>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</si>
  <si>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</si>
  <si>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</si>
  <si>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</si>
  <si>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</si>
  <si>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</si>
  <si>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</si>
  <si>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</si>
  <si>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</si>
  <si>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</si>
  <si>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</si>
  <si>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</si>
  <si>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</si>
  <si>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</si>
  <si>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</si>
  <si>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</si>
  <si>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</si>
  <si>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</si>
  <si>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</si>
  <si>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</si>
  <si>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</si>
  <si>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</si>
  <si>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</si>
  <si>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</si>
  <si>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</si>
  <si>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</si>
  <si>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</si>
  <si>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</si>
  <si>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</si>
  <si>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</si>
  <si>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</si>
  <si>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</si>
  <si>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</si>
  <si>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</si>
  <si>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</si>
  <si>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</si>
  <si>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</si>
  <si>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</si>
  <si>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</si>
  <si>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</si>
  <si>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</si>
  <si>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</si>
  <si>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</si>
  <si>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</si>
  <si>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</si>
  <si>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</si>
  <si>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</si>
  <si>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</si>
  <si>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</si>
  <si>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</si>
  <si>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</si>
  <si>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</si>
  <si>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</si>
  <si>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</si>
  <si>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</si>
  <si>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</si>
  <si>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</si>
  <si>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</si>
  <si>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</si>
  <si>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</si>
  <si>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</si>
  <si>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</si>
  <si>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</si>
  <si>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</si>
  <si>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</si>
  <si>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</si>
  <si>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</si>
  <si>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</si>
  <si>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</si>
  <si>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</si>
  <si>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</si>
  <si>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</si>
  <si>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</si>
  <si>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</si>
  <si>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</si>
  <si>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</si>
  <si>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</si>
  <si>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</si>
  <si>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</si>
  <si>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</si>
  <si>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</si>
  <si>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</si>
  <si>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</si>
  <si>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</si>
  <si>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</si>
  <si>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</si>
  <si>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</si>
  <si>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</si>
  <si>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</si>
  <si>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</si>
  <si>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</si>
  <si>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</si>
  <si>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</si>
  <si>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</si>
  <si>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</si>
  <si>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</si>
  <si>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</si>
  <si>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</si>
  <si>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</si>
  <si>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</si>
  <si>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</si>
  <si>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</si>
  <si>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</si>
  <si>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</si>
  <si>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</si>
  <si>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</si>
  <si>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</si>
  <si>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</si>
  <si>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</si>
  <si>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</si>
  <si>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</si>
  <si>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</si>
  <si>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</si>
  <si>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</si>
  <si>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</si>
  <si>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</si>
  <si>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</si>
  <si>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</si>
  <si>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</si>
  <si>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</si>
  <si>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</si>
  <si>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</si>
  <si>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</si>
  <si>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</si>
  <si>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</si>
  <si>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</si>
  <si>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</si>
  <si>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</si>
  <si>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</si>
  <si>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</si>
  <si>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</si>
  <si>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</si>
  <si>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</si>
  <si>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</si>
  <si>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</si>
  <si>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</si>
  <si>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</si>
  <si>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</si>
  <si>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</si>
  <si>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</si>
  <si>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</si>
  <si>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</si>
  <si>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</si>
  <si>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</si>
  <si>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</si>
  <si>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</si>
  <si>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</si>
  <si>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</si>
  <si>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</si>
  <si>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</si>
  <si>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</si>
  <si>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</si>
  <si>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</si>
  <si>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</si>
  <si>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</si>
  <si>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</si>
  <si>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</si>
  <si>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</si>
  <si>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</si>
  <si>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</si>
  <si>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</si>
  <si>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</si>
  <si>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</si>
  <si>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</si>
  <si>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</si>
  <si>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</si>
  <si>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</si>
  <si>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</si>
  <si>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</si>
  <si>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</si>
  <si>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</si>
  <si>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</si>
  <si>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</si>
  <si>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</si>
  <si>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</si>
  <si>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</si>
  <si>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</si>
  <si>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</si>
  <si>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</si>
  <si>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</si>
  <si>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</si>
  <si>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</si>
  <si>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</si>
  <si>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</si>
  <si>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</si>
  <si>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</si>
  <si>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</si>
  <si>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</si>
  <si>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</si>
  <si>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</si>
  <si>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</si>
  <si>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</si>
  <si>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</si>
  <si>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</si>
  <si>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</si>
  <si>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</si>
  <si>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</si>
  <si>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</si>
  <si>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</si>
  <si>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</si>
  <si>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</si>
  <si>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</si>
  <si>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</si>
  <si>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</si>
  <si>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</si>
  <si>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</si>
  <si>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</si>
  <si>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</si>
  <si>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</si>
  <si>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</si>
  <si>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</si>
  <si>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</si>
  <si>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</si>
  <si>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</si>
  <si>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</si>
  <si>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</si>
  <si>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</si>
  <si>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</si>
  <si>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</si>
  <si>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</si>
  <si>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</si>
  <si>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</si>
  <si>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</si>
  <si>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</si>
  <si>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</si>
  <si>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</si>
  <si>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</si>
  <si>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</si>
  <si>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</si>
  <si>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</si>
  <si>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</si>
  <si>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</si>
  <si>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</si>
  <si>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</si>
  <si>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</si>
  <si>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</si>
  <si>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</si>
  <si>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</si>
  <si>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</si>
  <si>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</si>
  <si>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</si>
  <si>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</si>
  <si>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</si>
  <si>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</si>
  <si>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</si>
  <si>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</si>
  <si>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</si>
  <si>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</si>
  <si>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</si>
  <si>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</si>
  <si>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</si>
  <si>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</si>
  <si>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</si>
  <si>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</si>
  <si>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</si>
  <si>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</si>
  <si>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</si>
  <si>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</si>
  <si>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</si>
  <si>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</si>
  <si>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</si>
  <si>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</si>
  <si>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</si>
  <si>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</si>
  <si>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</si>
  <si>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</si>
  <si>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</si>
  <si>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</si>
  <si>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</si>
  <si>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</si>
  <si>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</si>
  <si>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</si>
  <si>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</si>
  <si>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</si>
  <si>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</si>
  <si>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</si>
  <si>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</si>
  <si>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</si>
  <si>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</si>
  <si>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</si>
  <si>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</si>
  <si>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</si>
  <si>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</si>
  <si>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</si>
  <si>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</si>
  <si>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</si>
  <si>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</si>
  <si>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</si>
  <si>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</si>
  <si>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</si>
  <si>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</si>
  <si>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</si>
  <si>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</si>
  <si>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</si>
  <si>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</si>
  <si>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</si>
  <si>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</si>
  <si>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</si>
  <si>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</si>
  <si>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</si>
  <si>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</si>
  <si>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</si>
  <si>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</si>
  <si>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</si>
  <si>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</si>
  <si>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</si>
  <si>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</si>
  <si>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</si>
  <si>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</si>
  <si>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</si>
  <si>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</si>
  <si>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</si>
  <si>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</si>
  <si>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</si>
  <si>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</si>
  <si>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</si>
  <si>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</si>
  <si>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</si>
  <si>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</si>
  <si>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</si>
  <si>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</si>
  <si>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</si>
  <si>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</si>
  <si>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</si>
  <si>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</si>
  <si>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</si>
  <si>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</si>
  <si>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</si>
  <si>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</si>
  <si>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</si>
  <si>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</si>
  <si>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</si>
  <si>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</si>
  <si>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</si>
  <si>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</si>
  <si>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</si>
  <si>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</si>
  <si>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</si>
  <si>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</si>
  <si>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</si>
  <si>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</si>
  <si>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</si>
  <si>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</si>
  <si>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</si>
  <si>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</si>
  <si>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</si>
  <si>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</si>
  <si>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</si>
  <si>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</si>
  <si>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</si>
  <si>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</si>
  <si>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</si>
  <si>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</si>
  <si>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</si>
  <si>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</si>
  <si>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</si>
  <si>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</si>
  <si>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</si>
  <si>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</si>
  <si>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</si>
  <si>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</si>
  <si>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</si>
  <si>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</si>
  <si>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</si>
  <si>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</si>
  <si>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</si>
  <si>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</si>
  <si>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</si>
  <si>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</si>
  <si>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</si>
  <si>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</si>
  <si>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</si>
  <si>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</si>
  <si>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</si>
  <si>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</si>
  <si>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</si>
  <si>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</si>
  <si>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</si>
  <si>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</si>
  <si>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</si>
  <si>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</si>
  <si>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</si>
  <si>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</si>
  <si>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</si>
  <si>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</si>
  <si>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</si>
  <si>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</si>
  <si>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</si>
  <si>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</si>
  <si>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</si>
  <si>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</si>
  <si>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</si>
  <si>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</si>
  <si>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</si>
  <si>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</si>
  <si>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</si>
  <si>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</si>
  <si>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</si>
  <si>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</si>
  <si>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</si>
  <si>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</si>
  <si>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</si>
  <si>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</si>
  <si>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</si>
  <si>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</si>
  <si>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</si>
  <si>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</si>
  <si>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</si>
  <si>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</si>
  <si>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</si>
  <si>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</si>
  <si>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</si>
  <si>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</si>
  <si>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</si>
  <si>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</si>
  <si>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</si>
  <si>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</si>
  <si>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</si>
  <si>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</si>
  <si>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</si>
  <si>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</si>
  <si>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</si>
  <si>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</si>
  <si>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</si>
  <si>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</si>
  <si>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</si>
  <si>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</si>
  <si>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</si>
  <si>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</si>
  <si>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</si>
  <si>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</si>
  <si>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</si>
  <si>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</si>
  <si>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</si>
  <si>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</si>
  <si>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</si>
  <si>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</si>
  <si>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</si>
  <si>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</si>
  <si>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</si>
  <si>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</si>
  <si>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</si>
  <si>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</si>
  <si>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</si>
  <si>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</si>
  <si>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</si>
  <si>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</si>
  <si>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</si>
  <si>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</si>
  <si>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</si>
  <si>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</si>
  <si>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</si>
  <si>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</si>
  <si>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</si>
  <si>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</si>
  <si>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</si>
  <si>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</si>
  <si>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</si>
  <si>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</si>
  <si>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</si>
  <si>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</si>
  <si>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</si>
  <si>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</si>
  <si>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</si>
  <si>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</si>
  <si>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</si>
  <si>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</si>
  <si>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</si>
  <si>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</si>
  <si>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</si>
  <si>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</si>
  <si>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</si>
  <si>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</si>
  <si>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</si>
  <si>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</si>
  <si>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</si>
  <si>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</si>
  <si>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</si>
  <si>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</si>
  <si>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</si>
  <si>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</si>
  <si>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</si>
  <si>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</si>
  <si>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</si>
  <si>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</si>
  <si>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</si>
  <si>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</si>
  <si>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</si>
  <si>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</si>
  <si>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</si>
  <si>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</si>
  <si>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</si>
  <si>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</si>
  <si>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</si>
  <si>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</si>
  <si>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</si>
  <si>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</si>
  <si>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</si>
  <si>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</si>
  <si>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</si>
  <si>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</si>
  <si>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</si>
  <si>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</si>
  <si>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</si>
  <si>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</si>
  <si>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</si>
  <si>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</si>
  <si>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</si>
  <si>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</si>
  <si>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</si>
  <si>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</si>
  <si>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</si>
  <si>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</si>
  <si>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</si>
  <si>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</si>
  <si>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</si>
  <si>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</si>
  <si>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</si>
  <si>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</si>
  <si>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</si>
  <si>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</si>
  <si>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</si>
  <si>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</si>
  <si>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</si>
  <si>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</si>
  <si>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</si>
  <si>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</si>
  <si>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</si>
  <si>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</si>
  <si>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</si>
  <si>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</si>
  <si>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</si>
  <si>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</si>
  <si>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</si>
  <si>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</si>
  <si>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</si>
  <si>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</si>
  <si>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</si>
  <si>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</si>
  <si>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</si>
  <si>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</si>
  <si>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</si>
  <si>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</si>
  <si>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</si>
  <si>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</si>
  <si>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</si>
  <si>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</si>
  <si>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</si>
  <si>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</si>
  <si>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</si>
  <si>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</si>
  <si>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</si>
  <si>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</si>
  <si>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</si>
  <si>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</si>
  <si>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</si>
  <si>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</si>
  <si>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</si>
  <si>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</si>
  <si>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</si>
  <si>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</si>
  <si>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</si>
  <si>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</si>
  <si>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</si>
  <si>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</si>
  <si>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</si>
  <si>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</si>
  <si>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</si>
  <si>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</si>
  <si>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</si>
  <si>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</si>
  <si>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</si>
  <si>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</si>
  <si>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</si>
  <si>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</si>
  <si>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</si>
  <si>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</si>
  <si>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</si>
  <si>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</si>
  <si>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</si>
  <si>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</si>
  <si>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</si>
  <si>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</si>
  <si>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</si>
  <si>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</si>
  <si>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</si>
  <si>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</si>
  <si>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</si>
  <si>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</si>
  <si>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</si>
  <si>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</si>
  <si>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</si>
  <si>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</si>
  <si>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</si>
  <si>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</si>
  <si>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</si>
  <si>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</si>
  <si>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</si>
  <si>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</si>
  <si>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</si>
  <si>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</si>
  <si>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</si>
  <si>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</si>
  <si>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</si>
  <si>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</si>
  <si>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</si>
  <si>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</si>
  <si>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</si>
  <si>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</si>
  <si>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</si>
  <si>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</si>
  <si>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</si>
  <si>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</si>
  <si>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</si>
  <si>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</si>
  <si>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</si>
  <si>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</si>
  <si>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</si>
  <si>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</si>
  <si>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</si>
  <si>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</si>
  <si>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</si>
  <si>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</si>
  <si>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</si>
  <si>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</si>
  <si>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</si>
  <si>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</si>
  <si>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</si>
  <si>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</si>
  <si>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</si>
  <si>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</si>
  <si>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</si>
  <si>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</si>
  <si>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</si>
  <si>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</si>
  <si>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</si>
  <si>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</si>
  <si>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</si>
  <si>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</si>
  <si>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</si>
  <si>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</si>
  <si>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</si>
  <si>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</si>
  <si>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</si>
  <si>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</si>
  <si>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</si>
  <si>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</si>
  <si>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</si>
  <si>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</si>
  <si>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</si>
  <si>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</si>
  <si>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</si>
  <si>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</si>
  <si>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</si>
  <si>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</si>
  <si>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</si>
  <si>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</si>
  <si>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</si>
  <si>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</si>
  <si>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</si>
  <si>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</si>
  <si>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</si>
  <si>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</si>
  <si>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</si>
  <si>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</si>
  <si>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</si>
  <si>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</si>
  <si>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</si>
  <si>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</si>
  <si>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</si>
  <si>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</si>
  <si>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</si>
  <si>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</si>
  <si>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</si>
  <si>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</si>
  <si>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</si>
  <si>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</si>
  <si>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</si>
  <si>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</si>
  <si>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</si>
  <si>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</si>
  <si>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</si>
  <si>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</si>
  <si>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</si>
  <si>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</si>
  <si>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</si>
  <si>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</si>
  <si>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</si>
  <si>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</si>
  <si>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</si>
  <si>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</si>
  <si>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</si>
  <si>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</si>
  <si>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</si>
  <si>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</si>
  <si>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</si>
  <si>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</si>
  <si>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</si>
  <si>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</si>
  <si>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</si>
  <si>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</si>
  <si>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</si>
  <si>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</si>
  <si>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</si>
  <si>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</si>
  <si>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</si>
  <si>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</si>
  <si>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</si>
  <si>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</si>
  <si>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</si>
  <si>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</si>
  <si>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</si>
  <si>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</si>
  <si>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</si>
  <si>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</si>
  <si>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</si>
  <si>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</si>
  <si>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</si>
  <si>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</si>
  <si>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</si>
  <si>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</si>
  <si>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</si>
  <si>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</si>
  <si>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</si>
  <si>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</si>
  <si>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</si>
  <si>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</si>
  <si>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</si>
  <si>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</si>
  <si>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</si>
  <si>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</si>
  <si>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</si>
  <si>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</si>
  <si>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</si>
  <si>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</si>
  <si>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</si>
  <si>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</si>
  <si>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</si>
  <si>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</si>
  <si>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</si>
  <si>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</si>
  <si>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</si>
  <si>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</si>
  <si>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</si>
  <si>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</si>
  <si>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</si>
  <si>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</si>
  <si>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</si>
  <si>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</si>
  <si>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</si>
  <si>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</si>
  <si>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</si>
  <si>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</si>
  <si>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</si>
  <si>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</si>
  <si>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</si>
  <si>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</si>
  <si>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</si>
  <si>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</si>
  <si>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</si>
  <si>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</si>
  <si>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</si>
  <si>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</si>
  <si>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</si>
  <si>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</si>
  <si>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</si>
  <si>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</si>
  <si>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</si>
  <si>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</si>
  <si>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</si>
  <si>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</si>
  <si>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</si>
  <si>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</si>
  <si>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</si>
  <si>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</si>
  <si>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</si>
  <si>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</si>
  <si>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</si>
  <si>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</si>
  <si>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</si>
  <si>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</si>
  <si>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</si>
  <si>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</si>
  <si>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</si>
  <si>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</si>
  <si>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</si>
  <si>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</si>
  <si>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</si>
  <si>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</si>
  <si>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</si>
  <si>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</si>
  <si>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</si>
  <si>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</si>
  <si>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</si>
  <si>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</si>
  <si>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</si>
  <si>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</si>
  <si>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</si>
  <si>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</si>
  <si>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</si>
  <si>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</si>
  <si>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</si>
  <si>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</si>
  <si>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</si>
  <si>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</si>
  <si>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</si>
  <si>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</si>
  <si>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</si>
  <si>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</si>
  <si>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</si>
  <si>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</si>
  <si>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</si>
  <si>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</si>
  <si>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</si>
  <si>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</si>
  <si>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</si>
  <si>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</si>
  <si>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</si>
  <si>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</si>
  <si>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</si>
  <si>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</si>
  <si>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</si>
  <si>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</si>
  <si>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</si>
  <si>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</si>
  <si>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</si>
  <si>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</si>
  <si>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</si>
  <si>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</si>
  <si>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</si>
  <si>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</si>
  <si>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</si>
  <si>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</si>
  <si>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</si>
  <si>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</si>
  <si>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</si>
  <si>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</si>
  <si>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</si>
  <si>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</si>
  <si>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</si>
  <si>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</si>
  <si>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</si>
  <si>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</si>
  <si>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</si>
  <si>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</si>
  <si>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</si>
  <si>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</si>
  <si>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</si>
  <si>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</si>
  <si>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</si>
  <si>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</si>
  <si>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</si>
  <si>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</si>
  <si>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</si>
  <si>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</si>
  <si>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</si>
  <si>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</si>
  <si>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</si>
  <si>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</si>
  <si>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</si>
  <si>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</si>
  <si>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</si>
  <si>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</si>
  <si>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</si>
  <si>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</si>
  <si>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</si>
  <si>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</si>
  <si>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</si>
  <si>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</si>
  <si>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</si>
  <si>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</si>
  <si>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</si>
  <si>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</si>
  <si>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</si>
  <si>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</si>
  <si>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</si>
  <si>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</si>
  <si>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</si>
  <si>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</si>
  <si>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</si>
  <si>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</si>
  <si>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</si>
  <si>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</si>
  <si>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</si>
  <si>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</si>
  <si>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</si>
  <si>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</si>
  <si>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</si>
  <si>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</si>
  <si>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</si>
  <si>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</si>
  <si>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</si>
  <si>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</si>
  <si>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</si>
  <si>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</si>
  <si>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</si>
  <si>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</si>
  <si>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</si>
  <si>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</si>
  <si>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</si>
  <si>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</si>
  <si>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</si>
  <si>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</si>
  <si>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</si>
  <si>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</si>
  <si>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</si>
  <si>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</si>
  <si>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</si>
  <si>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</si>
  <si>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</si>
  <si>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</si>
  <si>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</si>
  <si>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</si>
  <si>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</si>
  <si>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</si>
  <si>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</si>
  <si>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</si>
  <si>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</si>
  <si>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</si>
  <si>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</si>
  <si>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</si>
  <si>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</si>
  <si>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</si>
  <si>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</si>
  <si>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</si>
  <si>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</si>
  <si>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</si>
  <si>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</si>
  <si>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</si>
  <si>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</si>
  <si>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</si>
  <si>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</si>
  <si>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</si>
  <si>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</si>
  <si>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</si>
  <si>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</si>
  <si>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</si>
  <si>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</si>
  <si>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</si>
  <si>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</si>
  <si>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</si>
  <si>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</si>
  <si>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</si>
  <si>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</si>
  <si>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</si>
  <si>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</si>
  <si>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</si>
  <si>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</si>
  <si>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</si>
  <si>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</si>
  <si>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</si>
  <si>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</si>
  <si>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</si>
  <si>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</si>
  <si>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</si>
  <si>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</si>
  <si>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</si>
  <si>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</si>
  <si>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</si>
  <si>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</si>
  <si>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</si>
  <si>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</si>
  <si>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</si>
  <si>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</si>
  <si>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</si>
  <si>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</si>
  <si>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</si>
  <si>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</si>
  <si>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</si>
  <si>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</si>
  <si>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</si>
  <si>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</si>
  <si>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</si>
  <si>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</si>
  <si>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</si>
  <si>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</si>
  <si>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</si>
  <si>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</si>
  <si>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</si>
  <si>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</si>
  <si>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</si>
  <si>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</si>
  <si>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</si>
  <si>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</si>
  <si>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</si>
  <si>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</si>
  <si>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</si>
  <si>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</si>
  <si>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</si>
  <si>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</si>
  <si>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</si>
  <si>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</si>
  <si>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</si>
  <si>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</si>
  <si>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</si>
  <si>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</si>
  <si>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</si>
  <si>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</si>
  <si>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</si>
  <si>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</si>
  <si>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</si>
  <si>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</si>
  <si>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</si>
  <si>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</si>
  <si>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</si>
  <si>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</si>
  <si>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</si>
  <si>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</si>
  <si>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</si>
  <si>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</si>
  <si>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</si>
  <si>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</si>
  <si>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</si>
  <si>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</si>
  <si>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</si>
  <si>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</si>
  <si>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</si>
  <si>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</si>
  <si>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</si>
  <si>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</si>
  <si>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</si>
  <si>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</si>
  <si>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</si>
  <si>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</si>
  <si>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</si>
  <si>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</si>
  <si>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</si>
  <si>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</si>
  <si>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</si>
  <si>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</si>
  <si>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</si>
  <si>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</si>
  <si>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</si>
  <si>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</si>
  <si>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</si>
  <si>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</si>
  <si>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</si>
  <si>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</si>
  <si>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</si>
  <si>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</si>
  <si>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</si>
  <si>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</si>
  <si>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</si>
  <si>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</si>
  <si>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</si>
  <si>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</si>
  <si>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</si>
  <si>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</si>
  <si>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</si>
  <si>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</si>
  <si>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</si>
  <si>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</si>
  <si>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</si>
  <si>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</si>
  <si>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</si>
  <si>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</si>
  <si>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</si>
  <si>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</si>
  <si>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</si>
  <si>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</si>
  <si>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</si>
  <si>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</si>
  <si>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</si>
  <si>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</si>
  <si>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</si>
  <si>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</si>
  <si>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</si>
  <si>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</si>
  <si>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</si>
  <si>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</si>
  <si>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</si>
  <si>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</si>
  <si>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</si>
  <si>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</si>
  <si>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</si>
  <si>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</si>
  <si>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</si>
  <si>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</si>
  <si>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</si>
  <si>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</si>
  <si>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</si>
  <si>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</si>
  <si>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</si>
  <si>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</si>
  <si>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</si>
  <si>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</si>
  <si>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</si>
  <si>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</si>
  <si>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</si>
  <si>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</si>
  <si>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</si>
  <si>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</si>
  <si>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</si>
  <si>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</si>
  <si>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</si>
  <si>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</si>
  <si>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</si>
  <si>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</si>
  <si>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</si>
  <si>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</si>
  <si>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</si>
  <si>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</si>
  <si>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</si>
  <si>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</si>
  <si>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</si>
  <si>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</si>
  <si>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</si>
  <si>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</si>
  <si>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</si>
  <si>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</si>
  <si>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</si>
  <si>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</si>
  <si>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</si>
  <si>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</si>
  <si>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</si>
  <si>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</si>
  <si>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</si>
  <si>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</si>
  <si>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</si>
  <si>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</si>
  <si>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</si>
  <si>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</si>
  <si>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</si>
  <si>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</si>
  <si>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</si>
  <si>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</si>
  <si>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</si>
  <si>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</si>
  <si>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</si>
  <si>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</si>
  <si>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</si>
  <si>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</si>
  <si>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</si>
  <si>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</si>
  <si>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</si>
  <si>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</si>
  <si>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</si>
  <si>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</si>
  <si>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</si>
  <si>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</si>
  <si>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</si>
  <si>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</si>
  <si>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</si>
  <si>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</si>
  <si>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</si>
  <si>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</si>
  <si>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</si>
  <si>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</si>
  <si>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</si>
  <si>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</si>
  <si>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</si>
  <si>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</si>
  <si>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</si>
  <si>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</si>
  <si>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</si>
  <si>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</si>
  <si>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</si>
  <si>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</si>
  <si>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</si>
  <si>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</si>
  <si>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</si>
  <si>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</si>
  <si>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</si>
  <si>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</si>
  <si>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</si>
  <si>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</si>
  <si>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</si>
  <si>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</si>
  <si>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</si>
  <si>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</si>
  <si>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</si>
  <si>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</si>
  <si>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</si>
  <si>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</si>
  <si>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</si>
  <si>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</si>
  <si>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</si>
  <si>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</si>
  <si>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</si>
  <si>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</si>
  <si>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</si>
  <si>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</si>
  <si>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</si>
  <si>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</si>
  <si>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</si>
  <si>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</si>
  <si>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</si>
  <si>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</si>
  <si>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</si>
  <si>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</si>
  <si>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</si>
  <si>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</si>
  <si>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</si>
  <si>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</si>
  <si>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</si>
  <si>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</si>
  <si>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</si>
  <si>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</si>
  <si>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</si>
  <si>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</si>
  <si>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</si>
  <si>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</si>
  <si>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</si>
  <si>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</si>
  <si>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</si>
  <si>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</si>
  <si>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</si>
  <si>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</si>
  <si>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</si>
  <si>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</si>
  <si>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</si>
  <si>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</si>
  <si>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</si>
  <si>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</si>
  <si>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</si>
  <si>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</si>
  <si>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</si>
  <si>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</si>
  <si>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</si>
  <si>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</si>
  <si>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</si>
  <si>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</si>
  <si>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</si>
  <si>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</si>
  <si>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</si>
  <si>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</si>
  <si>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</si>
  <si>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</si>
  <si>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</si>
  <si>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</si>
  <si>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</si>
  <si>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</si>
  <si>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</si>
  <si>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</si>
  <si>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</si>
  <si>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</si>
  <si>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</si>
  <si>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</si>
  <si>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</si>
  <si>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</si>
  <si>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</si>
  <si>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</si>
  <si>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</si>
  <si>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</si>
  <si>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</si>
  <si>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</si>
  <si>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</si>
  <si>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</si>
  <si>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</si>
  <si>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</si>
  <si>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</si>
  <si>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</si>
  <si>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</si>
  <si>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</si>
  <si>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</si>
  <si>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</si>
  <si>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</si>
  <si>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</si>
  <si>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</si>
  <si>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</si>
  <si>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</si>
  <si>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</si>
  <si>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</si>
  <si>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</si>
  <si>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</si>
  <si>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</si>
  <si>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</si>
  <si>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</si>
  <si>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</si>
  <si>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</si>
  <si>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</si>
  <si>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</si>
  <si>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</si>
  <si>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</si>
  <si>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</si>
  <si>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</si>
  <si>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</si>
  <si>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</si>
  <si>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</si>
  <si>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</si>
  <si>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</si>
  <si>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</si>
  <si>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</si>
  <si>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</si>
  <si>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</si>
  <si>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</si>
  <si>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</si>
  <si>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</si>
  <si>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</si>
  <si>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</si>
  <si>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</si>
  <si>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</si>
  <si>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</si>
  <si>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</si>
  <si>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</si>
  <si>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</si>
  <si>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</si>
  <si>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</si>
  <si>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</si>
  <si>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</si>
  <si>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</si>
  <si>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</si>
  <si>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</si>
  <si>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</si>
  <si>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</si>
  <si>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</si>
  <si>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</si>
  <si>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</si>
  <si>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</si>
  <si>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</si>
  <si>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</si>
  <si>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</si>
  <si>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</si>
  <si>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</si>
  <si>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</si>
  <si>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</si>
  <si>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</si>
  <si>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</si>
  <si>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</si>
  <si>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</si>
  <si>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</si>
  <si>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</si>
  <si>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</si>
  <si>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</si>
  <si>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</si>
  <si>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</si>
  <si>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</si>
  <si>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</si>
  <si>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</si>
  <si>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</si>
  <si>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</si>
  <si>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</si>
  <si>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</si>
  <si>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</si>
  <si>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</si>
  <si>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</si>
  <si>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</si>
  <si>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</si>
  <si>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</si>
  <si>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</si>
  <si>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</si>
  <si>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</si>
  <si>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</si>
  <si>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</si>
  <si>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</si>
  <si>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</si>
  <si>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</si>
  <si>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</si>
  <si>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</si>
  <si>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</si>
  <si>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</si>
  <si>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</si>
  <si>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</si>
  <si>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</si>
  <si>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</si>
  <si>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</si>
  <si>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</si>
  <si>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</si>
  <si>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</si>
  <si>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</si>
  <si>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</si>
  <si>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</si>
  <si>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</si>
  <si>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</si>
  <si>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</si>
  <si>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</si>
  <si>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</si>
  <si>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</si>
  <si>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</si>
  <si>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</si>
  <si>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</si>
  <si>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</si>
  <si>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</si>
  <si>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</si>
  <si>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</si>
  <si>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</si>
  <si>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</si>
  <si>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</si>
  <si>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</si>
  <si>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</si>
  <si>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</si>
  <si>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</si>
  <si>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</si>
  <si>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</si>
  <si>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</si>
  <si>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</si>
  <si>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</si>
  <si>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</si>
  <si>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</si>
  <si>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</si>
  <si>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</si>
  <si>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</si>
  <si>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</si>
  <si>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</si>
  <si>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</si>
  <si>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</si>
  <si>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</si>
  <si>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</si>
  <si>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</si>
  <si>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</si>
  <si>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</si>
  <si>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</si>
  <si>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</si>
  <si>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</si>
  <si>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</si>
  <si>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</si>
  <si>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</si>
  <si>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</si>
  <si>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</si>
  <si>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</si>
  <si>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</si>
  <si>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</si>
  <si>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</si>
  <si>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</si>
  <si>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</si>
  <si>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</si>
  <si>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</si>
  <si>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</si>
  <si>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</si>
  <si>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</si>
  <si>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</si>
  <si>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</si>
  <si>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</si>
  <si>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</si>
  <si>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</si>
  <si>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</si>
  <si>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</si>
  <si>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</si>
  <si>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</si>
  <si>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</si>
  <si>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</si>
  <si>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</si>
  <si>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</si>
  <si>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</si>
  <si>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</si>
  <si>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</si>
  <si>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</si>
  <si>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</si>
  <si>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</si>
  <si>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</si>
  <si>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</si>
  <si>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</si>
  <si>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</si>
  <si>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</si>
  <si>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</si>
  <si>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</si>
  <si>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</si>
  <si>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</si>
  <si>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</si>
  <si>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</si>
  <si>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</si>
  <si>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</si>
  <si>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</si>
  <si>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</si>
  <si>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</si>
  <si>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</si>
  <si>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</si>
  <si>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</si>
  <si>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</si>
  <si>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</si>
  <si>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</si>
  <si>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</si>
  <si>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</si>
  <si>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</si>
  <si>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</si>
  <si>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</si>
  <si>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</si>
  <si>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</si>
  <si>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</si>
  <si>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</si>
  <si>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</si>
  <si>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</si>
  <si>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</si>
  <si>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</si>
  <si>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</si>
  <si>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</si>
  <si>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</si>
  <si>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</si>
  <si>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</si>
  <si>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</si>
  <si>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</si>
  <si>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</si>
  <si>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</si>
  <si>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</si>
  <si>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</si>
  <si>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</si>
  <si>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</si>
  <si>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</si>
  <si>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</si>
  <si>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</si>
  <si>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</si>
  <si>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</si>
  <si>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</si>
  <si>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</si>
  <si>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</si>
  <si>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</si>
  <si>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</si>
  <si>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</si>
  <si>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</si>
  <si>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</si>
  <si>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</si>
  <si>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</si>
  <si>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</si>
  <si>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</si>
  <si>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</si>
  <si>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</si>
  <si>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</si>
  <si>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</si>
  <si>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</si>
  <si>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</si>
  <si>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</si>
  <si>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</si>
  <si>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</si>
  <si>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</si>
  <si>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</si>
  <si>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</si>
  <si>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</si>
  <si>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</si>
  <si>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</si>
  <si>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</si>
  <si>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</si>
  <si>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</si>
  <si>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</si>
  <si>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</si>
  <si>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</si>
  <si>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</si>
  <si>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</si>
  <si>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</si>
  <si>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</si>
  <si>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</si>
  <si>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</si>
  <si>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</si>
  <si>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</si>
  <si>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</si>
  <si>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</si>
  <si>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</si>
  <si>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</si>
  <si>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</si>
  <si>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</si>
  <si>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</si>
  <si>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</si>
  <si>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</si>
  <si>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</si>
  <si>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</si>
  <si>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</si>
  <si>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</si>
  <si>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</si>
  <si>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</si>
  <si>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</si>
  <si>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</si>
  <si>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</si>
  <si>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</si>
  <si>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</si>
  <si>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</si>
  <si>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</si>
  <si>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</si>
  <si>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</si>
  <si>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</si>
  <si>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</si>
  <si>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</si>
  <si>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</si>
  <si>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</si>
  <si>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</si>
  <si>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</si>
  <si>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</si>
  <si>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</si>
  <si>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</si>
  <si>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</si>
  <si>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</si>
  <si>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</si>
  <si>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</si>
  <si>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</si>
  <si>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</si>
  <si>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</si>
  <si>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</si>
  <si>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</si>
  <si>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</si>
  <si>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</si>
  <si>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</si>
  <si>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</si>
  <si>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</si>
  <si>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</si>
  <si>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</si>
  <si>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</si>
  <si>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</si>
  <si>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</si>
  <si>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</si>
  <si>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</si>
  <si>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</si>
  <si>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</si>
  <si>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</si>
  <si>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</si>
  <si>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</si>
  <si>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</si>
  <si>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</si>
  <si>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</si>
  <si>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</si>
  <si>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</si>
  <si>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</si>
  <si>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</si>
  <si>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</si>
  <si>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</si>
  <si>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</si>
  <si>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</si>
  <si>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</si>
  <si>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</si>
  <si>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</si>
  <si>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</si>
  <si>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</si>
  <si>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</si>
  <si>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</si>
  <si>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</si>
  <si>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</si>
  <si>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</si>
  <si>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</si>
  <si>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</si>
  <si>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</si>
  <si>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</si>
  <si>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</si>
  <si>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</si>
  <si>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</si>
  <si>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</si>
  <si>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</si>
  <si>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</si>
  <si>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</si>
  <si>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</si>
  <si>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</si>
  <si>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</si>
  <si>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</si>
  <si>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</si>
  <si>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</si>
  <si>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</si>
  <si>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</si>
  <si>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</si>
  <si>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</si>
  <si>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</si>
  <si>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</si>
  <si>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</si>
  <si>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</si>
  <si>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</si>
  <si>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</si>
  <si>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</si>
  <si>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</si>
  <si>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</si>
  <si>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</si>
  <si>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</si>
  <si>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</si>
  <si>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</si>
  <si>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</si>
  <si>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</si>
  <si>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</si>
  <si>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</si>
  <si>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</si>
  <si>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</si>
  <si>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</si>
  <si>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</si>
  <si>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</si>
  <si>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</si>
  <si>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</si>
  <si>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</si>
  <si>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</si>
  <si>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</si>
  <si>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</si>
  <si>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</si>
  <si>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</si>
  <si>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</si>
  <si>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</si>
  <si>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</si>
  <si>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</si>
  <si>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</si>
  <si>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</si>
  <si>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</si>
  <si>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</si>
  <si>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</si>
  <si>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</si>
  <si>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</si>
  <si>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</si>
  <si>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</si>
  <si>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</si>
  <si>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</si>
  <si>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</si>
  <si>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</si>
  <si>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</si>
  <si>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</si>
  <si>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</si>
  <si>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</si>
  <si>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</si>
  <si>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</si>
  <si>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</si>
  <si>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</si>
  <si>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</si>
  <si>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</si>
  <si>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</si>
  <si>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</si>
  <si>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</si>
  <si>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</si>
  <si>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</si>
  <si>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</si>
  <si>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</si>
  <si>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</si>
  <si>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</si>
  <si>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</si>
  <si>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</si>
  <si>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</si>
  <si>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</si>
  <si>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</si>
  <si>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</si>
  <si>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</si>
  <si>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</si>
  <si>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</si>
  <si>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</si>
  <si>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</si>
  <si>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</si>
  <si>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</si>
  <si>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</si>
  <si>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</si>
  <si>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</si>
  <si>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</si>
  <si>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</si>
  <si>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</si>
  <si>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</si>
  <si>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</si>
  <si>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</si>
  <si>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</si>
  <si>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</si>
  <si>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</si>
  <si>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</si>
  <si>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</si>
  <si>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</si>
  <si>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</si>
  <si>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</si>
  <si>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</si>
  <si>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</si>
  <si>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</si>
  <si>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</si>
  <si>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</si>
  <si>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</si>
  <si>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</si>
  <si>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</si>
  <si>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</si>
  <si>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</si>
  <si>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</si>
  <si>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</si>
  <si>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</si>
  <si>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</si>
  <si>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</si>
  <si>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</si>
  <si>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</si>
  <si>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</si>
  <si>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</si>
  <si>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</si>
  <si>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</si>
  <si>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</si>
  <si>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</si>
  <si>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</si>
  <si>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</si>
  <si>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</si>
  <si>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</si>
  <si>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</si>
  <si>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</si>
  <si>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</si>
  <si>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</si>
  <si>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</si>
  <si>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</si>
  <si>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</si>
  <si>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</si>
  <si>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</si>
  <si>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</si>
  <si>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</si>
  <si>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</si>
  <si>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</si>
  <si>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</si>
  <si>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</si>
  <si>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</si>
  <si>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</si>
  <si>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</si>
  <si>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</si>
  <si>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</si>
  <si>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</si>
  <si>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</si>
  <si>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</si>
  <si>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</si>
  <si>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</si>
  <si>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</si>
  <si>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</si>
  <si>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</si>
  <si>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</si>
  <si>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</si>
  <si>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</si>
  <si>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</si>
  <si>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</si>
  <si>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</si>
  <si>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</si>
  <si>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</si>
  <si>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</si>
  <si>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</si>
  <si>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</si>
  <si>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</si>
  <si>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</si>
  <si>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</si>
  <si>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</si>
  <si>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</si>
  <si>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</si>
  <si>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</si>
  <si>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</si>
  <si>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</si>
  <si>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</si>
  <si>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</si>
  <si>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</si>
  <si>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</si>
  <si>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</si>
  <si>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</si>
  <si>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</si>
  <si>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</si>
  <si>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</si>
  <si>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</si>
  <si>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</si>
  <si>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</si>
  <si>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</si>
  <si>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</si>
  <si>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</si>
  <si>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</si>
  <si>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</si>
  <si>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</si>
  <si>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RANDOLPH</t>
  </si>
  <si>
    <t>P.O. BOX 396</t>
  </si>
  <si>
    <t>COULTERVILLE</t>
  </si>
  <si>
    <t>kalbers@cvillecusd1.org</t>
  </si>
  <si>
    <t>KARYN ALBERS</t>
  </si>
  <si>
    <t>618-758-2881</t>
  </si>
  <si>
    <t>618-758-2887</t>
  </si>
  <si>
    <t>KELTON DAVIS</t>
  </si>
  <si>
    <t>keltondavis@roe45.org</t>
  </si>
  <si>
    <t>618-939-5650</t>
  </si>
  <si>
    <t>618-939-5332</t>
  </si>
  <si>
    <t>SCHEFFEL BOYLE</t>
  </si>
  <si>
    <t>General Obligation Series 2011</t>
  </si>
  <si>
    <t>General Obligation Series 2013</t>
  </si>
  <si>
    <t>KEITH G. BRINKMANN, CPA</t>
  </si>
  <si>
    <t>7 HILL CASTLE</t>
  </si>
  <si>
    <t>COLUMBIA</t>
  </si>
  <si>
    <t>IL</t>
  </si>
  <si>
    <t>618-281-7605</t>
  </si>
  <si>
    <t>681-281-6630</t>
  </si>
  <si>
    <t>065-014460</t>
  </si>
  <si>
    <t>keith.brinkmann@scheffelboyle.com</t>
  </si>
  <si>
    <t>General Obligation Series 2018</t>
  </si>
  <si>
    <t>Alternate Revenue Bonds</t>
  </si>
  <si>
    <t>40-2550-300</t>
  </si>
  <si>
    <t>Marissa CUSD</t>
  </si>
  <si>
    <t>10-2300-300</t>
  </si>
  <si>
    <t>10-2200-300</t>
  </si>
  <si>
    <t>Clear Wave</t>
  </si>
  <si>
    <t>Xerox</t>
  </si>
  <si>
    <t>Scheffel Boyle</t>
  </si>
  <si>
    <t>10-1000-300</t>
  </si>
  <si>
    <t>ED-Instruction-Purchased Svcs</t>
  </si>
  <si>
    <t>ED-Total Support Svcs General Admin.-Purchased Svcs</t>
  </si>
  <si>
    <t>ED-Total Support Svcs Instructional Staff-Purchased Svcs</t>
  </si>
  <si>
    <t>Transportation-Support Svcs-Purchased Svcs</t>
  </si>
  <si>
    <t>Monroe-Randolph ROE #45</t>
  </si>
  <si>
    <t>Marissa Dist #40</t>
  </si>
  <si>
    <t>Perandoe Special Education District</t>
  </si>
  <si>
    <t>Marissa Dist. #40</t>
  </si>
  <si>
    <t>Marissa Dist. #40; Oakdale CCSD #1</t>
  </si>
  <si>
    <t>Page #</t>
  </si>
  <si>
    <t>Interest from real estate taxes</t>
  </si>
  <si>
    <t>IMRF / SS</t>
  </si>
  <si>
    <t>Misc. refunds &amp; reimbursements</t>
  </si>
  <si>
    <t>-----</t>
  </si>
  <si>
    <t>Mobile home privilege tax</t>
  </si>
  <si>
    <t>ROE #45 - Area V Math Connections</t>
  </si>
  <si>
    <t>Perandoe Spec. Ed. District - supplies reimbursement</t>
  </si>
  <si>
    <t>Milk sales</t>
  </si>
  <si>
    <t>Head Start lunch</t>
  </si>
  <si>
    <t>Bond agent fees</t>
  </si>
  <si>
    <t>Rural Education Achievement Program Grant</t>
  </si>
  <si>
    <t>Coulterville 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</si>
</sst>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 fillId="0" borderId="0"/>
  </cellStyleXfs>
  <cellXfs count="25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0" fillId="0" borderId="0" xfId="0"/>
    <xf numFmtId="164" fontId="10" fillId="0" borderId="0" xfId="0" applyNumberFormat="1" applyFont="1"/>
    <xf numFmtId="0" fontId="0" fillId="0" borderId="0" xfId="0" applyAlignment="1">
      <alignment horizontal="center"/>
    </xf>
    <xf numFmtId="0" fontId="9" fillId="0" borderId="78" xfId="0" applyFont="1" applyBorder="1" applyAlignment="1">
      <alignment horizontal="center"/>
    </xf>
    <xf numFmtId="0" fontId="0" fillId="0" borderId="0" xfId="0"/>
    <xf numFmtId="0" fontId="9" fillId="0" borderId="0" xfId="0" applyFont="1"/>
    <xf numFmtId="0" fontId="0" fillId="0" borderId="0" xfId="0" applyAlignment="1">
      <alignment horizontal="center"/>
    </xf>
    <xf numFmtId="42" fontId="0" fillId="0" borderId="0" xfId="19" applyNumberFormat="1" applyFont="1"/>
    <xf numFmtId="0" fontId="9" fillId="0" borderId="0" xfId="3" quotePrefix="1" applyFont="1" applyAlignment="1">
      <alignment horizontal="center"/>
    </xf>
    <xf numFmtId="0" fontId="56" fillId="0" borderId="0" xfId="0" applyFont="1" applyAlignment="1">
      <alignment horizontal="center"/>
    </xf>
    <xf numFmtId="42" fontId="0" fillId="0" borderId="166"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6">
    <cellStyle name="Comma" xfId="1" builtinId="3"/>
    <cellStyle name="Currency" xfId="19" builtinId="4"/>
    <cellStyle name="Currency 2" xfId="21"/>
    <cellStyle name="Hyperlink" xfId="2" builtinId="8"/>
    <cellStyle name="Hyperlink 2" xfId="15"/>
    <cellStyle name="Normal" xfId="0" builtinId="0"/>
    <cellStyle name="Normal 2" xfId="3"/>
    <cellStyle name="Normal 3" xfId="4"/>
    <cellStyle name="Normal 3 2" xfId="14"/>
    <cellStyle name="Normal 3 2 2" xfId="18"/>
    <cellStyle name="Normal 3 2 2 2" xfId="25"/>
    <cellStyle name="Normal 3 2 3" xfId="22"/>
    <cellStyle name="Normal 3 3" xfId="24"/>
    <cellStyle name="Normal 3 4" xfId="20"/>
    <cellStyle name="Normal 4" xfId="16"/>
    <cellStyle name="Normal 4 2" xfId="23"/>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2077</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2077</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45079001022</v>
      </c>
      <c r="B13" s="2048"/>
      <c r="C13" s="2048"/>
      <c r="D13" s="2048"/>
      <c r="E13" s="2048"/>
      <c r="F13" s="2048"/>
      <c r="G13" s="2048"/>
      <c r="H13" s="2049"/>
      <c r="I13" s="31"/>
      <c r="J13" s="30"/>
      <c r="K13" s="28"/>
      <c r="L13" s="30"/>
      <c r="M13" s="30"/>
      <c r="N13" s="30"/>
      <c r="O13" s="30"/>
      <c r="P13" s="30"/>
      <c r="Q13" s="30"/>
      <c r="R13" s="30"/>
      <c r="S13" s="30"/>
      <c r="T13" s="2052" t="s">
        <v>2089</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2078</v>
      </c>
      <c r="B15" s="2050"/>
      <c r="C15" s="2050"/>
      <c r="D15" s="2050"/>
      <c r="E15" s="2050"/>
      <c r="F15" s="2050"/>
      <c r="G15" s="2050"/>
      <c r="H15" s="2051"/>
      <c r="T15" s="2056" t="s">
        <v>2092</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2131</v>
      </c>
      <c r="B17" s="2007"/>
      <c r="C17" s="2007"/>
      <c r="D17" s="2007"/>
      <c r="E17" s="2007"/>
      <c r="F17" s="2007"/>
      <c r="G17" s="2007"/>
      <c r="H17" s="2032"/>
      <c r="T17" s="2063" t="s">
        <v>2093</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2079</v>
      </c>
      <c r="B19" s="1992"/>
      <c r="C19" s="1992"/>
      <c r="D19" s="1992"/>
      <c r="E19" s="1992"/>
      <c r="F19" s="1992"/>
      <c r="G19" s="1992"/>
      <c r="H19" s="1972"/>
      <c r="I19" s="30"/>
      <c r="J19" s="99"/>
      <c r="K19" s="40"/>
      <c r="L19" s="38"/>
      <c r="M19" s="112" t="s">
        <v>333</v>
      </c>
      <c r="P19" s="27"/>
      <c r="Q19" s="27"/>
      <c r="R19" s="27"/>
      <c r="S19" s="31"/>
      <c r="T19" s="2046" t="s">
        <v>2094</v>
      </c>
      <c r="U19" s="1971"/>
      <c r="V19" s="1971"/>
      <c r="W19" s="1972"/>
      <c r="X19" s="2061" t="s">
        <v>2095</v>
      </c>
      <c r="Y19" s="2062"/>
      <c r="Z19" s="2059">
        <v>62236</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2080</v>
      </c>
      <c r="B21" s="1971"/>
      <c r="C21" s="1971"/>
      <c r="D21" s="1971"/>
      <c r="E21" s="1971"/>
      <c r="F21" s="1971"/>
      <c r="G21" s="1971"/>
      <c r="H21" s="1972"/>
      <c r="I21" s="2026" t="s">
        <v>699</v>
      </c>
      <c r="J21" s="2021"/>
      <c r="K21" s="2021"/>
      <c r="L21" s="2021"/>
      <c r="M21" s="2021"/>
      <c r="N21" s="2021"/>
      <c r="O21" s="2021"/>
      <c r="P21" s="2021"/>
      <c r="Q21" s="2021"/>
      <c r="R21" s="2021"/>
      <c r="S21" s="2027"/>
      <c r="T21" s="2070" t="s">
        <v>2096</v>
      </c>
      <c r="U21" s="2071"/>
      <c r="V21" s="2071"/>
      <c r="W21" s="2071"/>
      <c r="X21" s="2076" t="s">
        <v>2097</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t="s">
        <v>2081</v>
      </c>
      <c r="B23" s="2024"/>
      <c r="C23" s="2024"/>
      <c r="D23" s="2024"/>
      <c r="E23" s="2024"/>
      <c r="F23" s="2024"/>
      <c r="G23" s="2024"/>
      <c r="H23" s="2025"/>
      <c r="T23" s="2006" t="s">
        <v>2098</v>
      </c>
      <c r="U23" s="2069"/>
      <c r="V23" s="2069"/>
      <c r="W23" s="2069"/>
      <c r="X23" s="2073">
        <v>44469</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62237</v>
      </c>
      <c r="B25" s="1971"/>
      <c r="C25" s="1971"/>
      <c r="D25" s="1971"/>
      <c r="E25" s="1971"/>
      <c r="F25" s="1971"/>
      <c r="G25" s="1971"/>
      <c r="H25" s="1972"/>
      <c r="I25" s="113"/>
      <c r="J25" s="1995"/>
      <c r="K25" s="1995"/>
      <c r="L25" s="1995"/>
      <c r="M25" s="1995"/>
      <c r="N25" s="1995"/>
      <c r="O25" s="1995"/>
      <c r="P25" s="1995"/>
      <c r="Q25" s="1995"/>
      <c r="R25" s="1995"/>
      <c r="S25" s="1996"/>
      <c r="T25" s="2066" t="s">
        <v>2099</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2082</v>
      </c>
      <c r="B38" s="2007"/>
      <c r="C38" s="2007"/>
      <c r="D38" s="2007"/>
      <c r="E38" s="2007"/>
      <c r="F38" s="1971"/>
      <c r="G38" s="1971"/>
      <c r="H38" s="1972"/>
      <c r="I38" s="1999"/>
      <c r="J38" s="2000"/>
      <c r="K38" s="2000"/>
      <c r="L38" s="2000"/>
      <c r="M38" s="2000"/>
      <c r="N38" s="2000"/>
      <c r="O38" s="2000"/>
      <c r="P38" s="2001"/>
      <c r="Q38" s="2001"/>
      <c r="R38" s="2001"/>
      <c r="S38" s="2002"/>
      <c r="T38" s="2056" t="s">
        <v>2085</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2081</v>
      </c>
      <c r="B40" s="1985"/>
      <c r="C40" s="1986"/>
      <c r="D40" s="1986"/>
      <c r="E40" s="1986"/>
      <c r="F40" s="1987"/>
      <c r="G40" s="1987"/>
      <c r="H40" s="1988"/>
      <c r="I40" s="2009"/>
      <c r="J40" s="2010"/>
      <c r="K40" s="2010"/>
      <c r="L40" s="2010"/>
      <c r="M40" s="2010"/>
      <c r="N40" s="2010"/>
      <c r="O40" s="2010"/>
      <c r="P40" s="2010"/>
      <c r="Q40" s="2010"/>
      <c r="R40" s="2010"/>
      <c r="S40" s="2011"/>
      <c r="T40" s="2009" t="s">
        <v>2086</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2083</v>
      </c>
      <c r="B42" s="1990"/>
      <c r="C42" s="1991"/>
      <c r="D42" s="1989" t="s">
        <v>2084</v>
      </c>
      <c r="E42" s="1990"/>
      <c r="F42" s="1990"/>
      <c r="G42" s="1990"/>
      <c r="H42" s="1991"/>
      <c r="I42" s="1973"/>
      <c r="J42" s="1974"/>
      <c r="K42" s="1974"/>
      <c r="L42" s="1974"/>
      <c r="M42" s="1974"/>
      <c r="N42" s="1974"/>
      <c r="O42" s="1975"/>
      <c r="P42" s="2008"/>
      <c r="Q42" s="1974"/>
      <c r="R42" s="1974"/>
      <c r="S42" s="1975"/>
      <c r="T42" s="1973" t="s">
        <v>2087</v>
      </c>
      <c r="U42" s="1974"/>
      <c r="V42" s="1974"/>
      <c r="W42" s="1975"/>
      <c r="X42" s="2008" t="s">
        <v>2088</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8" sqref="A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2" t="s">
        <v>1905</v>
      </c>
      <c r="B2" s="1550" t="s">
        <v>2037</v>
      </c>
      <c r="C2" s="715" t="s">
        <v>1910</v>
      </c>
      <c r="D2" s="715" t="s">
        <v>1911</v>
      </c>
      <c r="E2" s="715" t="s">
        <v>1912</v>
      </c>
      <c r="F2" s="715" t="s">
        <v>1913</v>
      </c>
    </row>
    <row r="3" spans="1:6" ht="12" customHeight="1" x14ac:dyDescent="0.2">
      <c r="A3" s="2213"/>
      <c r="B3" s="1547"/>
      <c r="C3" s="1548"/>
      <c r="D3" s="1549" t="s">
        <v>274</v>
      </c>
      <c r="E3" s="1548"/>
      <c r="F3" s="1549" t="s">
        <v>275</v>
      </c>
    </row>
    <row r="4" spans="1:6" ht="13.7" customHeight="1" x14ac:dyDescent="0.2">
      <c r="A4" s="716" t="s">
        <v>1217</v>
      </c>
      <c r="B4" s="1771">
        <f>'Revenues 9-14'!C5</f>
        <v>433002</v>
      </c>
      <c r="C4" s="1546"/>
      <c r="D4" s="1774">
        <f>B4-C4</f>
        <v>433002</v>
      </c>
      <c r="E4" s="1546">
        <v>452925</v>
      </c>
      <c r="F4" s="1774">
        <f>E4-C4</f>
        <v>452925</v>
      </c>
    </row>
    <row r="5" spans="1:6" ht="13.7" customHeight="1" x14ac:dyDescent="0.2">
      <c r="A5" s="716" t="s">
        <v>925</v>
      </c>
      <c r="B5" s="1772">
        <f>'Revenues 9-14'!D5</f>
        <v>76234</v>
      </c>
      <c r="C5" s="585"/>
      <c r="D5" s="1775">
        <f t="shared" ref="D5:D18" si="0">B5-C5</f>
        <v>76234</v>
      </c>
      <c r="E5" s="585">
        <v>79208</v>
      </c>
      <c r="F5" s="1775">
        <f>E5-C5</f>
        <v>79208</v>
      </c>
    </row>
    <row r="6" spans="1:6" ht="13.7" customHeight="1" x14ac:dyDescent="0.2">
      <c r="A6" s="716" t="s">
        <v>431</v>
      </c>
      <c r="B6" s="1772">
        <f>'Revenues 9-14'!E5</f>
        <v>44948</v>
      </c>
      <c r="C6" s="585"/>
      <c r="D6" s="1775">
        <f t="shared" si="0"/>
        <v>44948</v>
      </c>
      <c r="E6" s="585">
        <v>47097</v>
      </c>
      <c r="F6" s="1775">
        <f t="shared" ref="F6:F18" si="1">E6-C6</f>
        <v>47097</v>
      </c>
    </row>
    <row r="7" spans="1:6" ht="13.7" customHeight="1" x14ac:dyDescent="0.2">
      <c r="A7" s="716" t="s">
        <v>157</v>
      </c>
      <c r="B7" s="1772">
        <f>'Revenues 9-14'!F5</f>
        <v>30494</v>
      </c>
      <c r="C7" s="585"/>
      <c r="D7" s="1775">
        <f t="shared" si="0"/>
        <v>30494</v>
      </c>
      <c r="E7" s="585">
        <v>31669</v>
      </c>
      <c r="F7" s="1775">
        <f t="shared" si="1"/>
        <v>31669</v>
      </c>
    </row>
    <row r="8" spans="1:6" ht="13.7" customHeight="1" x14ac:dyDescent="0.2">
      <c r="A8" s="716" t="s">
        <v>1241</v>
      </c>
      <c r="B8" s="1772">
        <f>'Revenues 9-14'!G5</f>
        <v>30666</v>
      </c>
      <c r="C8" s="585"/>
      <c r="D8" s="1775">
        <f t="shared" si="0"/>
        <v>30666</v>
      </c>
      <c r="E8" s="585">
        <v>31222</v>
      </c>
      <c r="F8" s="1775">
        <f t="shared" si="1"/>
        <v>31222</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7625</v>
      </c>
      <c r="C10" s="585"/>
      <c r="D10" s="1775">
        <f t="shared" si="0"/>
        <v>7625</v>
      </c>
      <c r="E10" s="585">
        <v>7919</v>
      </c>
      <c r="F10" s="1775">
        <f t="shared" si="1"/>
        <v>7919</v>
      </c>
    </row>
    <row r="11" spans="1:6" x14ac:dyDescent="0.2">
      <c r="A11" s="716" t="s">
        <v>429</v>
      </c>
      <c r="B11" s="1772">
        <f>'Revenues 9-14'!J5</f>
        <v>92541</v>
      </c>
      <c r="C11" s="585"/>
      <c r="D11" s="1775">
        <f t="shared" si="0"/>
        <v>92541</v>
      </c>
      <c r="E11" s="585">
        <v>94214</v>
      </c>
      <c r="F11" s="1775">
        <f t="shared" si="1"/>
        <v>94214</v>
      </c>
    </row>
    <row r="12" spans="1:6" ht="13.7" customHeight="1" x14ac:dyDescent="0.2">
      <c r="A12" s="716" t="s">
        <v>159</v>
      </c>
      <c r="B12" s="1772">
        <f>'Revenues 9-14'!K5</f>
        <v>7625</v>
      </c>
      <c r="C12" s="585"/>
      <c r="D12" s="1775">
        <f t="shared" si="0"/>
        <v>7625</v>
      </c>
      <c r="E12" s="585">
        <v>7919</v>
      </c>
      <c r="F12" s="1775">
        <f t="shared" si="1"/>
        <v>7919</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6101</v>
      </c>
      <c r="C14" s="585"/>
      <c r="D14" s="1775">
        <f t="shared" si="0"/>
        <v>6101</v>
      </c>
      <c r="E14" s="585">
        <v>6342</v>
      </c>
      <c r="F14" s="1775">
        <f t="shared" si="1"/>
        <v>6342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28058</v>
      </c>
      <c r="C16" s="585"/>
      <c r="D16" s="1775">
        <f t="shared" si="0"/>
        <v>28058</v>
      </c>
      <c r="E16" s="585">
        <v>28565</v>
      </c>
      <c r="F16" s="1775">
        <f t="shared" si="1"/>
        <v>28565</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757294</v>
      </c>
      <c r="C19" s="1773">
        <f>SUM(C4:C18)</f>
        <v>0</v>
      </c>
      <c r="D19" s="1773">
        <f>SUM(D4:D18)</f>
        <v>757294</v>
      </c>
      <c r="E19" s="1773">
        <f>SUM(E4:E18)</f>
        <v>787080</v>
      </c>
      <c r="F19" s="1773">
        <f>SUM(F4:F18)</f>
        <v>787080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29" colorId="8" zoomScale="110" zoomScaleNormal="110" workbookViewId="0">
      <selection activeCell="A8" sqref="A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9" t="s">
        <v>2038</v>
      </c>
      <c r="D2" s="724" t="s">
        <v>2045</v>
      </c>
      <c r="E2" s="724" t="s">
        <v>2046</v>
      </c>
      <c r="F2" s="1909"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7">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5" t="s">
        <v>652</v>
      </c>
      <c r="B15" s="2226"/>
      <c r="C15" s="1777">
        <f>SUM(C6:C14)</f>
        <v>0</v>
      </c>
      <c r="D15" s="1777">
        <f>SUM(D6:D14)</f>
        <v>0</v>
      </c>
      <c r="E15" s="1777">
        <f>SUM(E6:E14)</f>
        <v>0</v>
      </c>
      <c r="F15" s="1777">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7">
        <f>SUM(C17+D17)-E17</f>
        <v>0</v>
      </c>
    </row>
    <row r="18" spans="1:11" ht="12.75" customHeight="1" thickTop="1" thickBot="1" x14ac:dyDescent="0.25">
      <c r="A18" s="2220" t="s">
        <v>6</v>
      </c>
      <c r="B18" s="2221"/>
      <c r="C18" s="727"/>
      <c r="D18" s="585"/>
      <c r="E18" s="727"/>
      <c r="F18" s="1777">
        <f>SUM(C18+D18)-E18</f>
        <v>0</v>
      </c>
    </row>
    <row r="19" spans="1:11" ht="12.75" customHeight="1" thickTop="1" thickBot="1" x14ac:dyDescent="0.25">
      <c r="A19" s="2220" t="s">
        <v>406</v>
      </c>
      <c r="B19" s="2221"/>
      <c r="C19" s="727"/>
      <c r="D19" s="585"/>
      <c r="E19" s="727"/>
      <c r="F19" s="1777">
        <f>SUM(C19+D19)-E19</f>
        <v>0</v>
      </c>
    </row>
    <row r="20" spans="1:11" ht="12.75" customHeight="1" thickTop="1" thickBot="1" x14ac:dyDescent="0.25">
      <c r="A20" s="2220" t="s">
        <v>468</v>
      </c>
      <c r="B20" s="2221"/>
      <c r="C20" s="727"/>
      <c r="D20" s="585"/>
      <c r="E20" s="727"/>
      <c r="F20" s="1777">
        <f>SUM(C20+D20)-E20</f>
        <v>0</v>
      </c>
    </row>
    <row r="21" spans="1:11" ht="14.25" thickTop="1" thickBot="1" x14ac:dyDescent="0.25">
      <c r="A21" s="2225" t="s">
        <v>653</v>
      </c>
      <c r="B21" s="2226"/>
      <c r="C21" s="1777">
        <f>SUM(C17:C20)</f>
        <v>0</v>
      </c>
      <c r="D21" s="1777">
        <f>SUM(D17:D20)</f>
        <v>0</v>
      </c>
      <c r="E21" s="1777">
        <f>SUM(E17:E20)</f>
        <v>0</v>
      </c>
      <c r="F21" s="1777">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7">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7">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7">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2090</v>
      </c>
      <c r="B31" s="734">
        <v>40603</v>
      </c>
      <c r="C31" s="735">
        <v>270000</v>
      </c>
      <c r="D31" s="736">
        <v>1</v>
      </c>
      <c r="E31" s="735">
        <v>130000</v>
      </c>
      <c r="F31" s="735"/>
      <c r="G31" s="735"/>
      <c r="H31" s="735">
        <v>30000</v>
      </c>
      <c r="I31" s="1778">
        <f>((E31+F31)-H31)+G31</f>
        <v>100000</v>
      </c>
      <c r="J31" s="735">
        <v>76815</v>
      </c>
      <c r="K31" s="737"/>
    </row>
    <row r="32" spans="1:11" ht="12" customHeight="1" x14ac:dyDescent="0.2">
      <c r="A32" s="733" t="s">
        <v>2091</v>
      </c>
      <c r="B32" s="734">
        <v>41395</v>
      </c>
      <c r="C32" s="735">
        <v>90000</v>
      </c>
      <c r="D32" s="736">
        <v>1</v>
      </c>
      <c r="E32" s="735">
        <v>80000</v>
      </c>
      <c r="F32" s="735"/>
      <c r="G32" s="735"/>
      <c r="H32" s="735">
        <v>4000</v>
      </c>
      <c r="I32" s="1778">
        <f>((E32+F32)-H32)+G32</f>
        <v>76000</v>
      </c>
      <c r="J32" s="735">
        <v>76000</v>
      </c>
      <c r="K32" s="737"/>
    </row>
    <row r="33" spans="1:11" ht="12" customHeight="1" x14ac:dyDescent="0.2">
      <c r="A33" s="733" t="s">
        <v>2100</v>
      </c>
      <c r="B33" s="734">
        <v>43201</v>
      </c>
      <c r="C33" s="735">
        <v>1000000</v>
      </c>
      <c r="D33" s="736">
        <v>7</v>
      </c>
      <c r="E33" s="735"/>
      <c r="F33" s="735">
        <v>1000000</v>
      </c>
      <c r="G33" s="735"/>
      <c r="H33" s="735"/>
      <c r="I33" s="1778">
        <f t="shared" ref="I33:I48" si="1">((E33+F33)-H33)+G33</f>
        <v>1000000</v>
      </c>
      <c r="J33" s="735">
        <v>967594</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1360000</v>
      </c>
      <c r="D49" s="746"/>
      <c r="E49" s="1778">
        <f t="shared" ref="E49:J49" si="2">SUM(E31:E48)</f>
        <v>210000</v>
      </c>
      <c r="F49" s="1778">
        <f t="shared" si="2"/>
        <v>1000000</v>
      </c>
      <c r="G49" s="1778">
        <f t="shared" si="2"/>
        <v>0</v>
      </c>
      <c r="H49" s="1778">
        <f t="shared" si="2"/>
        <v>34000</v>
      </c>
      <c r="I49" s="1778">
        <f t="shared" si="2"/>
        <v>1176000</v>
      </c>
      <c r="J49" s="1778">
        <f t="shared" si="2"/>
        <v>1120409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2101</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7" colorId="8" zoomScale="110" zoomScaleNormal="110" workbookViewId="0">
      <selection activeCell="A8" sqref="A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2"/>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v>0</v>
      </c>
      <c r="H3" s="765">
        <v>0</v>
      </c>
      <c r="I3" s="765">
        <v>0</v>
      </c>
      <c r="J3" s="766">
        <v>106373</v>
      </c>
      <c r="K3" s="766">
        <v>0</v>
      </c>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6101</v>
      </c>
      <c r="I5" s="773"/>
      <c r="J5" s="774"/>
      <c r="K5" s="774"/>
    </row>
    <row r="6" spans="1:11" x14ac:dyDescent="0.2">
      <c r="A6" s="775" t="s">
        <v>744</v>
      </c>
      <c r="B6" s="776"/>
      <c r="C6" s="776"/>
      <c r="D6" s="776"/>
      <c r="E6" s="777"/>
      <c r="F6" s="778" t="s">
        <v>904</v>
      </c>
      <c r="G6" s="765"/>
      <c r="H6" s="765"/>
      <c r="I6" s="765"/>
      <c r="J6" s="766">
        <v>93</v>
      </c>
      <c r="K6" s="766"/>
    </row>
    <row r="7" spans="1:11" x14ac:dyDescent="0.2">
      <c r="A7" s="779" t="s">
        <v>264</v>
      </c>
      <c r="B7" s="780"/>
      <c r="C7" s="780"/>
      <c r="D7" s="780"/>
      <c r="E7" s="781"/>
      <c r="F7" s="771" t="s">
        <v>905</v>
      </c>
      <c r="G7" s="768"/>
      <c r="H7" s="768"/>
      <c r="I7" s="768"/>
      <c r="J7" s="782"/>
      <c r="K7" s="766">
        <v>800</v>
      </c>
    </row>
    <row r="8" spans="1:11" x14ac:dyDescent="0.2">
      <c r="A8" s="779" t="s">
        <v>363</v>
      </c>
      <c r="B8" s="780"/>
      <c r="C8" s="780"/>
      <c r="D8" s="780"/>
      <c r="E8" s="781"/>
      <c r="F8" s="771" t="s">
        <v>906</v>
      </c>
      <c r="G8" s="783"/>
      <c r="H8" s="783"/>
      <c r="I8" s="783"/>
      <c r="J8" s="766">
        <v>133206</v>
      </c>
      <c r="K8" s="770"/>
    </row>
    <row r="9" spans="1:11" x14ac:dyDescent="0.2">
      <c r="A9" s="779" t="s">
        <v>140</v>
      </c>
      <c r="B9" s="780"/>
      <c r="C9" s="780"/>
      <c r="D9" s="780"/>
      <c r="E9" s="781"/>
      <c r="F9" s="778" t="s">
        <v>908</v>
      </c>
      <c r="G9" s="783"/>
      <c r="H9" s="772"/>
      <c r="I9" s="772"/>
      <c r="J9" s="782"/>
      <c r="K9" s="766">
        <v>3497</v>
      </c>
    </row>
    <row r="10" spans="1:11" x14ac:dyDescent="0.2">
      <c r="A10" s="2246" t="s">
        <v>1920</v>
      </c>
      <c r="B10" s="2247"/>
      <c r="C10" s="2247"/>
      <c r="D10" s="2247"/>
      <c r="E10" s="2249"/>
      <c r="F10" s="784" t="s">
        <v>917</v>
      </c>
      <c r="G10" s="783"/>
      <c r="H10" s="785">
        <v>50</v>
      </c>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9"/>
      <c r="G12" s="1780">
        <f>SUM(G5:G11)</f>
        <v>0</v>
      </c>
      <c r="H12" s="1780">
        <f>SUM(H5:H11)</f>
        <v>6151</v>
      </c>
      <c r="I12" s="1780">
        <f>SUM(I5:I11)</f>
        <v>0</v>
      </c>
      <c r="J12" s="1780">
        <f>SUM(J5:J11)</f>
        <v>133299</v>
      </c>
      <c r="K12" s="1780">
        <f>SUM(K5:K11)</f>
        <v>4297</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6151</v>
      </c>
      <c r="I14" s="772"/>
      <c r="J14" s="774"/>
      <c r="K14" s="766">
        <v>4297</v>
      </c>
    </row>
    <row r="15" spans="1:11" x14ac:dyDescent="0.2">
      <c r="A15" s="2247" t="s">
        <v>4</v>
      </c>
      <c r="B15" s="2247"/>
      <c r="C15" s="2247"/>
      <c r="D15" s="2247"/>
      <c r="E15" s="2248"/>
      <c r="F15" s="790" t="s">
        <v>910</v>
      </c>
      <c r="G15" s="772"/>
      <c r="H15" s="765"/>
      <c r="I15" s="765"/>
      <c r="J15" s="766">
        <v>41023</v>
      </c>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1916</v>
      </c>
      <c r="B19" s="2255"/>
      <c r="C19" s="2255"/>
      <c r="D19" s="2255"/>
      <c r="E19" s="2256"/>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1"/>
      <c r="G21" s="793"/>
      <c r="H21" s="797"/>
      <c r="I21" s="797"/>
      <c r="J21" s="1782">
        <f>SUM(J18:J20)</f>
        <v>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83"/>
      <c r="G23" s="1780">
        <f>SUM(G14:G16,G21,G22)</f>
        <v>0</v>
      </c>
      <c r="H23" s="1780">
        <f>SUM(H14:H16,H21,H22)</f>
        <v>6151</v>
      </c>
      <c r="I23" s="1780">
        <f>SUM(I14:I16,I21,I22)</f>
        <v>0</v>
      </c>
      <c r="J23" s="1780">
        <f>SUM(J14:J16,J21,J22)</f>
        <v>41023</v>
      </c>
      <c r="K23" s="1780">
        <f>SUM(K14:K16,K21,K22)</f>
        <v>4297</v>
      </c>
    </row>
    <row r="24" spans="1:11" ht="14.25" thickTop="1" thickBot="1" x14ac:dyDescent="0.25">
      <c r="A24" s="2277" t="s">
        <v>2026</v>
      </c>
      <c r="B24" s="2276"/>
      <c r="C24" s="2276"/>
      <c r="D24" s="2276"/>
      <c r="E24" s="2276"/>
      <c r="F24" s="1784"/>
      <c r="G24" s="1785">
        <f>SUM(G3,G12)-G23</f>
        <v>0</v>
      </c>
      <c r="H24" s="1785">
        <f>SUM(H3,H12)-H23</f>
        <v>0</v>
      </c>
      <c r="I24" s="1785">
        <f>SUM(I3,I12)-I23</f>
        <v>0</v>
      </c>
      <c r="J24" s="1785">
        <f>SUM(J3,J12)-J23</f>
        <v>198649</v>
      </c>
      <c r="K24" s="1785">
        <f>SUM(K3,K12)-K23</f>
        <v>0</v>
      </c>
    </row>
    <row r="25" spans="1:11" ht="13.5" thickTop="1" x14ac:dyDescent="0.2">
      <c r="A25" s="799" t="s">
        <v>440</v>
      </c>
      <c r="B25" s="800"/>
      <c r="C25" s="800"/>
      <c r="D25" s="800"/>
      <c r="E25" s="801"/>
      <c r="F25" s="802">
        <v>714</v>
      </c>
      <c r="G25" s="803">
        <v>0</v>
      </c>
      <c r="H25" s="803">
        <v>0</v>
      </c>
      <c r="I25" s="803">
        <v>0</v>
      </c>
      <c r="J25" s="798">
        <v>198649</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A8" sqref="A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v>0</v>
      </c>
      <c r="D3" s="836">
        <v>0</v>
      </c>
      <c r="E3" s="836">
        <v>0</v>
      </c>
      <c r="F3" s="1782">
        <f>(C3+D3)-E3</f>
        <v>0</v>
      </c>
      <c r="G3" s="837"/>
      <c r="H3" s="836">
        <v>0</v>
      </c>
      <c r="I3" s="836">
        <v>0</v>
      </c>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36297</v>
      </c>
      <c r="D5" s="842">
        <v>0</v>
      </c>
      <c r="E5" s="842">
        <v>0</v>
      </c>
      <c r="F5" s="1782">
        <f>(C5+D5)-E5</f>
        <v>36297</v>
      </c>
      <c r="G5" s="838"/>
      <c r="H5" s="843"/>
      <c r="I5" s="843"/>
      <c r="J5" s="843"/>
      <c r="K5" s="794"/>
      <c r="L5" s="1791">
        <f>F5-K5</f>
        <v>36297</v>
      </c>
    </row>
    <row r="6" spans="1:14" ht="14.25" thickTop="1" thickBot="1" x14ac:dyDescent="0.25">
      <c r="A6" s="779" t="s">
        <v>1179</v>
      </c>
      <c r="B6" s="841">
        <v>222</v>
      </c>
      <c r="C6" s="766">
        <v>0</v>
      </c>
      <c r="D6" s="766">
        <v>0</v>
      </c>
      <c r="E6" s="766">
        <v>0</v>
      </c>
      <c r="F6" s="1782">
        <f>(C6+D6)-E6</f>
        <v>0</v>
      </c>
      <c r="G6" s="838">
        <v>50</v>
      </c>
      <c r="H6" s="766">
        <v>0</v>
      </c>
      <c r="I6" s="766">
        <v>0</v>
      </c>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1848474</v>
      </c>
      <c r="D8" s="845">
        <v>11926</v>
      </c>
      <c r="E8" s="845">
        <v>0</v>
      </c>
      <c r="F8" s="1782">
        <f>(C8+D8)-E8</f>
        <v>1860400</v>
      </c>
      <c r="G8" s="844">
        <v>50</v>
      </c>
      <c r="H8" s="766">
        <v>1228714</v>
      </c>
      <c r="I8" s="766">
        <v>37700</v>
      </c>
      <c r="J8" s="766"/>
      <c r="K8" s="1791">
        <f>(H8+I8)-J8</f>
        <v>1266414</v>
      </c>
      <c r="L8" s="1791">
        <f>F8-K8</f>
        <v>593986</v>
      </c>
    </row>
    <row r="9" spans="1:14" ht="14.25" thickTop="1" thickBot="1" x14ac:dyDescent="0.25">
      <c r="A9" s="779" t="s">
        <v>1181</v>
      </c>
      <c r="B9" s="841">
        <v>232</v>
      </c>
      <c r="C9" s="766">
        <v>0</v>
      </c>
      <c r="D9" s="766">
        <v>0</v>
      </c>
      <c r="E9" s="766">
        <v>0</v>
      </c>
      <c r="F9" s="1782">
        <f>(C9+D9)-E9</f>
        <v>0</v>
      </c>
      <c r="G9" s="844">
        <v>20</v>
      </c>
      <c r="H9" s="766">
        <v>0</v>
      </c>
      <c r="I9" s="766">
        <v>0</v>
      </c>
      <c r="J9" s="766"/>
      <c r="K9" s="1791">
        <f>(H9+I9)-J9</f>
        <v>0</v>
      </c>
      <c r="L9" s="1791">
        <f>F9-K9</f>
        <v>0</v>
      </c>
    </row>
    <row r="10" spans="1:14" ht="24" thickTop="1" thickBot="1" x14ac:dyDescent="0.25">
      <c r="A10" s="846" t="s">
        <v>1182</v>
      </c>
      <c r="B10" s="841">
        <v>240</v>
      </c>
      <c r="C10" s="847">
        <v>87286</v>
      </c>
      <c r="D10" s="847">
        <v>0</v>
      </c>
      <c r="E10" s="847">
        <v>0</v>
      </c>
      <c r="F10" s="1786">
        <f>(C10+D10)-E10</f>
        <v>87286</v>
      </c>
      <c r="G10" s="844">
        <v>20</v>
      </c>
      <c r="H10" s="848">
        <v>54127</v>
      </c>
      <c r="I10" s="848">
        <v>1846</v>
      </c>
      <c r="J10" s="848"/>
      <c r="K10" s="1791">
        <f>(H10+I10)-J10</f>
        <v>55973</v>
      </c>
      <c r="L10" s="1791">
        <f>F10-K10</f>
        <v>31313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817676</v>
      </c>
      <c r="D12" s="845">
        <v>36845</v>
      </c>
      <c r="E12" s="845">
        <v>0</v>
      </c>
      <c r="F12" s="1782">
        <f>(C12+D12)-E12</f>
        <v>854521</v>
      </c>
      <c r="G12" s="844">
        <v>10</v>
      </c>
      <c r="H12" s="766">
        <v>652128</v>
      </c>
      <c r="I12" s="766">
        <v>30262</v>
      </c>
      <c r="J12" s="766"/>
      <c r="K12" s="1791">
        <f>(H12+I12)-J12</f>
        <v>682390</v>
      </c>
      <c r="L12" s="1791">
        <f>F12-K12</f>
        <v>172131</v>
      </c>
    </row>
    <row r="13" spans="1:14" ht="14.25" thickTop="1" thickBot="1" x14ac:dyDescent="0.25">
      <c r="A13" s="849" t="s">
        <v>1184</v>
      </c>
      <c r="B13" s="841">
        <v>252</v>
      </c>
      <c r="C13" s="845">
        <v>15044</v>
      </c>
      <c r="D13" s="845">
        <v>0</v>
      </c>
      <c r="E13" s="845">
        <v>0</v>
      </c>
      <c r="F13" s="1782">
        <f>(C13+D13)-E13</f>
        <v>15044</v>
      </c>
      <c r="G13" s="844">
        <v>5</v>
      </c>
      <c r="H13" s="766">
        <v>4513</v>
      </c>
      <c r="I13" s="766">
        <v>3009</v>
      </c>
      <c r="J13" s="766"/>
      <c r="K13" s="1791">
        <f>(H13+I13)-J13</f>
        <v>7522</v>
      </c>
      <c r="L13" s="1791">
        <f>F13-K13</f>
        <v>7522</v>
      </c>
    </row>
    <row r="14" spans="1:14" ht="14.25" thickTop="1" thickBot="1" x14ac:dyDescent="0.25">
      <c r="A14" s="849" t="s">
        <v>1185</v>
      </c>
      <c r="B14" s="841">
        <v>253</v>
      </c>
      <c r="C14" s="766">
        <v>0</v>
      </c>
      <c r="D14" s="766">
        <v>0</v>
      </c>
      <c r="E14" s="766">
        <v>0</v>
      </c>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v>0</v>
      </c>
      <c r="D15" s="845">
        <v>112718</v>
      </c>
      <c r="E15" s="845">
        <v>0</v>
      </c>
      <c r="F15" s="1782">
        <f>(C15+D15)-E15</f>
        <v>112718</v>
      </c>
      <c r="G15" s="850" t="s">
        <v>917</v>
      </c>
      <c r="H15" s="782"/>
      <c r="I15" s="782"/>
      <c r="J15" s="782"/>
      <c r="K15" s="782"/>
      <c r="L15" s="1791">
        <f>F15-K15</f>
        <v>112718</v>
      </c>
    </row>
    <row r="16" spans="1:14" ht="15" customHeight="1" thickTop="1" thickBot="1" x14ac:dyDescent="0.25">
      <c r="A16" s="1787" t="s">
        <v>664</v>
      </c>
      <c r="B16" s="1788">
        <v>200</v>
      </c>
      <c r="C16" s="1782">
        <f>SUM(C3,C5:C6,C8:C10,C12:C15)</f>
        <v>2804777</v>
      </c>
      <c r="D16" s="1782">
        <f>SUM(D3,D5:D6,D8:D10,D12:D15)</f>
        <v>161489</v>
      </c>
      <c r="E16" s="1782">
        <f>SUM(E3,E5:E6,E8:E10,E12:E15)</f>
        <v>0</v>
      </c>
      <c r="F16" s="1782">
        <f>SUM(F3,F5:F6,F8:F10,F12:F15)</f>
        <v>2966266</v>
      </c>
      <c r="G16" s="844"/>
      <c r="H16" s="1782">
        <f>SUM(H3,H6,H8:H10,H12:H14,)</f>
        <v>1939482</v>
      </c>
      <c r="I16" s="1782">
        <f>SUM(I3,I6,I8:I10,I12:I14,)</f>
        <v>72817</v>
      </c>
      <c r="J16" s="1782">
        <f>SUM(J3,J6,J8:J10,J12:J14,)</f>
        <v>0</v>
      </c>
      <c r="K16" s="1782">
        <f>(H16+I16)-J16</f>
        <v>2012299</v>
      </c>
      <c r="L16" s="1782">
        <f>F16-K16</f>
        <v>953967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72817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8" sqref="A8"/>
      <selection pane="bottomLeft" activeCell="M184" sqref="M18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1829086</v>
      </c>
      <c r="G8" s="866"/>
    </row>
    <row r="9" spans="1:7" x14ac:dyDescent="0.2">
      <c r="A9" s="870" t="s">
        <v>480</v>
      </c>
      <c r="B9" s="871" t="s">
        <v>1989</v>
      </c>
      <c r="C9" s="872"/>
      <c r="D9" s="870" t="s">
        <v>522</v>
      </c>
      <c r="E9" s="869"/>
      <c r="F9" s="1935">
        <f>'Expenditures 15-22'!K151</f>
        <v>64288</v>
      </c>
      <c r="G9" s="873"/>
    </row>
    <row r="10" spans="1:7" x14ac:dyDescent="0.2">
      <c r="A10" s="870" t="s">
        <v>520</v>
      </c>
      <c r="B10" s="871" t="s">
        <v>1990</v>
      </c>
      <c r="C10" s="872"/>
      <c r="D10" s="870" t="s">
        <v>522</v>
      </c>
      <c r="E10" s="869"/>
      <c r="F10" s="1935">
        <f>'Expenditures 15-22'!K174</f>
        <v>44500</v>
      </c>
      <c r="G10" s="873"/>
    </row>
    <row r="11" spans="1:7" x14ac:dyDescent="0.2">
      <c r="A11" s="870" t="s">
        <v>481</v>
      </c>
      <c r="B11" s="871" t="s">
        <v>1991</v>
      </c>
      <c r="C11" s="872"/>
      <c r="D11" s="870" t="s">
        <v>522</v>
      </c>
      <c r="E11" s="869"/>
      <c r="F11" s="1935">
        <f>'Expenditures 15-22'!K210</f>
        <v>67743</v>
      </c>
      <c r="G11" s="873"/>
    </row>
    <row r="12" spans="1:7" x14ac:dyDescent="0.2">
      <c r="A12" s="870" t="s">
        <v>482</v>
      </c>
      <c r="B12" s="871" t="s">
        <v>1992</v>
      </c>
      <c r="C12" s="872"/>
      <c r="D12" s="870" t="s">
        <v>522</v>
      </c>
      <c r="E12" s="869"/>
      <c r="F12" s="1935">
        <f>'Expenditures 15-22'!K295</f>
        <v>61879</v>
      </c>
      <c r="G12" s="873"/>
    </row>
    <row r="13" spans="1:7" x14ac:dyDescent="0.2">
      <c r="A13" s="870" t="s">
        <v>108</v>
      </c>
      <c r="B13" s="871" t="s">
        <v>1993</v>
      </c>
      <c r="C13" s="872"/>
      <c r="D13" s="870" t="s">
        <v>522</v>
      </c>
      <c r="E13" s="869"/>
      <c r="F13" s="1935">
        <f>'Expenditures 15-22'!K342</f>
        <v>52408</v>
      </c>
      <c r="G13" s="874"/>
    </row>
    <row r="14" spans="1:7" ht="12" customHeight="1" thickBot="1" x14ac:dyDescent="0.25">
      <c r="A14" s="1792"/>
      <c r="B14" s="1793"/>
      <c r="C14" s="1794"/>
      <c r="D14" s="1795" t="s">
        <v>522</v>
      </c>
      <c r="E14" s="1796" t="s">
        <v>1015</v>
      </c>
      <c r="F14" s="1797">
        <f>SUM(F8:F13)</f>
        <v>2119904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22344</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84723</v>
      </c>
      <c r="G53" s="866"/>
    </row>
    <row r="54" spans="1:7" x14ac:dyDescent="0.2">
      <c r="A54" s="870" t="s">
        <v>479</v>
      </c>
      <c r="B54" s="870" t="s">
        <v>1552</v>
      </c>
      <c r="C54" s="890" t="s">
        <v>1039</v>
      </c>
      <c r="D54" s="886" t="s">
        <v>1157</v>
      </c>
      <c r="E54" s="869"/>
      <c r="F54" s="1939">
        <f>'Expenditures 15-22'!G114</f>
        <v>25999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34000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284</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167350</v>
      </c>
      <c r="G76" s="866"/>
    </row>
    <row r="77" spans="1:8" s="894" customFormat="1" ht="12" customHeight="1" thickTop="1" thickBot="1" x14ac:dyDescent="0.25">
      <c r="A77" s="1801"/>
      <c r="B77" s="1798"/>
      <c r="C77" s="1794"/>
      <c r="D77" s="1799" t="s">
        <v>2012</v>
      </c>
      <c r="E77" s="1796"/>
      <c r="F77" s="1802">
        <f>(F14-F76)</f>
        <v>1952554</v>
      </c>
      <c r="G77" s="870"/>
    </row>
    <row r="78" spans="1:8" s="894" customFormat="1" ht="12" customHeight="1" thickTop="1" x14ac:dyDescent="0.2">
      <c r="A78" s="1803"/>
      <c r="B78" s="1798"/>
      <c r="C78" s="1794"/>
      <c r="D78" s="1799" t="s">
        <v>2059</v>
      </c>
      <c r="E78" s="1796"/>
      <c r="F78" s="899">
        <v>193.63</v>
      </c>
      <c r="G78" s="900"/>
      <c r="H78" s="870"/>
    </row>
    <row r="79" spans="1:8" s="894" customFormat="1" ht="12" customHeight="1" thickBot="1" x14ac:dyDescent="0.25">
      <c r="A79" s="1804"/>
      <c r="B79" s="1798"/>
      <c r="C79" s="1794"/>
      <c r="D79" s="1799" t="s">
        <v>2013</v>
      </c>
      <c r="E79" s="1796" t="s">
        <v>1015</v>
      </c>
      <c r="F79" s="1805">
        <f>IF(F78&gt;0,F77/F78," Complete Line 78")</f>
        <v>10083.943603780406</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15882</v>
      </c>
      <c r="G94" s="913"/>
    </row>
    <row r="95" spans="1:7" x14ac:dyDescent="0.2">
      <c r="A95" s="909" t="s">
        <v>142</v>
      </c>
      <c r="B95" s="909" t="s">
        <v>177</v>
      </c>
      <c r="C95" s="911">
        <v>1700</v>
      </c>
      <c r="D95" s="919" t="str">
        <f>'Revenues 9-14'!A82</f>
        <v>Total District/School Activity Income</v>
      </c>
      <c r="E95" s="907"/>
      <c r="F95" s="1811">
        <f>SUM('Revenues 9-14'!C82,'Revenues 9-14'!D82)</f>
        <v>3789</v>
      </c>
      <c r="G95" s="913"/>
    </row>
    <row r="96" spans="1:7" x14ac:dyDescent="0.2">
      <c r="A96" s="909" t="s">
        <v>479</v>
      </c>
      <c r="B96" s="909" t="s">
        <v>178</v>
      </c>
      <c r="C96" s="911">
        <f>'Revenues 9-14'!B84</f>
        <v>1811</v>
      </c>
      <c r="D96" s="912" t="str">
        <f>'Revenues 9-14'!A84</f>
        <v>Rentals - Regular Textbooks</v>
      </c>
      <c r="E96" s="907"/>
      <c r="F96" s="1811">
        <f>'Revenues 9-14'!C84</f>
        <v>5414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8350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62525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700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879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3497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51067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26642</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59325</v>
      </c>
      <c r="G129" s="931"/>
    </row>
    <row r="130" spans="1:7" x14ac:dyDescent="0.2">
      <c r="A130" s="928" t="s">
        <v>689</v>
      </c>
      <c r="B130" s="928" t="s">
        <v>804</v>
      </c>
      <c r="C130" s="933">
        <v>4300</v>
      </c>
      <c r="D130" s="934" t="str">
        <f>'Revenues 9-14'!A211</f>
        <v>Total Title I</v>
      </c>
      <c r="E130" s="907"/>
      <c r="F130" s="1811">
        <f>SUM('Revenues 9-14'!C211,'Revenues 9-14'!D211,'Revenues 9-14'!F211,'Revenues 9-14'!G211)</f>
        <v>66145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37945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733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23351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2643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3175</v>
      </c>
      <c r="G174" s="928"/>
    </row>
    <row r="175" spans="1:7" x14ac:dyDescent="0.2">
      <c r="A175" s="1944" t="s">
        <v>5</v>
      </c>
      <c r="B175" s="1945" t="s">
        <v>2058</v>
      </c>
      <c r="C175" s="1946">
        <v>3100</v>
      </c>
      <c r="D175" s="1947" t="s">
        <v>2061</v>
      </c>
      <c r="E175" s="907"/>
      <c r="F175" s="1931">
        <v>77536</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449598</v>
      </c>
    </row>
    <row r="179" spans="1:7" ht="12" customHeight="1" x14ac:dyDescent="0.2">
      <c r="A179" s="1792"/>
      <c r="B179" s="1806"/>
      <c r="C179" s="1807"/>
      <c r="D179" s="1808" t="s">
        <v>2015</v>
      </c>
      <c r="E179" s="1809"/>
      <c r="F179" s="1811">
        <f>'PCTC-OEPP 27-28'!F77-F178</f>
        <v>1502956</v>
      </c>
    </row>
    <row r="180" spans="1:7" ht="12" customHeight="1" x14ac:dyDescent="0.2">
      <c r="A180" s="1792"/>
      <c r="B180" s="1806"/>
      <c r="C180" s="1807"/>
      <c r="D180" s="1808" t="s">
        <v>1924</v>
      </c>
      <c r="E180" s="1809"/>
      <c r="F180" s="1811">
        <f>'Cap Outlay Deprec 26'!I18</f>
        <v>72817</v>
      </c>
    </row>
    <row r="181" spans="1:7" ht="12" customHeight="1" x14ac:dyDescent="0.2">
      <c r="A181" s="1792"/>
      <c r="B181" s="1806"/>
      <c r="C181" s="1807"/>
      <c r="D181" s="1808" t="s">
        <v>2016</v>
      </c>
      <c r="E181" s="1809"/>
      <c r="F181" s="1811">
        <f>F179+F180</f>
        <v>1575773</v>
      </c>
    </row>
    <row r="182" spans="1:7" ht="12" customHeight="1" x14ac:dyDescent="0.2">
      <c r="A182" s="1792"/>
      <c r="B182" s="1812"/>
      <c r="C182" s="1807"/>
      <c r="D182" s="1808" t="str">
        <f>D78</f>
        <v>9 Month ADA from District Average Daily Attendance/Prior General State Aid Inquiry 2017-2018</v>
      </c>
      <c r="E182" s="1809"/>
      <c r="F182" s="1813">
        <f>'PCTC-OEPP 27-28'!F78</f>
        <v>193.63</v>
      </c>
      <c r="G182" s="931"/>
    </row>
    <row r="183" spans="1:7" ht="12" customHeight="1" thickBot="1" x14ac:dyDescent="0.25">
      <c r="A183" s="1792"/>
      <c r="B183" s="1812"/>
      <c r="C183" s="1807"/>
      <c r="D183" s="1808" t="s">
        <v>2017</v>
      </c>
      <c r="E183" s="1809" t="s">
        <v>1626</v>
      </c>
      <c r="F183" s="1814">
        <f>F181/F182</f>
        <v>8138.0622837370247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17" sqref="B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6" t="s">
        <v>1926</v>
      </c>
      <c r="B6" s="1557"/>
      <c r="C6" s="1557"/>
      <c r="D6" s="1557"/>
      <c r="E6" s="1557"/>
      <c r="F6" s="1557"/>
      <c r="G6" s="1558"/>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9" t="s">
        <v>1927</v>
      </c>
      <c r="B10" s="1560"/>
      <c r="C10" s="1560"/>
      <c r="D10" s="1560"/>
      <c r="E10" s="1560"/>
      <c r="F10" s="1560"/>
      <c r="G10" s="1561"/>
    </row>
    <row r="11" spans="1:7" ht="17.25" customHeight="1" x14ac:dyDescent="0.25">
      <c r="A11" s="2305" t="s">
        <v>1941</v>
      </c>
      <c r="B11" s="2306"/>
      <c r="C11" s="2306"/>
      <c r="D11" s="2306"/>
      <c r="E11" s="2306"/>
      <c r="F11" s="2306"/>
      <c r="G11" s="2307"/>
    </row>
    <row r="12" spans="1:7" ht="15" customHeight="1" x14ac:dyDescent="0.25">
      <c r="A12" s="1559" t="s">
        <v>1932</v>
      </c>
      <c r="B12" s="1560"/>
      <c r="C12" s="1560"/>
      <c r="D12" s="1560"/>
      <c r="E12" s="1560"/>
      <c r="F12" s="1560"/>
      <c r="G12" s="1561"/>
    </row>
    <row r="13" spans="1:7" ht="32.25" customHeight="1" x14ac:dyDescent="0.25">
      <c r="A13" s="2296" t="s">
        <v>1933</v>
      </c>
      <c r="B13" s="2297"/>
      <c r="C13" s="2297"/>
      <c r="D13" s="2297"/>
      <c r="E13" s="2297"/>
      <c r="F13" s="2297"/>
      <c r="G13" s="229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2113</v>
      </c>
      <c r="B17" s="1956" t="s">
        <v>2102</v>
      </c>
      <c r="C17" s="1957" t="s">
        <v>2103</v>
      </c>
      <c r="D17" s="1867">
        <v>4778</v>
      </c>
      <c r="E17" s="1562">
        <f t="shared" ref="E17:E141" si="1">IF(D17&lt;=25000,D17,IF(D17&gt;25000,25000,0))</f>
        <v>4778</v>
      </c>
      <c r="F17" s="1815">
        <f t="shared" si="0"/>
        <v>4778</v>
      </c>
      <c r="G17" s="1816">
        <f>IF(F17=0,0,D17-F17)</f>
        <v>0</v>
      </c>
      <c r="H17" s="1669"/>
    </row>
    <row r="18" spans="1:8" x14ac:dyDescent="0.25">
      <c r="A18" s="1958" t="s">
        <v>2111</v>
      </c>
      <c r="B18" s="1956" t="s">
        <v>2104</v>
      </c>
      <c r="C18" s="1957" t="s">
        <v>2106</v>
      </c>
      <c r="D18" s="1867">
        <v>3413</v>
      </c>
      <c r="E18" s="1562">
        <f t="shared" ref="E18:E140" si="2">IF(D18&lt;=25000,D18,IF(D18&gt;25000,25000,0))</f>
        <v>3413</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3413</v>
      </c>
      <c r="G18" s="1816">
        <f t="shared" ref="G18:G140" si="4">IF(F18=0,0,D18-F18)</f>
        <v>0</v>
      </c>
    </row>
    <row r="19" spans="1:8" x14ac:dyDescent="0.25">
      <c r="A19" s="1958" t="s">
        <v>2112</v>
      </c>
      <c r="B19" s="1956" t="s">
        <v>2105</v>
      </c>
      <c r="C19" s="1957" t="s">
        <v>2107</v>
      </c>
      <c r="D19" s="1867">
        <v>2652</v>
      </c>
      <c r="E19" s="1562">
        <f t="shared" si="2"/>
        <v>2652</v>
      </c>
      <c r="F19" s="1815">
        <f t="shared" si="3"/>
        <v>2652</v>
      </c>
      <c r="G19" s="1816">
        <f t="shared" si="4"/>
        <v>0</v>
      </c>
    </row>
    <row r="20" spans="1:8" x14ac:dyDescent="0.25">
      <c r="A20" s="1958" t="s">
        <v>2111</v>
      </c>
      <c r="B20" s="1956" t="s">
        <v>2104</v>
      </c>
      <c r="C20" s="1957" t="s">
        <v>2108</v>
      </c>
      <c r="D20" s="1867">
        <v>7100</v>
      </c>
      <c r="E20" s="1562">
        <f t="shared" si="2"/>
        <v>7100</v>
      </c>
      <c r="F20" s="1815">
        <f t="shared" si="3"/>
        <v>7100</v>
      </c>
      <c r="G20" s="1816">
        <f t="shared" si="4"/>
        <v>0</v>
      </c>
    </row>
    <row r="21" spans="1:8" x14ac:dyDescent="0.25">
      <c r="A21" s="1958" t="s">
        <v>2110</v>
      </c>
      <c r="B21" s="1956" t="s">
        <v>2109</v>
      </c>
      <c r="C21" s="1957" t="s">
        <v>2103</v>
      </c>
      <c r="D21" s="1867">
        <v>24297</v>
      </c>
      <c r="E21" s="1562">
        <f t="shared" si="2"/>
        <v>24297</v>
      </c>
      <c r="F21" s="1815">
        <f t="shared" si="3"/>
        <v>24297</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42240</v>
      </c>
      <c r="E141" s="1563">
        <f t="shared" si="1"/>
        <v>25000</v>
      </c>
      <c r="F141" s="1817">
        <f>SUM(F17:F140)</f>
        <v>42240</v>
      </c>
      <c r="G141" s="1818">
        <f>SUM(G17:G140)</f>
        <v>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B7" colorId="8" zoomScaleNormal="110" workbookViewId="0">
      <selection activeCell="A8" sqref="A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43726</v>
      </c>
      <c r="F10" s="975"/>
      <c r="G10" s="976"/>
      <c r="H10" s="162"/>
      <c r="I10" s="162"/>
    </row>
    <row r="11" spans="1:9" s="669" customFormat="1" ht="22.5" customHeight="1" x14ac:dyDescent="0.2">
      <c r="A11" s="2316" t="s">
        <v>1945</v>
      </c>
      <c r="B11" s="2317"/>
      <c r="C11" s="2317"/>
      <c r="D11" s="2318"/>
      <c r="E11" s="978">
        <v>4391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1283717</v>
      </c>
      <c r="F19" s="1822"/>
      <c r="G19" s="1824">
        <f>'Expenditures 15-22'!K33-SUM('Expenditures 15-22'!G33,'Expenditures 15-22'!I33)+'Expenditures 15-22'!D229</f>
        <v>1283717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42346</v>
      </c>
      <c r="F21" s="1825"/>
      <c r="G21" s="1828">
        <f>'Expenditures 15-22'!K42-SUM('Expenditures 15-22'!G42,'Expenditures 15-22'!I42)+'Expenditures 15-22'!K120-SUM('Expenditures 15-22'!G120,'Expenditures 15-22'!I120)+'Expenditures 15-22'!K180-SUM('Expenditures 15-22'!G180,'Expenditures 15-22'!I180)+'Expenditures 15-22'!D238</f>
        <v>42346</v>
      </c>
      <c r="H21" s="988"/>
      <c r="I21" s="162"/>
    </row>
    <row r="22" spans="1:9" s="669" customFormat="1" ht="12" customHeight="1" x14ac:dyDescent="0.2">
      <c r="A22" s="995" t="s">
        <v>585</v>
      </c>
      <c r="B22" s="996"/>
      <c r="C22" s="994">
        <v>2200</v>
      </c>
      <c r="D22" s="1825"/>
      <c r="E22" s="1827">
        <f>'Expenditures 15-22'!K47-SUM('Expenditures 15-22'!G47,'Expenditures 15-22'!I47)+'Expenditures 15-22'!D243</f>
        <v>2651</v>
      </c>
      <c r="F22" s="1825"/>
      <c r="G22" s="1828">
        <f>'Expenditures 15-22'!K47-SUM('Expenditures 15-22'!G47,'Expenditures 15-22'!I47)+'Expenditures 15-22'!D243</f>
        <v>2651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179694</v>
      </c>
      <c r="F23" s="1825"/>
      <c r="G23" s="1827">
        <f>'Expenditures 15-22'!K53-SUM('Expenditures 15-22'!G53,'Expenditures 15-22'!I53)+'Expenditures 15-22'!D257+'Expenditures 15-22'!K330-SUM('Expenditures 15-22'!G330,'Expenditures 15-22'!I330)</f>
        <v>179694</v>
      </c>
      <c r="H23" s="988"/>
      <c r="I23" s="162"/>
    </row>
    <row r="24" spans="1:9" s="669" customFormat="1" ht="12" customHeight="1" x14ac:dyDescent="0.2">
      <c r="A24" s="995" t="s">
        <v>587</v>
      </c>
      <c r="B24" s="996"/>
      <c r="C24" s="994">
        <v>2400</v>
      </c>
      <c r="D24" s="1825"/>
      <c r="E24" s="1827">
        <f>'Expenditures 15-22'!K57-SUM('Expenditures 15-22'!G57,'Expenditures 15-22'!I57)+'Expenditures 15-22'!D261</f>
        <v>137709</v>
      </c>
      <c r="F24" s="1825"/>
      <c r="G24" s="1828">
        <f>'Expenditures 15-22'!K57-SUM('Expenditures 15-22'!G57,'Expenditures 15-22'!I57)+'Expenditures 15-22'!D261</f>
        <v>137709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46297</v>
      </c>
      <c r="E27" s="1827">
        <f>E8</f>
        <v>0</v>
      </c>
      <c r="F27" s="1827">
        <f>'Expenditures 15-22'!K60-SUM('Expenditures 15-22'!G60,'Expenditures 15-22'!I60)+'Expenditures 15-22'!D264-E8</f>
        <v>46297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114058</v>
      </c>
      <c r="F28" s="1829">
        <f>'Expenditures 15-22'!K61-SUM('Expenditures 15-22'!G61,'Expenditures 15-22'!I61)+'Expenditures 15-22'!K124-SUM('Expenditures 15-22'!G124,'Expenditures 15-22'!I124)+'Expenditures 15-22'!D266-E9</f>
        <v>114058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67743</v>
      </c>
      <c r="F29" s="1825"/>
      <c r="G29" s="1828">
        <f>'Expenditures 15-22'!K62-SUM('Expenditures 15-22'!G62,'Expenditures 15-22'!I62)+'Expenditures 15-22'!K125-SUM('Expenditures 15-22'!G125,'Expenditures 15-22'!I125)+'Expenditures 15-22'!K182-SUM('Expenditures 15-22'!G182,'Expenditures 15-22'!I182)+'Expenditures 15-22'!D267</f>
        <v>67743</v>
      </c>
      <c r="H29" s="986"/>
    </row>
    <row r="30" spans="1:9" ht="12" customHeight="1" x14ac:dyDescent="0.2">
      <c r="A30" s="995" t="s">
        <v>102</v>
      </c>
      <c r="B30" s="998"/>
      <c r="C30" s="994">
        <v>2560</v>
      </c>
      <c r="D30" s="1825"/>
      <c r="E30" s="1827">
        <f>'Expenditures 15-22'!K63-SUM('Expenditures 15-22'!G63,'Expenditures 15-22'!I63)+'Expenditures 15-22'!D268-E10</f>
        <v>46741</v>
      </c>
      <c r="F30" s="1825"/>
      <c r="G30" s="1827">
        <f>'Expenditures 15-22'!K63-SUM('Expenditures 15-22'!G63,'Expenditures 15-22'!I63)+'Expenditures 15-22'!D268-E10</f>
        <v>46741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46297</v>
      </c>
      <c r="E41" s="1829">
        <f>SUM(E19:E40)</f>
        <v>1874659</v>
      </c>
      <c r="F41" s="1829">
        <f>SUM(F19:F39)</f>
        <v>160355</v>
      </c>
      <c r="G41" s="1829">
        <f>SUM(G19:G40)</f>
        <v>1760601</v>
      </c>
    </row>
    <row r="42" spans="1:7" x14ac:dyDescent="0.2">
      <c r="A42" s="988"/>
      <c r="B42" s="162"/>
      <c r="C42" s="1002"/>
      <c r="D42" s="2314" t="s">
        <v>543</v>
      </c>
      <c r="E42" s="2315"/>
      <c r="F42" s="1003" t="s">
        <v>544</v>
      </c>
      <c r="G42" s="1004"/>
    </row>
    <row r="43" spans="1:7" ht="12" customHeight="1" x14ac:dyDescent="0.2">
      <c r="A43" s="988"/>
      <c r="B43" s="162"/>
      <c r="C43" s="1002"/>
      <c r="D43" s="1830" t="s">
        <v>493</v>
      </c>
      <c r="E43" s="1831">
        <f>D41</f>
        <v>46297</v>
      </c>
      <c r="F43" s="1830" t="s">
        <v>495</v>
      </c>
      <c r="G43" s="1831">
        <f>F41</f>
        <v>160355</v>
      </c>
    </row>
    <row r="44" spans="1:7" ht="12" customHeight="1" x14ac:dyDescent="0.2">
      <c r="A44" s="988"/>
      <c r="B44" s="162"/>
      <c r="C44" s="1002"/>
      <c r="D44" s="1830" t="s">
        <v>494</v>
      </c>
      <c r="E44" s="1831">
        <f>E41</f>
        <v>1874659</v>
      </c>
      <c r="F44" s="1830" t="s">
        <v>494</v>
      </c>
      <c r="G44" s="1831">
        <f>G41</f>
        <v>1760601</v>
      </c>
    </row>
    <row r="45" spans="1:7" ht="12" customHeight="1" x14ac:dyDescent="0.2">
      <c r="A45" s="988"/>
      <c r="B45" s="162"/>
      <c r="C45" s="162"/>
      <c r="D45" s="1832" t="s">
        <v>1063</v>
      </c>
      <c r="E45" s="1833">
        <f>(E43/E44)</f>
        <v>2.4696224753408488E-2</v>
      </c>
      <c r="F45" s="1832" t="s">
        <v>1063</v>
      </c>
      <c r="G45" s="1833">
        <f>(G43/G44)</f>
        <v>9.1079693809102691E-2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8" sqref="A8"/>
      <selection pane="bottomLeft" activeCell="A8" sqref="A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3" t="s">
        <v>1446</v>
      </c>
      <c r="B1" s="2333"/>
      <c r="C1" s="2333"/>
      <c r="D1" s="2333"/>
      <c r="E1" s="2333"/>
      <c r="F1" s="233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4" t="s">
        <v>1627</v>
      </c>
      <c r="B5" s="2335"/>
      <c r="C5" s="2336"/>
      <c r="D5" s="2336"/>
      <c r="E5" s="2336"/>
      <c r="F5" s="2336"/>
    </row>
    <row r="6" spans="1:10" ht="12" customHeight="1" x14ac:dyDescent="0.25">
      <c r="A6" s="1875"/>
      <c r="B6" s="1876"/>
      <c r="C6" s="2337" t="str">
        <f>COVER!A17</f>
        <v>Coulterville USD 1</v>
      </c>
      <c r="D6" s="2337"/>
      <c r="E6" s="2337"/>
      <c r="F6" s="1877"/>
    </row>
    <row r="7" spans="1:10" ht="11.25" customHeight="1" thickBot="1" x14ac:dyDescent="0.3">
      <c r="A7" s="1875"/>
      <c r="B7" s="1876"/>
      <c r="C7" s="2338">
        <f>COVER!A13</f>
        <v>45079001022</v>
      </c>
      <c r="D7" s="2338"/>
      <c r="E7" s="233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t="s">
        <v>2077</v>
      </c>
      <c r="F24" s="1892" t="s">
        <v>2114</v>
      </c>
      <c r="H24" s="1903">
        <f t="shared" si="0"/>
        <v>5</v>
      </c>
      <c r="I24" s="1903">
        <f t="shared" si="1"/>
        <v>5</v>
      </c>
      <c r="J24" s="1903">
        <f t="shared" si="2"/>
        <v>5</v>
      </c>
    </row>
    <row r="25" spans="1:12" ht="12" customHeight="1" x14ac:dyDescent="0.2">
      <c r="A25" s="1888" t="s">
        <v>1614</v>
      </c>
      <c r="B25" s="1889"/>
      <c r="C25" s="1890" t="s">
        <v>2077</v>
      </c>
      <c r="D25" s="1890" t="s">
        <v>2077</v>
      </c>
      <c r="E25" s="1893" t="s">
        <v>2077</v>
      </c>
      <c r="F25" s="1892" t="s">
        <v>2115</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2116</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2117</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2118</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8"/>
      <c r="B39" s="1898"/>
      <c r="C39" s="1898"/>
      <c r="D39" s="1898"/>
      <c r="E39" s="1898"/>
      <c r="F39" s="1898"/>
    </row>
    <row r="40" spans="1:11" s="1895" customFormat="1" ht="12" customHeight="1" x14ac:dyDescent="0.25">
      <c r="A40" s="1899" t="s">
        <v>1458</v>
      </c>
      <c r="B40" s="1900"/>
      <c r="C40" s="2328"/>
      <c r="D40" s="2328"/>
      <c r="E40" s="2328"/>
      <c r="F40" s="2329"/>
      <c r="H40" s="1904"/>
      <c r="I40" s="1904"/>
      <c r="J40" s="1904"/>
      <c r="K40" s="1904"/>
    </row>
    <row r="41" spans="1:11" s="1895" customFormat="1" ht="12" customHeight="1" x14ac:dyDescent="0.25">
      <c r="A41" s="2330"/>
      <c r="B41" s="2331"/>
      <c r="C41" s="2331"/>
      <c r="D41" s="2331"/>
      <c r="E41" s="2331"/>
      <c r="F41" s="2332"/>
      <c r="H41" s="1904"/>
      <c r="I41" s="1904"/>
      <c r="J41" s="1904"/>
      <c r="K41" s="1904"/>
    </row>
    <row r="42" spans="1:11" s="1895" customFormat="1" ht="12" customHeight="1" x14ac:dyDescent="0.25">
      <c r="A42" s="2330"/>
      <c r="B42" s="2331"/>
      <c r="C42" s="2331"/>
      <c r="D42" s="2331"/>
      <c r="E42" s="2331"/>
      <c r="F42" s="2332"/>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4"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6" t="str">
        <f>COVER!A17</f>
        <v>Coulterville USD 1</v>
      </c>
      <c r="J6" s="2347"/>
      <c r="Q6" s="1686"/>
    </row>
    <row r="7" spans="1:17" x14ac:dyDescent="0.2">
      <c r="A7" s="2348" t="s">
        <v>924</v>
      </c>
      <c r="B7" s="2349"/>
      <c r="C7" s="2349"/>
      <c r="D7" s="2349"/>
      <c r="E7" s="2350"/>
      <c r="F7" s="1018"/>
      <c r="G7" s="1010"/>
      <c r="H7" s="1017" t="s">
        <v>390</v>
      </c>
      <c r="I7" s="2351">
        <f>COVER!A13</f>
        <v>45079001022</v>
      </c>
      <c r="J7" s="235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88635</v>
      </c>
      <c r="F12" s="1040"/>
      <c r="G12" s="1834">
        <f t="shared" ref="G12:G18" si="0">SUM(E12:F12)</f>
        <v>88635</v>
      </c>
      <c r="H12" s="1041">
        <v>93061</v>
      </c>
      <c r="I12" s="1040"/>
      <c r="J12" s="1834">
        <f t="shared" ref="J12:J18" si="1">SUM(H12:I12)</f>
        <v>93061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5" t="s">
        <v>7</v>
      </c>
      <c r="C18" s="2356"/>
      <c r="D18" s="235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88635</v>
      </c>
      <c r="F19" s="1836">
        <f t="shared" si="2"/>
        <v>0</v>
      </c>
      <c r="G19" s="1836">
        <f t="shared" si="2"/>
        <v>88635</v>
      </c>
      <c r="H19" s="1836">
        <f t="shared" si="2"/>
        <v>93061</v>
      </c>
      <c r="I19" s="1836">
        <f t="shared" si="2"/>
        <v>0</v>
      </c>
      <c r="J19" s="1836">
        <f t="shared" si="2"/>
        <v>93061</v>
      </c>
    </row>
    <row r="20" spans="1:10" ht="13.5" thickTop="1" x14ac:dyDescent="0.2">
      <c r="A20" s="1036">
        <v>9</v>
      </c>
      <c r="B20" s="2358" t="s">
        <v>1703</v>
      </c>
      <c r="C20" s="2358"/>
      <c r="D20" s="2359"/>
      <c r="E20" s="1047"/>
      <c r="F20" s="1047"/>
      <c r="G20" s="1047"/>
      <c r="H20" s="1047"/>
      <c r="I20" s="1047"/>
      <c r="J20" s="1837">
        <f>IF(AND(G19&gt;0,J19&gt;0),(((J19-G19)/G19)),"Enter Budget Data")</f>
        <v>4.9935127207085241E-2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6"/>
  <sheetViews>
    <sheetView showGridLines="0" zoomScale="110" zoomScaleNormal="110" workbookViewId="0">
      <selection activeCell="A8" sqref="A8"/>
    </sheetView>
  </sheetViews>
  <sheetFormatPr defaultColWidth="9.140625" defaultRowHeight="12.75" x14ac:dyDescent="0.2"/>
  <cols>
    <col min="1" max="1" width="3" style="329" customWidth="1"/>
    <col min="2" max="2" width="2.5703125" style="329" customWidth="1"/>
    <col min="3" max="3" width="6.7109375" style="329" customWidth="1"/>
    <col min="4" max="4" width="3.7109375" style="329" customWidth="1"/>
    <col min="5" max="5" width="9.140625" style="329"/>
    <col min="6" max="6" width="3.7109375" style="329" customWidth="1"/>
    <col min="7" max="7" width="26.28515625" style="329" customWidth="1"/>
    <col min="8" max="8" width="3.5703125" style="329" customWidth="1"/>
    <col min="9" max="9" width="46.7109375" style="329" customWidth="1"/>
    <col min="10" max="10" width="3.28515625" style="329" customWidth="1"/>
    <col min="11" max="11" width="9.140625" style="329" customWidth="1"/>
    <col min="12" max="16384" width="9.140625" style="329"/>
  </cols>
  <sheetData>
    <row r="2" spans="1:11" x14ac:dyDescent="0.2">
      <c r="A2" s="389" t="s">
        <v>276</v>
      </c>
    </row>
    <row r="3" spans="1:11" x14ac:dyDescent="0.2">
      <c r="A3" s="329" t="s">
        <v>277</v>
      </c>
    </row>
    <row r="5" spans="1:11" ht="16.149999999999999" customHeight="1" x14ac:dyDescent="0.2">
      <c r="A5" s="1960"/>
      <c r="B5" s="1959"/>
      <c r="C5" s="1962" t="s">
        <v>2119</v>
      </c>
      <c r="D5" s="1961"/>
      <c r="E5" s="1962" t="s">
        <v>396</v>
      </c>
      <c r="F5" s="1961"/>
      <c r="G5" s="1962" t="s">
        <v>1137</v>
      </c>
      <c r="H5" s="1961"/>
      <c r="I5" s="1962" t="s">
        <v>502</v>
      </c>
      <c r="J5" s="1961"/>
      <c r="K5" s="1962" t="s">
        <v>920</v>
      </c>
    </row>
    <row r="6" spans="1:11" ht="10.9" customHeight="1" x14ac:dyDescent="0.2"/>
    <row r="7" spans="1:11" x14ac:dyDescent="0.2">
      <c r="A7" s="1070">
        <v>1</v>
      </c>
      <c r="C7" s="1968">
        <v>14</v>
      </c>
      <c r="E7" s="1965">
        <v>1290</v>
      </c>
      <c r="F7" s="1963"/>
      <c r="G7" s="1964" t="s">
        <v>1217</v>
      </c>
      <c r="H7" s="1963"/>
      <c r="I7" s="1964" t="s">
        <v>2120</v>
      </c>
      <c r="J7" s="1963"/>
      <c r="K7" s="1966">
        <v>47</v>
      </c>
    </row>
    <row r="8" spans="1:11" x14ac:dyDescent="0.2">
      <c r="A8" s="1069"/>
      <c r="C8" s="1968"/>
      <c r="E8" s="1965"/>
      <c r="F8" s="1963"/>
      <c r="G8" s="1964" t="s">
        <v>925</v>
      </c>
      <c r="H8" s="1963"/>
      <c r="I8" s="1964" t="s">
        <v>2120</v>
      </c>
      <c r="J8" s="1963"/>
      <c r="K8" s="1966">
        <v>8</v>
      </c>
    </row>
    <row r="9" spans="1:11" x14ac:dyDescent="0.2">
      <c r="A9" s="1069"/>
      <c r="C9" s="1968"/>
      <c r="E9" s="1965"/>
      <c r="F9" s="1963"/>
      <c r="G9" s="1964" t="s">
        <v>470</v>
      </c>
      <c r="H9" s="1963"/>
      <c r="I9" s="1964" t="s">
        <v>2120</v>
      </c>
      <c r="J9" s="1963"/>
      <c r="K9" s="1966">
        <v>5</v>
      </c>
    </row>
    <row r="10" spans="1:11" x14ac:dyDescent="0.2">
      <c r="A10" s="1069"/>
      <c r="C10" s="1968"/>
      <c r="E10" s="1965"/>
      <c r="F10" s="1963"/>
      <c r="G10" s="1964" t="s">
        <v>157</v>
      </c>
      <c r="H10" s="1963"/>
      <c r="I10" s="1964" t="s">
        <v>2120</v>
      </c>
      <c r="J10" s="1963"/>
      <c r="K10" s="1966">
        <v>3</v>
      </c>
    </row>
    <row r="11" spans="1:11" x14ac:dyDescent="0.2">
      <c r="A11" s="1069"/>
      <c r="C11" s="1968"/>
      <c r="E11" s="1965"/>
      <c r="F11" s="1963"/>
      <c r="G11" s="1964" t="s">
        <v>2121</v>
      </c>
      <c r="H11" s="1963"/>
      <c r="I11" s="1964" t="s">
        <v>2120</v>
      </c>
      <c r="J11" s="1963"/>
      <c r="K11" s="1966">
        <v>6</v>
      </c>
    </row>
    <row r="12" spans="1:11" x14ac:dyDescent="0.2">
      <c r="A12" s="1069"/>
      <c r="C12" s="1968"/>
      <c r="E12" s="1965"/>
      <c r="F12" s="1963"/>
      <c r="G12" s="1964" t="s">
        <v>427</v>
      </c>
      <c r="H12" s="1963"/>
      <c r="I12" s="1964" t="s">
        <v>2120</v>
      </c>
      <c r="J12" s="1963"/>
      <c r="K12" s="1966">
        <v>1</v>
      </c>
    </row>
    <row r="13" spans="1:11" x14ac:dyDescent="0.2">
      <c r="A13" s="1069"/>
      <c r="C13" s="1968"/>
      <c r="E13" s="1965"/>
      <c r="F13" s="1963"/>
      <c r="G13" s="1964" t="s">
        <v>456</v>
      </c>
      <c r="H13" s="1963"/>
      <c r="I13" s="1964" t="s">
        <v>2120</v>
      </c>
      <c r="J13" s="1963"/>
      <c r="K13" s="1966">
        <v>10</v>
      </c>
    </row>
    <row r="14" spans="1:11" x14ac:dyDescent="0.2">
      <c r="A14" s="1069"/>
      <c r="C14" s="1968"/>
      <c r="E14" s="1965"/>
      <c r="F14" s="1963"/>
      <c r="G14" s="1964" t="s">
        <v>159</v>
      </c>
      <c r="H14" s="1963"/>
      <c r="I14" s="1964" t="s">
        <v>2120</v>
      </c>
      <c r="J14" s="1963"/>
      <c r="K14" s="1966">
        <v>1</v>
      </c>
    </row>
    <row r="15" spans="1:11" x14ac:dyDescent="0.2">
      <c r="A15" s="1069"/>
      <c r="C15" s="1968"/>
    </row>
    <row r="16" spans="1:11" x14ac:dyDescent="0.2">
      <c r="A16" s="1070">
        <v>2</v>
      </c>
      <c r="C16" s="1968">
        <v>15</v>
      </c>
      <c r="E16" s="1965">
        <v>1614</v>
      </c>
      <c r="F16" s="1963"/>
      <c r="G16" s="1964" t="s">
        <v>1217</v>
      </c>
      <c r="H16" s="1963"/>
      <c r="I16" s="1964" t="s">
        <v>2127</v>
      </c>
      <c r="J16" s="1963"/>
      <c r="K16" s="1966">
        <v>670</v>
      </c>
    </row>
    <row r="17" spans="1:11" x14ac:dyDescent="0.2">
      <c r="A17" s="1070"/>
      <c r="C17" s="1968"/>
      <c r="E17" s="1965"/>
      <c r="F17" s="1963"/>
      <c r="G17" s="1964"/>
      <c r="H17" s="1963"/>
      <c r="I17" s="1964"/>
      <c r="J17" s="1963"/>
      <c r="K17" s="1966"/>
    </row>
    <row r="18" spans="1:11" x14ac:dyDescent="0.2">
      <c r="A18" s="1070">
        <v>3</v>
      </c>
      <c r="C18" s="1968">
        <v>15</v>
      </c>
      <c r="E18" s="1965">
        <v>1690</v>
      </c>
      <c r="F18" s="1963"/>
      <c r="G18" s="1964" t="s">
        <v>1217</v>
      </c>
      <c r="H18" s="1963"/>
      <c r="I18" s="1964" t="s">
        <v>2128</v>
      </c>
      <c r="J18" s="1963"/>
      <c r="K18" s="1966">
        <v>647</v>
      </c>
    </row>
    <row r="19" spans="1:11" x14ac:dyDescent="0.2">
      <c r="A19" s="1070"/>
      <c r="C19" s="1968"/>
      <c r="E19" s="1965"/>
      <c r="F19" s="1963"/>
      <c r="G19" s="1964"/>
      <c r="H19" s="1963"/>
      <c r="I19" s="1964"/>
      <c r="J19" s="1963"/>
      <c r="K19" s="1966"/>
    </row>
    <row r="20" spans="1:11" x14ac:dyDescent="0.2">
      <c r="A20" s="1070">
        <v>4</v>
      </c>
      <c r="C20" s="1968">
        <v>15</v>
      </c>
      <c r="E20" s="1965">
        <v>1999</v>
      </c>
      <c r="F20" s="1963"/>
      <c r="G20" s="1964" t="s">
        <v>1217</v>
      </c>
      <c r="H20" s="1963"/>
      <c r="I20" s="1964" t="s">
        <v>2122</v>
      </c>
      <c r="J20" s="1963"/>
      <c r="K20" s="1966">
        <v>6782</v>
      </c>
    </row>
    <row r="21" spans="1:11" x14ac:dyDescent="0.2">
      <c r="A21" s="1070"/>
      <c r="C21" s="1968"/>
      <c r="E21" s="1965"/>
      <c r="F21" s="1963"/>
      <c r="G21" s="1964"/>
      <c r="H21" s="1963"/>
      <c r="I21" s="1964"/>
      <c r="J21" s="1963"/>
      <c r="K21" s="1966"/>
    </row>
    <row r="22" spans="1:11" x14ac:dyDescent="0.2">
      <c r="A22" s="1070">
        <v>5</v>
      </c>
      <c r="C22" s="1968">
        <v>17</v>
      </c>
      <c r="E22" s="1965">
        <v>4090</v>
      </c>
      <c r="F22" s="1963"/>
      <c r="G22" s="1964" t="s">
        <v>1217</v>
      </c>
      <c r="H22" s="1963"/>
      <c r="I22" s="1964" t="s">
        <v>2130</v>
      </c>
      <c r="J22" s="1963"/>
      <c r="K22" s="1966">
        <v>26642</v>
      </c>
    </row>
    <row r="23" spans="1:11" x14ac:dyDescent="0.2">
      <c r="A23" s="1070"/>
      <c r="C23" s="1968"/>
      <c r="E23" s="1965"/>
      <c r="F23" s="1963"/>
      <c r="G23" s="1964"/>
      <c r="H23" s="1963"/>
      <c r="I23" s="1964"/>
      <c r="J23" s="1963"/>
      <c r="K23" s="1966"/>
    </row>
    <row r="24" spans="1:11" x14ac:dyDescent="0.2">
      <c r="A24" s="1070">
        <v>6</v>
      </c>
      <c r="C24" s="1968">
        <v>19</v>
      </c>
      <c r="E24" s="1965">
        <v>4999</v>
      </c>
      <c r="F24" s="1963"/>
      <c r="G24" s="1964" t="s">
        <v>1217</v>
      </c>
      <c r="H24" s="1963"/>
      <c r="I24" s="1964" t="s">
        <v>2125</v>
      </c>
      <c r="J24" s="1963"/>
      <c r="K24" s="1966">
        <v>3000</v>
      </c>
    </row>
    <row r="25" spans="1:11" x14ac:dyDescent="0.2">
      <c r="A25" s="1070"/>
      <c r="C25" s="1968"/>
      <c r="E25" s="1965"/>
      <c r="F25" s="1963"/>
      <c r="G25" s="1964"/>
      <c r="H25" s="1963"/>
      <c r="I25" s="1964" t="s">
        <v>2126</v>
      </c>
      <c r="J25" s="1963"/>
      <c r="K25" s="1966">
        <v>175</v>
      </c>
    </row>
    <row r="26" spans="1:11" ht="13.5" thickBot="1" x14ac:dyDescent="0.25">
      <c r="A26" s="1070"/>
      <c r="C26" s="1968"/>
      <c r="E26" s="1965"/>
      <c r="F26" s="1963"/>
      <c r="G26" s="1964"/>
      <c r="H26" s="1963"/>
      <c r="I26" s="1964"/>
      <c r="J26" s="1963"/>
      <c r="K26" s="1969">
        <f>SUM(K24:K25)</f>
        <v>3175</v>
      </c>
    </row>
    <row r="27" spans="1:11" ht="13.5" thickTop="1" x14ac:dyDescent="0.2">
      <c r="A27" s="1070"/>
      <c r="C27" s="1968"/>
      <c r="E27" s="1965"/>
      <c r="F27" s="1963"/>
      <c r="G27" s="1964"/>
      <c r="H27" s="1963"/>
      <c r="I27" s="1964"/>
      <c r="J27" s="1963"/>
      <c r="K27" s="1966"/>
    </row>
    <row r="28" spans="1:11" x14ac:dyDescent="0.2">
      <c r="A28" s="1070">
        <v>7</v>
      </c>
      <c r="C28" s="1968">
        <v>23</v>
      </c>
      <c r="E28" s="1965">
        <v>5400</v>
      </c>
      <c r="F28" s="1963"/>
      <c r="G28" s="1964" t="s">
        <v>470</v>
      </c>
      <c r="H28" s="1963"/>
      <c r="I28" s="1964" t="s">
        <v>2129</v>
      </c>
      <c r="J28" s="1963"/>
      <c r="K28" s="1966">
        <v>800</v>
      </c>
    </row>
    <row r="29" spans="1:11" x14ac:dyDescent="0.2">
      <c r="A29" s="1070"/>
      <c r="C29" s="1968"/>
      <c r="E29" s="1965"/>
      <c r="F29" s="1963"/>
      <c r="G29" s="1964"/>
      <c r="H29" s="1963"/>
      <c r="I29" s="1964"/>
      <c r="J29" s="1963"/>
      <c r="K29" s="1966"/>
    </row>
    <row r="30" spans="1:11" x14ac:dyDescent="0.2">
      <c r="A30" s="1070">
        <v>8</v>
      </c>
      <c r="C30" s="1968">
        <v>30</v>
      </c>
      <c r="E30" s="1967" t="s">
        <v>2123</v>
      </c>
      <c r="F30" s="1963"/>
      <c r="G30" s="1964" t="s">
        <v>430</v>
      </c>
      <c r="H30" s="1963"/>
      <c r="I30" s="1964" t="s">
        <v>2124</v>
      </c>
      <c r="J30" s="1963"/>
      <c r="K30" s="1966">
        <v>50</v>
      </c>
    </row>
    <row r="31" spans="1:11" x14ac:dyDescent="0.2">
      <c r="A31" s="1070"/>
      <c r="E31" s="1965"/>
      <c r="F31" s="1963"/>
      <c r="G31" s="1964"/>
      <c r="H31" s="1963"/>
      <c r="I31" s="1964"/>
      <c r="J31" s="1963"/>
      <c r="K31" s="1966"/>
    </row>
    <row r="32" spans="1:11" x14ac:dyDescent="0.2">
      <c r="A32" s="1070"/>
      <c r="E32" s="1965"/>
      <c r="F32" s="1963"/>
      <c r="G32" s="1964"/>
      <c r="H32" s="1963"/>
      <c r="I32" s="1964"/>
      <c r="J32" s="1963"/>
      <c r="K32" s="1966"/>
    </row>
    <row r="33" spans="1:11" x14ac:dyDescent="0.2">
      <c r="A33" s="1070"/>
      <c r="E33" s="1965"/>
      <c r="F33" s="1963"/>
      <c r="G33" s="1964"/>
      <c r="H33" s="1963"/>
      <c r="I33" s="1964"/>
      <c r="J33" s="1963"/>
      <c r="K33" s="1966"/>
    </row>
    <row r="34" spans="1:11" x14ac:dyDescent="0.2">
      <c r="A34" s="1070"/>
      <c r="E34" s="1965"/>
      <c r="F34" s="1963"/>
      <c r="G34" s="1964"/>
      <c r="H34" s="1963"/>
      <c r="I34" s="1964"/>
      <c r="J34" s="1963"/>
      <c r="K34" s="1966"/>
    </row>
    <row r="35" spans="1:11" x14ac:dyDescent="0.2">
      <c r="A35" s="1070"/>
      <c r="E35" s="1965"/>
      <c r="F35" s="1963"/>
      <c r="G35" s="1964"/>
      <c r="H35" s="1963"/>
      <c r="I35" s="1964"/>
      <c r="J35" s="1963"/>
      <c r="K35" s="1966"/>
    </row>
    <row r="36" spans="1:11" x14ac:dyDescent="0.2">
      <c r="A36" s="1070"/>
      <c r="E36" s="1965"/>
      <c r="F36" s="1963"/>
      <c r="G36" s="1964"/>
      <c r="H36" s="1963"/>
      <c r="I36" s="1964"/>
      <c r="J36" s="1963"/>
      <c r="K36" s="1966"/>
    </row>
    <row r="37" spans="1:11" x14ac:dyDescent="0.2">
      <c r="A37" s="1070"/>
      <c r="E37" s="1965"/>
      <c r="F37" s="1963"/>
      <c r="G37" s="1964"/>
      <c r="H37" s="1963"/>
      <c r="I37" s="1964"/>
      <c r="J37" s="1963"/>
      <c r="K37" s="1966"/>
    </row>
    <row r="38" spans="1:11" x14ac:dyDescent="0.2">
      <c r="A38" s="1070"/>
      <c r="E38" s="1965"/>
      <c r="F38" s="1963"/>
      <c r="G38" s="1964"/>
      <c r="H38" s="1963"/>
      <c r="I38" s="1964"/>
      <c r="J38" s="1963"/>
      <c r="K38" s="1966"/>
    </row>
    <row r="39" spans="1:11" x14ac:dyDescent="0.2">
      <c r="A39" s="1070"/>
      <c r="E39" s="1965"/>
      <c r="F39" s="1963"/>
      <c r="G39" s="1964"/>
      <c r="H39" s="1963"/>
      <c r="I39" s="1964"/>
      <c r="J39" s="1963"/>
      <c r="K39" s="1966"/>
    </row>
    <row r="40" spans="1:11" x14ac:dyDescent="0.2">
      <c r="A40" s="1070"/>
      <c r="E40" s="1965"/>
      <c r="F40" s="1963"/>
      <c r="G40" s="1964"/>
      <c r="H40" s="1963"/>
      <c r="I40" s="1964"/>
      <c r="J40" s="1963"/>
      <c r="K40" s="1966"/>
    </row>
    <row r="41" spans="1:11" x14ac:dyDescent="0.2">
      <c r="A41" s="1070"/>
      <c r="E41" s="1965"/>
      <c r="F41" s="1963"/>
      <c r="G41" s="1964"/>
      <c r="H41" s="1963"/>
      <c r="I41" s="1964"/>
      <c r="J41" s="1963"/>
      <c r="K41" s="1966"/>
    </row>
    <row r="42" spans="1:11" x14ac:dyDescent="0.2">
      <c r="A42" s="1070"/>
      <c r="E42" s="1965"/>
      <c r="F42" s="1963"/>
      <c r="G42" s="1964"/>
      <c r="H42" s="1963"/>
      <c r="I42" s="1964"/>
      <c r="J42" s="1963"/>
      <c r="K42" s="1966"/>
    </row>
    <row r="43" spans="1:11" x14ac:dyDescent="0.2">
      <c r="A43" s="1070"/>
      <c r="E43" s="1965"/>
      <c r="F43" s="1963"/>
      <c r="G43" s="1964"/>
      <c r="H43" s="1963"/>
      <c r="I43" s="1964"/>
      <c r="J43" s="1963"/>
      <c r="K43" s="1966"/>
    </row>
    <row r="44" spans="1:11" x14ac:dyDescent="0.2">
      <c r="A44" s="1070"/>
      <c r="E44" s="1965"/>
      <c r="F44" s="1963"/>
      <c r="G44" s="1964"/>
      <c r="H44" s="1963"/>
      <c r="I44" s="1964"/>
      <c r="J44" s="1963"/>
      <c r="K44" s="1966"/>
    </row>
    <row r="45" spans="1:11" x14ac:dyDescent="0.2">
      <c r="A45" s="1070"/>
      <c r="E45" s="1965"/>
      <c r="F45" s="1963"/>
      <c r="G45" s="1964"/>
      <c r="H45" s="1963"/>
      <c r="I45" s="1964"/>
      <c r="J45" s="1963"/>
      <c r="K45" s="1966"/>
    </row>
    <row r="46" spans="1:11" x14ac:dyDescent="0.2">
      <c r="A46" s="1070"/>
      <c r="E46" s="1965"/>
      <c r="F46" s="1963"/>
      <c r="G46" s="1964"/>
      <c r="H46" s="1963"/>
      <c r="I46" s="1964"/>
      <c r="J46" s="1963"/>
      <c r="K46" s="1966"/>
    </row>
    <row r="47" spans="1:11" x14ac:dyDescent="0.2">
      <c r="A47" s="1070"/>
      <c r="E47" s="1965"/>
      <c r="F47" s="1963"/>
      <c r="G47" s="1964"/>
      <c r="H47" s="1963"/>
      <c r="I47" s="1964"/>
      <c r="J47" s="1963"/>
      <c r="K47" s="1966"/>
    </row>
    <row r="48" spans="1:11" x14ac:dyDescent="0.2">
      <c r="A48" s="1070"/>
      <c r="E48" s="1965"/>
      <c r="F48" s="1963"/>
      <c r="G48" s="1964"/>
      <c r="H48" s="1963"/>
      <c r="I48" s="1964"/>
      <c r="J48" s="1963"/>
      <c r="K48" s="1966"/>
    </row>
    <row r="49" spans="1:11" x14ac:dyDescent="0.2">
      <c r="A49" s="1070"/>
      <c r="E49" s="1965"/>
      <c r="F49" s="1963"/>
      <c r="G49" s="1964"/>
      <c r="H49" s="1963"/>
      <c r="I49" s="1964"/>
      <c r="J49" s="1963"/>
      <c r="K49" s="1966"/>
    </row>
    <row r="50" spans="1:11" x14ac:dyDescent="0.2">
      <c r="A50" s="1070"/>
      <c r="E50" s="1965"/>
      <c r="F50" s="1963"/>
      <c r="G50" s="1964"/>
      <c r="H50" s="1963"/>
      <c r="I50" s="1964"/>
      <c r="J50" s="1963"/>
      <c r="K50" s="1966"/>
    </row>
    <row r="51" spans="1:11" x14ac:dyDescent="0.2">
      <c r="A51" s="1070"/>
      <c r="E51" s="1965"/>
      <c r="F51" s="1963"/>
      <c r="G51" s="1964"/>
      <c r="H51" s="1963"/>
      <c r="I51" s="1964"/>
      <c r="J51" s="1963"/>
      <c r="K51" s="1966"/>
    </row>
    <row r="52" spans="1:11" x14ac:dyDescent="0.2">
      <c r="A52" s="1070"/>
      <c r="E52" s="1965"/>
      <c r="F52" s="1963"/>
      <c r="G52" s="1964"/>
      <c r="H52" s="1963"/>
      <c r="I52" s="1964"/>
      <c r="J52" s="1963"/>
      <c r="K52" s="1966"/>
    </row>
    <row r="53" spans="1:11" x14ac:dyDescent="0.2">
      <c r="A53" s="1070"/>
      <c r="E53" s="1965"/>
      <c r="F53" s="1963"/>
      <c r="G53" s="1964"/>
      <c r="H53" s="1963"/>
      <c r="I53" s="1964"/>
      <c r="J53" s="1963"/>
      <c r="K53" s="1966"/>
    </row>
    <row r="54" spans="1:11" x14ac:dyDescent="0.2">
      <c r="A54" s="1070"/>
      <c r="E54" s="1965"/>
      <c r="F54" s="1963"/>
      <c r="G54" s="1964"/>
      <c r="H54" s="1963"/>
      <c r="I54" s="1964"/>
      <c r="J54" s="1963"/>
      <c r="K54" s="1966"/>
    </row>
    <row r="55" spans="1:11" x14ac:dyDescent="0.2">
      <c r="A55" s="1070"/>
      <c r="E55" s="1965"/>
      <c r="F55" s="1963"/>
      <c r="G55" s="1964"/>
      <c r="H55" s="1963"/>
      <c r="I55" s="1964"/>
      <c r="J55" s="1963"/>
      <c r="K55" s="1966"/>
    </row>
    <row r="56" spans="1:11" x14ac:dyDescent="0.2">
      <c r="A56" s="1070"/>
      <c r="E56" s="1965"/>
      <c r="F56" s="1963"/>
      <c r="G56" s="1964"/>
      <c r="H56" s="1963"/>
      <c r="I56" s="1964"/>
      <c r="J56" s="1963"/>
      <c r="K56" s="1966"/>
    </row>
    <row r="57" spans="1:11" x14ac:dyDescent="0.2">
      <c r="A57" s="1070"/>
    </row>
    <row r="58" spans="1:11" x14ac:dyDescent="0.2">
      <c r="A58" s="1070"/>
    </row>
    <row r="59" spans="1:11" x14ac:dyDescent="0.2">
      <c r="A59" s="1070"/>
    </row>
    <row r="60" spans="1:11" x14ac:dyDescent="0.2">
      <c r="A60" s="1070"/>
    </row>
    <row r="61" spans="1:11" x14ac:dyDescent="0.2">
      <c r="A61" s="1070"/>
    </row>
    <row r="62" spans="1:11" x14ac:dyDescent="0.2">
      <c r="A62" s="1070"/>
    </row>
    <row r="63" spans="1:11" x14ac:dyDescent="0.2">
      <c r="A63" s="1070"/>
    </row>
    <row r="64" spans="1:11" x14ac:dyDescent="0.2">
      <c r="A64" s="1070"/>
    </row>
    <row r="65" spans="1:2" x14ac:dyDescent="0.2">
      <c r="A65" s="1070"/>
      <c r="B65" s="258" t="str">
        <f>COVER!A17</f>
        <v>Coulterville USD 1</v>
      </c>
    </row>
    <row r="66" spans="1:2" x14ac:dyDescent="0.2">
      <c r="B66" s="1071">
        <f>COVER!A13</f>
        <v>45079001022</v>
      </c>
    </row>
  </sheetData>
  <phoneticPr fontId="14"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17"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5" t="s">
        <v>1784</v>
      </c>
      <c r="B18" s="236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5"/>
      <c r="H2" s="1075"/>
    </row>
    <row r="3" spans="1:8" ht="57" customHeight="1" x14ac:dyDescent="0.2">
      <c r="A3" s="2379" t="s">
        <v>1786</v>
      </c>
      <c r="B3" s="2380"/>
      <c r="C3" s="2380"/>
      <c r="D3" s="2380"/>
      <c r="E3" s="2380"/>
      <c r="F3" s="2381"/>
      <c r="G3" s="1075"/>
      <c r="H3" s="1075"/>
    </row>
    <row r="4" spans="1:8" ht="14.25" customHeight="1" x14ac:dyDescent="0.2">
      <c r="A4" s="2385" t="s">
        <v>2056</v>
      </c>
      <c r="B4" s="2386"/>
      <c r="C4" s="2386"/>
      <c r="D4" s="2386"/>
      <c r="E4" s="2386"/>
      <c r="F4" s="2387"/>
      <c r="G4" s="1075"/>
      <c r="H4" s="1075"/>
    </row>
    <row r="5" spans="1:8" ht="14.25" customHeight="1" x14ac:dyDescent="0.2">
      <c r="A5" s="2388" t="s">
        <v>2057</v>
      </c>
      <c r="B5" s="2389"/>
      <c r="C5" s="2389"/>
      <c r="D5" s="2389"/>
      <c r="E5" s="2389"/>
      <c r="F5" s="2390"/>
      <c r="G5" s="1075"/>
      <c r="H5" s="1075"/>
    </row>
    <row r="6" spans="1:8" s="1076" customFormat="1" ht="41.25" customHeight="1" x14ac:dyDescent="0.2">
      <c r="A6" s="2382" t="s">
        <v>1792</v>
      </c>
      <c r="B6" s="2383"/>
      <c r="C6" s="2383"/>
      <c r="D6" s="2383"/>
      <c r="E6" s="2383"/>
      <c r="F6" s="238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1949489</v>
      </c>
      <c r="C8" s="1838">
        <f>'Acct Summary 7-8'!D8</f>
        <v>76985</v>
      </c>
      <c r="D8" s="1838">
        <f>'Acct Summary 7-8'!F8</f>
        <v>92900</v>
      </c>
      <c r="E8" s="1838">
        <f>'Acct Summary 7-8'!I8</f>
        <v>8916</v>
      </c>
      <c r="F8" s="1838">
        <f>SUM(B8:E8)</f>
        <v>2128290</v>
      </c>
    </row>
    <row r="9" spans="1:8" s="1080" customFormat="1" ht="14.25" customHeight="1" thickBot="1" x14ac:dyDescent="0.25">
      <c r="A9" s="1079" t="s">
        <v>1436</v>
      </c>
      <c r="B9" s="1839">
        <f>'Acct Summary 7-8'!C17</f>
        <v>1829086</v>
      </c>
      <c r="C9" s="1839">
        <f>'Acct Summary 7-8'!D17</f>
        <v>64288</v>
      </c>
      <c r="D9" s="1839">
        <f>'Acct Summary 7-8'!F17</f>
        <v>67743</v>
      </c>
      <c r="E9" s="1838"/>
      <c r="F9" s="1838">
        <f>SUM(B9:E9)</f>
        <v>1961117</v>
      </c>
    </row>
    <row r="10" spans="1:8" s="1080" customFormat="1" ht="14.25" thickTop="1" thickBot="1" x14ac:dyDescent="0.25">
      <c r="A10" s="1081" t="s">
        <v>1437</v>
      </c>
      <c r="B10" s="1840">
        <f>(B8-B9)</f>
        <v>120403</v>
      </c>
      <c r="C10" s="1840">
        <f>(C8-C9)</f>
        <v>12697</v>
      </c>
      <c r="D10" s="1840">
        <f>(D8-D9)</f>
        <v>25157</v>
      </c>
      <c r="E10" s="1839">
        <f>(E8-E9)</f>
        <v>8916</v>
      </c>
      <c r="F10" s="1841">
        <f>SUM(F8-F9)</f>
        <v>167173</v>
      </c>
    </row>
    <row r="11" spans="1:8" s="1080" customFormat="1" ht="14.25" thickTop="1" thickBot="1" x14ac:dyDescent="0.25">
      <c r="A11" s="1082" t="s">
        <v>1785</v>
      </c>
      <c r="B11" s="1842">
        <f>'Acct Summary 7-8'!C81</f>
        <v>709987</v>
      </c>
      <c r="C11" s="1842">
        <f>'Acct Summary 7-8'!D81</f>
        <v>86570</v>
      </c>
      <c r="D11" s="1842">
        <f>'Acct Summary 7-8'!F81</f>
        <v>82092</v>
      </c>
      <c r="E11" s="1842">
        <f>'Acct Summary 7-8'!I81</f>
        <v>313006</v>
      </c>
      <c r="F11" s="1843">
        <f>SUM(B11:E11)</f>
        <v>1191655</v>
      </c>
    </row>
    <row r="12" spans="1:8" ht="16.5" customHeight="1" thickTop="1" x14ac:dyDescent="0.2">
      <c r="A12" s="1083"/>
      <c r="B12" s="1084"/>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5"/>
      <c r="B13" s="1086"/>
      <c r="C13" s="2370"/>
      <c r="D13" s="2371"/>
      <c r="E13" s="2371"/>
      <c r="F13" s="2372"/>
      <c r="H13" s="1075"/>
    </row>
    <row r="14" spans="1:8" ht="19.5" customHeight="1" x14ac:dyDescent="0.2">
      <c r="A14" s="1085"/>
      <c r="B14" s="1086"/>
      <c r="C14" s="2370"/>
      <c r="D14" s="2371"/>
      <c r="E14" s="2371"/>
      <c r="F14" s="2372"/>
      <c r="H14" s="1075"/>
    </row>
    <row r="15" spans="1:8" ht="17.25" customHeight="1" x14ac:dyDescent="0.2">
      <c r="A15" s="1085"/>
      <c r="B15" s="1086"/>
      <c r="C15" s="2373"/>
      <c r="D15" s="2374"/>
      <c r="E15" s="2374"/>
      <c r="F15" s="2375"/>
      <c r="H15" s="1075"/>
    </row>
    <row r="16" spans="1:8" s="310" customFormat="1" ht="51.75" hidden="1" customHeight="1" x14ac:dyDescent="0.2">
      <c r="A16" s="2369" t="s">
        <v>1787</v>
      </c>
      <c r="B16" s="2369"/>
      <c r="C16" s="2369"/>
      <c r="D16" s="2369"/>
      <c r="E16" s="236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1" t="s">
        <v>686</v>
      </c>
      <c r="B3" s="2392"/>
      <c r="C3" s="2392"/>
      <c r="D3" s="239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2" t="s">
        <v>1584</v>
      </c>
      <c r="D7" s="240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6" t="s">
        <v>332</v>
      </c>
      <c r="D21" s="2407"/>
    </row>
    <row r="22" spans="1:10" ht="12.75" x14ac:dyDescent="0.2">
      <c r="A22" s="1140"/>
      <c r="B22" s="1141">
        <v>2</v>
      </c>
      <c r="C22" s="2404" t="s">
        <v>1605</v>
      </c>
      <c r="D22" s="240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8" t="s">
        <v>557</v>
      </c>
      <c r="D43" s="240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0" t="s">
        <v>817</v>
      </c>
      <c r="D56" s="240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0" t="s">
        <v>1797</v>
      </c>
      <c r="D70" s="240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45079001022</v>
      </c>
    </row>
    <row r="3" spans="1:2" x14ac:dyDescent="0.2">
      <c r="A3" t="s">
        <v>1013</v>
      </c>
      <c r="B3" s="138" t="str">
        <f>COVER!A15</f>
        <v>RANDOLPH</v>
      </c>
    </row>
    <row r="4" spans="1:2" x14ac:dyDescent="0.2">
      <c r="A4" t="s">
        <v>1064</v>
      </c>
      <c r="B4" s="138" t="str">
        <f>COVER!A17</f>
        <v>Coulterville USD 1</v>
      </c>
    </row>
    <row r="5" spans="1:2" x14ac:dyDescent="0.2">
      <c r="A5" t="s">
        <v>728</v>
      </c>
      <c r="B5" s="138" t="str">
        <f>COVER!A38</f>
        <v>KARYN ALBERS</v>
      </c>
    </row>
    <row r="6" spans="1:2" x14ac:dyDescent="0.2">
      <c r="A6" t="s">
        <v>733</v>
      </c>
      <c r="B6" s="138">
        <f>COVER!P35</f>
        <v>0</v>
      </c>
    </row>
    <row r="7" spans="1:2" x14ac:dyDescent="0.2">
      <c r="A7" t="s">
        <v>729</v>
      </c>
      <c r="B7" s="138">
        <f>COVER!I38</f>
        <v>0</v>
      </c>
    </row>
    <row r="8" spans="1:2" x14ac:dyDescent="0.2">
      <c r="A8" t="s">
        <v>730</v>
      </c>
      <c r="B8" s="138" t="str">
        <f>COVER!T38</f>
        <v>KELTON DAVIS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065-014460</v>
      </c>
    </row>
    <row r="16" spans="1:2" x14ac:dyDescent="0.2">
      <c r="A16" t="s">
        <v>442</v>
      </c>
      <c r="B16" s="138" t="str">
        <f>COVER!T13</f>
        <v>SCHEFFEL BOYLE</v>
      </c>
    </row>
    <row r="17" spans="1:2" x14ac:dyDescent="0.2">
      <c r="A17" t="s">
        <v>939</v>
      </c>
      <c r="B17" s="138" t="str">
        <f>COVER!T15</f>
        <v>KEITH G. BRINKMANN, CPA</v>
      </c>
    </row>
    <row r="18" spans="1:2" x14ac:dyDescent="0.2">
      <c r="A18" t="s">
        <v>1212</v>
      </c>
      <c r="B18" s="138" t="str">
        <f>COVER!T17</f>
        <v>7 HILL CASTLE</v>
      </c>
    </row>
    <row r="19" spans="1:2" x14ac:dyDescent="0.2">
      <c r="A19" t="s">
        <v>941</v>
      </c>
      <c r="B19" s="138" t="str">
        <f>COVER!T25</f>
        <v>keith.brinkmann@scheffelboyle.com</v>
      </c>
    </row>
    <row r="20" spans="1:2" x14ac:dyDescent="0.2">
      <c r="A20" t="s">
        <v>942</v>
      </c>
      <c r="B20" s="138" t="str">
        <f>COVER!T19</f>
        <v>COLUMBIA</v>
      </c>
    </row>
    <row r="21" spans="1:2" x14ac:dyDescent="0.2">
      <c r="A21" t="s">
        <v>500</v>
      </c>
      <c r="B21" s="138" t="str">
        <f>COVER!X19</f>
        <v>IL</v>
      </c>
    </row>
    <row r="22" spans="1:2" x14ac:dyDescent="0.2">
      <c r="A22" t="s">
        <v>943</v>
      </c>
      <c r="B22" s="138">
        <f>COVER!Z19</f>
        <v>62236</v>
      </c>
    </row>
    <row r="23" spans="1:2" x14ac:dyDescent="0.2">
      <c r="A23" t="s">
        <v>1214</v>
      </c>
      <c r="B23" s="138" t="str">
        <f>COVER!T21</f>
        <v>618-281-7605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353626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709987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344107</v>
      </c>
      <c r="D92" s="2" t="str">
        <f t="shared" si="0"/>
        <v>Error?</v>
      </c>
    </row>
    <row r="93" spans="1:4" x14ac:dyDescent="0.2">
      <c r="A93" s="5">
        <v>32</v>
      </c>
      <c r="B93" s="138">
        <f>'Assets-Liab 5-6'!C41</f>
        <v>709987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86570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86570</v>
      </c>
      <c r="D123" s="2" t="str">
        <f t="shared" si="0"/>
        <v>Error?</v>
      </c>
    </row>
    <row r="124" spans="1:4" x14ac:dyDescent="0.2">
      <c r="A124" s="5">
        <v>63</v>
      </c>
      <c r="B124" s="138">
        <f>'Assets-Liab 5-6'!D41</f>
        <v>86570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55591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23185</v>
      </c>
      <c r="D140" s="2" t="str">
        <f t="shared" si="1"/>
        <v>Error?</v>
      </c>
    </row>
    <row r="141" spans="1:4" x14ac:dyDescent="0.2">
      <c r="A141" s="5">
        <v>80</v>
      </c>
      <c r="B141" s="138">
        <f>'Assets-Liab 5-6'!E41</f>
        <v>55591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82092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82092</v>
      </c>
      <c r="D170" s="2" t="str">
        <f t="shared" si="1"/>
        <v>Error?</v>
      </c>
    </row>
    <row r="171" spans="1:4" x14ac:dyDescent="0.2">
      <c r="A171" s="5">
        <v>110</v>
      </c>
      <c r="B171" s="138">
        <f>'Assets-Liab 5-6'!F41</f>
        <v>82092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19015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19015</v>
      </c>
      <c r="D189" s="2" t="str">
        <f t="shared" si="1"/>
        <v>Error?</v>
      </c>
    </row>
    <row r="190" spans="1:4" x14ac:dyDescent="0.2">
      <c r="A190" s="5">
        <v>129</v>
      </c>
      <c r="B190" s="138">
        <f>'Assets-Liab 5-6'!G41</f>
        <v>19015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1053725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1053725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36297</v>
      </c>
      <c r="D273" s="2" t="str">
        <f t="shared" si="3"/>
        <v>Error?</v>
      </c>
    </row>
    <row r="274" spans="1:4" x14ac:dyDescent="0.2">
      <c r="A274" s="5">
        <v>213</v>
      </c>
      <c r="B274" s="138">
        <f>'Assets-Liab 5-6'!M17</f>
        <v>1860400</v>
      </c>
      <c r="D274" s="2" t="str">
        <f t="shared" si="3"/>
        <v>Error?</v>
      </c>
    </row>
    <row r="275" spans="1:4" x14ac:dyDescent="0.2">
      <c r="A275" s="5">
        <v>214</v>
      </c>
      <c r="B275" s="138">
        <f>'Assets-Liab 5-6'!M18</f>
        <v>87286</v>
      </c>
      <c r="D275" s="2" t="str">
        <f t="shared" si="3"/>
        <v>Error?</v>
      </c>
    </row>
    <row r="276" spans="1:4" x14ac:dyDescent="0.2">
      <c r="A276" s="5">
        <v>215</v>
      </c>
      <c r="B276" s="138">
        <f>'Assets-Liab 5-6'!M19</f>
        <v>869565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2966266</v>
      </c>
      <c r="C279" s="2" t="s">
        <v>594</v>
      </c>
      <c r="D279" s="2" t="str">
        <f t="shared" si="3"/>
        <v>Error?</v>
      </c>
    </row>
    <row r="280" spans="1:4" x14ac:dyDescent="0.2">
      <c r="A280" s="5">
        <v>219</v>
      </c>
      <c r="B280" s="138">
        <f>'Assets-Liab 5-6'!M40</f>
        <v>2966266</v>
      </c>
      <c r="D280" s="2" t="str">
        <f t="shared" si="3"/>
        <v>Error?</v>
      </c>
    </row>
    <row r="281" spans="1:4" x14ac:dyDescent="0.2">
      <c r="A281" s="5">
        <v>220</v>
      </c>
      <c r="B281" s="138">
        <f>'Assets-Liab 5-6'!M41</f>
        <v>2966266</v>
      </c>
      <c r="C281" s="2" t="s">
        <v>594</v>
      </c>
      <c r="D281" s="2" t="str">
        <f t="shared" si="3"/>
        <v>Error?</v>
      </c>
    </row>
    <row r="282" spans="1:4" x14ac:dyDescent="0.2">
      <c r="A282" s="5">
        <v>221</v>
      </c>
      <c r="B282" s="138">
        <f>'Assets-Liab 5-6'!N21</f>
        <v>55591</v>
      </c>
      <c r="D282" s="2" t="str">
        <f t="shared" si="3"/>
        <v>Error?</v>
      </c>
    </row>
    <row r="283" spans="1:4" x14ac:dyDescent="0.2">
      <c r="A283" s="5">
        <v>222</v>
      </c>
      <c r="B283" s="138">
        <f>'Assets-Liab 5-6'!N22</f>
        <v>1120409</v>
      </c>
      <c r="D283" s="2" t="str">
        <f t="shared" si="3"/>
        <v>Error?</v>
      </c>
    </row>
    <row r="284" spans="1:4" x14ac:dyDescent="0.2">
      <c r="A284" s="5">
        <v>223</v>
      </c>
      <c r="B284" s="138">
        <f>'Assets-Liab 5-6'!N23</f>
        <v>1176000</v>
      </c>
      <c r="C284" s="2" t="s">
        <v>594</v>
      </c>
      <c r="D284" s="2" t="str">
        <f t="shared" si="3"/>
        <v>Error?</v>
      </c>
    </row>
    <row r="285" spans="1:4" x14ac:dyDescent="0.2">
      <c r="A285" s="5">
        <v>224</v>
      </c>
      <c r="B285" s="138">
        <f>'Assets-Liab 5-6'!N36</f>
        <v>1176000</v>
      </c>
      <c r="D285" s="2" t="str">
        <f t="shared" si="3"/>
        <v>Error?</v>
      </c>
    </row>
    <row r="286" spans="1:4" x14ac:dyDescent="0.2">
      <c r="A286" s="10">
        <v>225</v>
      </c>
      <c r="D286" s="2" t="str">
        <f t="shared" si="3"/>
        <v>OK</v>
      </c>
    </row>
    <row r="287" spans="1:4" x14ac:dyDescent="0.2">
      <c r="A287" s="5">
        <v>226</v>
      </c>
      <c r="B287" s="138">
        <f>'Assets-Liab 5-6'!N37</f>
        <v>1176000</v>
      </c>
      <c r="C287" s="2" t="s">
        <v>594</v>
      </c>
      <c r="D287" s="2" t="str">
        <f t="shared" si="3"/>
        <v>Error?</v>
      </c>
    </row>
    <row r="288" spans="1:4" x14ac:dyDescent="0.2">
      <c r="A288" s="5">
        <v>227</v>
      </c>
      <c r="B288" s="138">
        <f>'Assets-Liab 5-6'!N41</f>
        <v>1176000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1000000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769321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59778</v>
      </c>
      <c r="D717" s="2" t="str">
        <f t="shared" si="10"/>
        <v>Error?</v>
      </c>
    </row>
    <row r="718" spans="1:4" x14ac:dyDescent="0.2">
      <c r="A718" s="5">
        <v>657</v>
      </c>
      <c r="B718" s="138">
        <f>'Expenditures 15-22'!C14</f>
        <v>16510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1034031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15832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24153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39985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77943</v>
      </c>
      <c r="D733" s="2" t="str">
        <f t="shared" si="10"/>
        <v>Error?</v>
      </c>
    </row>
    <row r="734" spans="1:4" x14ac:dyDescent="0.2">
      <c r="A734" s="5">
        <v>673</v>
      </c>
      <c r="B734" s="138">
        <f>'Expenditures 15-22'!C53</f>
        <v>77943</v>
      </c>
      <c r="C734" s="2" t="s">
        <v>594</v>
      </c>
      <c r="D734" s="2" t="str">
        <f t="shared" si="10"/>
        <v>Error?</v>
      </c>
    </row>
    <row r="735" spans="1:4" x14ac:dyDescent="0.2">
      <c r="A735" s="5">
        <v>674</v>
      </c>
      <c r="B735" s="138">
        <f>'Expenditures 15-22'!C55</f>
        <v>117224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117224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37666</v>
      </c>
      <c r="D739" s="2" t="str">
        <f t="shared" si="10"/>
        <v>Error?</v>
      </c>
    </row>
    <row r="740" spans="1:4" x14ac:dyDescent="0.2">
      <c r="A740" s="5">
        <v>679</v>
      </c>
      <c r="B740" s="138">
        <f>'Expenditures 15-22'!C61</f>
        <v>41877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38122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117665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352817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1386848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90867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7533</v>
      </c>
      <c r="D775" s="2" t="str">
        <f t="shared" si="11"/>
        <v>Error?</v>
      </c>
    </row>
    <row r="776" spans="1:4" x14ac:dyDescent="0.2">
      <c r="A776" s="5">
        <v>715</v>
      </c>
      <c r="B776" s="138">
        <f>'Expenditures 15-22'!D14</f>
        <v>1198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127633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1781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1781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9970</v>
      </c>
      <c r="D791" s="2" t="str">
        <f t="shared" si="11"/>
        <v>Error?</v>
      </c>
    </row>
    <row r="792" spans="1:4" x14ac:dyDescent="0.2">
      <c r="A792" s="5">
        <v>731</v>
      </c>
      <c r="B792" s="138">
        <f>'Expenditures 15-22'!D53</f>
        <v>9970</v>
      </c>
      <c r="C792" s="2" t="s">
        <v>594</v>
      </c>
      <c r="D792" s="2" t="str">
        <f t="shared" si="11"/>
        <v>Error?</v>
      </c>
    </row>
    <row r="793" spans="1:4" x14ac:dyDescent="0.2">
      <c r="A793" s="5">
        <v>732</v>
      </c>
      <c r="B793" s="138">
        <f>'Expenditures 15-22'!D55</f>
        <v>8594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8594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20345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147978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29512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44766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2651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2651</v>
      </c>
      <c r="C847" s="2" t="s">
        <v>594</v>
      </c>
      <c r="D847" s="2" t="str">
        <f t="shared" si="12"/>
        <v>Error?</v>
      </c>
    </row>
    <row r="848" spans="1:4" x14ac:dyDescent="0.2">
      <c r="A848" s="5">
        <v>787</v>
      </c>
      <c r="B848" s="138">
        <f>'Expenditures 15-22'!E49</f>
        <v>35692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35692</v>
      </c>
      <c r="C850" s="2" t="s">
        <v>594</v>
      </c>
      <c r="D850" s="2" t="str">
        <f t="shared" si="12"/>
        <v>Error?</v>
      </c>
    </row>
    <row r="851" spans="1:4" x14ac:dyDescent="0.2">
      <c r="A851" s="5">
        <v>790</v>
      </c>
      <c r="B851" s="138">
        <f>'Expenditures 15-22'!E55</f>
        <v>320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1489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40152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84918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1286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52709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655</v>
      </c>
      <c r="D906" s="2" t="str">
        <f t="shared" si="13"/>
        <v>Error?</v>
      </c>
    </row>
    <row r="907" spans="1:4" x14ac:dyDescent="0.2">
      <c r="A907" s="5">
        <v>846</v>
      </c>
      <c r="B907" s="138">
        <f>'Expenditures 15-22'!F50</f>
        <v>25</v>
      </c>
      <c r="D907" s="2" t="str">
        <f t="shared" si="13"/>
        <v>Error?</v>
      </c>
    </row>
    <row r="908" spans="1:4" x14ac:dyDescent="0.2">
      <c r="A908" s="5">
        <v>847</v>
      </c>
      <c r="B908" s="138">
        <f>'Expenditures 15-22'!F53</f>
        <v>680</v>
      </c>
      <c r="C908" s="2" t="s">
        <v>594</v>
      </c>
      <c r="D908" s="2" t="str">
        <f t="shared" si="13"/>
        <v>Error?</v>
      </c>
    </row>
    <row r="909" spans="1:4" x14ac:dyDescent="0.2">
      <c r="A909" s="5">
        <v>848</v>
      </c>
      <c r="B909" s="138">
        <f>'Expenditures 15-22'!F55</f>
        <v>848</v>
      </c>
      <c r="D909" s="2" t="str">
        <f t="shared" si="13"/>
        <v>OK</v>
      </c>
    </row>
    <row r="910" spans="1:4" x14ac:dyDescent="0.2">
      <c r="A910" s="5">
        <v>849</v>
      </c>
      <c r="B910" s="138">
        <f>'Expenditures 15-22'!F56</f>
        <v>0</v>
      </c>
      <c r="D910" s="2" t="str">
        <f t="shared" si="13"/>
        <v>Error?</v>
      </c>
    </row>
    <row r="911" spans="1:4" x14ac:dyDescent="0.2">
      <c r="A911" s="5">
        <v>850</v>
      </c>
      <c r="B911" s="138">
        <f>'Expenditures 15-22'!F57</f>
        <v>848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42237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42237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43765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96474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12971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25999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25999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1135</v>
      </c>
      <c r="D1022" s="2" t="str">
        <f t="shared" si="14"/>
        <v>Error?</v>
      </c>
    </row>
    <row r="1023" spans="1:4" x14ac:dyDescent="0.2">
      <c r="A1023" s="5">
        <v>962</v>
      </c>
      <c r="B1023" s="138">
        <f>'Expenditures 15-22'!H50</f>
        <v>697</v>
      </c>
      <c r="D1023" s="2" t="str">
        <f t="shared" ref="D1023:D1086" si="15">IF(ISBLANK(B1023),"OK",IF(A1023-B1023=0,"OK","Error?"))</f>
        <v>Error?</v>
      </c>
    </row>
    <row r="1024" spans="1:4" x14ac:dyDescent="0.2">
      <c r="A1024" s="5">
        <v>963</v>
      </c>
      <c r="B1024" s="138">
        <f>'Expenditures 15-22'!H53</f>
        <v>1832</v>
      </c>
      <c r="C1024" s="2" t="s">
        <v>594</v>
      </c>
      <c r="D1024" s="2" t="str">
        <f t="shared" si="15"/>
        <v>Error?</v>
      </c>
    </row>
    <row r="1025" spans="1:4" x14ac:dyDescent="0.2">
      <c r="A1025" s="5">
        <v>964</v>
      </c>
      <c r="B1025" s="138">
        <f>'Expenditures 15-22'!H55</f>
        <v>314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2146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84723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86869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884911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68597</v>
      </c>
      <c r="C1105" s="2" t="s">
        <v>594</v>
      </c>
      <c r="D1105" s="2" t="str">
        <f t="shared" si="16"/>
        <v>Error?</v>
      </c>
    </row>
    <row r="1106" spans="1:4" x14ac:dyDescent="0.2">
      <c r="A1106" s="5">
        <v>1045</v>
      </c>
      <c r="B1106" s="138">
        <f>'Expenditures 15-22'!K14</f>
        <v>47220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1285138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17613</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24153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41766</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2651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2651</v>
      </c>
      <c r="C1119" s="2" t="s">
        <v>594</v>
      </c>
      <c r="D1119" s="2" t="str">
        <f t="shared" si="16"/>
        <v>Error?</v>
      </c>
    </row>
    <row r="1120" spans="1:4" x14ac:dyDescent="0.2">
      <c r="A1120" s="5">
        <v>1059</v>
      </c>
      <c r="B1120" s="138">
        <f>'Expenditures 15-22'!K49</f>
        <v>37482</v>
      </c>
      <c r="C1120" s="2" t="s">
        <v>594</v>
      </c>
      <c r="D1120" s="2" t="str">
        <f t="shared" si="16"/>
        <v>Error?</v>
      </c>
    </row>
    <row r="1121" spans="1:4" x14ac:dyDescent="0.2">
      <c r="A1121" s="5">
        <v>1060</v>
      </c>
      <c r="B1121" s="138">
        <f>'Expenditures 15-22'!K50</f>
        <v>88635</v>
      </c>
      <c r="C1121" s="2" t="s">
        <v>594</v>
      </c>
      <c r="D1121" s="2" t="str">
        <f t="shared" si="16"/>
        <v>Error?</v>
      </c>
    </row>
    <row r="1122" spans="1:4" x14ac:dyDescent="0.2">
      <c r="A1122" s="5">
        <v>1061</v>
      </c>
      <c r="B1122" s="138">
        <f>'Expenditures 15-22'!K53</f>
        <v>126117</v>
      </c>
      <c r="C1122" s="2" t="s">
        <v>594</v>
      </c>
      <c r="D1122" s="2" t="str">
        <f t="shared" si="16"/>
        <v>Error?</v>
      </c>
    </row>
    <row r="1123" spans="1:4" x14ac:dyDescent="0.2">
      <c r="A1123" s="5">
        <v>1062</v>
      </c>
      <c r="B1123" s="138">
        <f>'Expenditures 15-22'!K55</f>
        <v>127300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127300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37666</v>
      </c>
      <c r="C1127" s="2" t="s">
        <v>594</v>
      </c>
      <c r="D1127" s="2" t="str">
        <f t="shared" si="16"/>
        <v>Error?</v>
      </c>
    </row>
    <row r="1128" spans="1:4" x14ac:dyDescent="0.2">
      <c r="A1128" s="5">
        <v>1067</v>
      </c>
      <c r="B1128" s="138">
        <f>'Expenditures 15-22'!K61</f>
        <v>41877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81848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161391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459225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84723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1829086</v>
      </c>
      <c r="C1152" s="2" t="s">
        <v>594</v>
      </c>
      <c r="D1152" s="2" t="str">
        <f t="shared" si="17"/>
        <v>Error?</v>
      </c>
    </row>
    <row r="1153" spans="1:4" x14ac:dyDescent="0.2">
      <c r="A1153" s="5">
        <v>1092</v>
      </c>
      <c r="B1153" s="138">
        <f>'Expenditures 15-22'!K115</f>
        <v>120403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17536</v>
      </c>
      <c r="D1221" s="2" t="str">
        <f t="shared" si="18"/>
        <v>Error?</v>
      </c>
    </row>
    <row r="1222" spans="1:4" x14ac:dyDescent="0.2">
      <c r="A1222" s="10">
        <v>1161</v>
      </c>
      <c r="D1222" s="2" t="str">
        <f t="shared" si="18"/>
        <v>OK</v>
      </c>
    </row>
    <row r="1223" spans="1:4" x14ac:dyDescent="0.2">
      <c r="A1223" s="5">
        <v>1162</v>
      </c>
      <c r="B1223" s="138">
        <f>'Expenditures 15-22'!C127</f>
        <v>17536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17536</v>
      </c>
      <c r="C1225" s="2" t="s">
        <v>594</v>
      </c>
      <c r="D1225" s="2" t="str">
        <f t="shared" si="18"/>
        <v>Error?</v>
      </c>
    </row>
    <row r="1226" spans="1:4" x14ac:dyDescent="0.2">
      <c r="A1226" s="5">
        <v>1165</v>
      </c>
      <c r="B1226" s="138">
        <f>'Expenditures 15-22'!C151</f>
        <v>17536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9458</v>
      </c>
      <c r="D1237" s="2" t="str">
        <f t="shared" si="18"/>
        <v>Error?</v>
      </c>
    </row>
    <row r="1238" spans="1:4" x14ac:dyDescent="0.2">
      <c r="A1238" s="10">
        <v>1177</v>
      </c>
      <c r="D1238" s="2" t="str">
        <f t="shared" si="18"/>
        <v>OK</v>
      </c>
    </row>
    <row r="1239" spans="1:4" x14ac:dyDescent="0.2">
      <c r="A1239" s="5">
        <v>1178</v>
      </c>
      <c r="B1239" s="138">
        <f>'Expenditures 15-22'!E127</f>
        <v>9458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9458</v>
      </c>
      <c r="C1241" s="2" t="s">
        <v>594</v>
      </c>
      <c r="D1241" s="2" t="str">
        <f t="shared" si="18"/>
        <v>Error?</v>
      </c>
    </row>
    <row r="1242" spans="1:4" x14ac:dyDescent="0.2">
      <c r="A1242" s="5">
        <v>1181</v>
      </c>
      <c r="B1242" s="138">
        <f>'Expenditures 15-22'!E151</f>
        <v>9458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37294</v>
      </c>
      <c r="D1245" s="2" t="str">
        <f t="shared" si="18"/>
        <v>Error?</v>
      </c>
    </row>
    <row r="1246" spans="1:4" x14ac:dyDescent="0.2">
      <c r="A1246" s="10">
        <v>1185</v>
      </c>
      <c r="D1246" s="2" t="str">
        <f t="shared" si="18"/>
        <v>OK</v>
      </c>
    </row>
    <row r="1247" spans="1:4" x14ac:dyDescent="0.2">
      <c r="A1247" s="5">
        <v>1186</v>
      </c>
      <c r="B1247" s="138">
        <f>'Expenditures 15-22'!F127</f>
        <v>37294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37294</v>
      </c>
      <c r="C1249" s="2" t="s">
        <v>594</v>
      </c>
      <c r="D1249" s="2" t="str">
        <f t="shared" si="18"/>
        <v>Error?</v>
      </c>
    </row>
    <row r="1250" spans="1:4" x14ac:dyDescent="0.2">
      <c r="A1250" s="5">
        <v>1189</v>
      </c>
      <c r="B1250" s="138">
        <f>'Expenditures 15-22'!F151</f>
        <v>37294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64288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64288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64288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64288</v>
      </c>
      <c r="C1288" s="2" t="s">
        <v>594</v>
      </c>
      <c r="D1288" s="2" t="str">
        <f t="shared" si="19"/>
        <v>Error?</v>
      </c>
    </row>
    <row r="1289" spans="1:4" x14ac:dyDescent="0.2">
      <c r="A1289" s="5">
        <v>1228</v>
      </c>
      <c r="B1289" s="138">
        <f>'Expenditures 15-22'!K152</f>
        <v>12697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34000</v>
      </c>
      <c r="D1315" s="2" t="str">
        <f t="shared" si="19"/>
        <v>Error?</v>
      </c>
    </row>
    <row r="1316" spans="1:4" x14ac:dyDescent="0.2">
      <c r="A1316" s="5">
        <v>1255</v>
      </c>
      <c r="B1316" s="138">
        <f>'Expenditures 15-22'!H171</f>
        <v>800</v>
      </c>
      <c r="D1316" s="2" t="str">
        <f t="shared" si="19"/>
        <v>Error?</v>
      </c>
    </row>
    <row r="1317" spans="1:4" x14ac:dyDescent="0.2">
      <c r="A1317" s="5">
        <v>1256</v>
      </c>
      <c r="B1317" s="138">
        <f>'Expenditures 15-22'!H172</f>
        <v>44500</v>
      </c>
      <c r="C1317" s="2" t="s">
        <v>594</v>
      </c>
      <c r="D1317" s="2" t="str">
        <f t="shared" si="19"/>
        <v>Error?</v>
      </c>
    </row>
    <row r="1318" spans="1:4" x14ac:dyDescent="0.2">
      <c r="A1318" s="5">
        <v>1257</v>
      </c>
      <c r="B1318" s="138">
        <f>'Expenditures 15-22'!H174</f>
        <v>44500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9700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34000</v>
      </c>
      <c r="C1329" s="2" t="s">
        <v>594</v>
      </c>
      <c r="D1329" s="2" t="str">
        <f t="shared" si="19"/>
        <v>Error?</v>
      </c>
    </row>
    <row r="1330" spans="1:4" x14ac:dyDescent="0.2">
      <c r="A1330" s="5">
        <v>1269</v>
      </c>
      <c r="B1330" s="138">
        <f>'Expenditures 15-22'!K171</f>
        <v>800</v>
      </c>
      <c r="C1330" s="2" t="s">
        <v>594</v>
      </c>
      <c r="D1330" s="2" t="str">
        <f t="shared" si="19"/>
        <v>Error?</v>
      </c>
    </row>
    <row r="1331" spans="1:4" x14ac:dyDescent="0.2">
      <c r="A1331" s="5">
        <v>1270</v>
      </c>
      <c r="B1331" s="138">
        <f>'Expenditures 15-22'!K172</f>
        <v>44500</v>
      </c>
      <c r="C1331" s="2" t="s">
        <v>594</v>
      </c>
      <c r="D1331" s="2" t="str">
        <f t="shared" si="19"/>
        <v>Error?</v>
      </c>
    </row>
    <row r="1332" spans="1:4" x14ac:dyDescent="0.2">
      <c r="A1332" s="5">
        <v>1271</v>
      </c>
      <c r="B1332" s="138">
        <f>'Expenditures 15-22'!K174</f>
        <v>44500</v>
      </c>
      <c r="C1332" s="2" t="s">
        <v>594</v>
      </c>
      <c r="D1332" s="2" t="str">
        <f t="shared" si="19"/>
        <v>Error?</v>
      </c>
    </row>
    <row r="1333" spans="1:4" x14ac:dyDescent="0.2">
      <c r="A1333" s="5">
        <v>1272</v>
      </c>
      <c r="B1333" s="138">
        <f>'Expenditures 15-22'!K175</f>
        <v>33264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60675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60675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60675</v>
      </c>
      <c r="C1353" s="2" t="s">
        <v>594</v>
      </c>
      <c r="D1353" s="2" t="str">
        <f t="shared" si="20"/>
        <v>Error?</v>
      </c>
    </row>
    <row r="1354" spans="1:4" x14ac:dyDescent="0.2">
      <c r="A1354" s="5">
        <v>1293</v>
      </c>
      <c r="B1354" s="138">
        <f>'Expenditures 15-22'!F182</f>
        <v>7068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7068</v>
      </c>
      <c r="C1358" s="2" t="s">
        <v>594</v>
      </c>
      <c r="D1358" s="2" t="str">
        <f t="shared" si="20"/>
        <v>Error?</v>
      </c>
    </row>
    <row r="1359" spans="1:4" x14ac:dyDescent="0.2">
      <c r="A1359" s="5">
        <v>1298</v>
      </c>
      <c r="B1359" s="138">
        <f>'Expenditures 15-22'!F210</f>
        <v>7068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67743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67743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67743</v>
      </c>
      <c r="C1388" s="2" t="s">
        <v>594</v>
      </c>
      <c r="D1388" s="2" t="str">
        <f t="shared" si="20"/>
        <v>Error?</v>
      </c>
    </row>
    <row r="1389" spans="1:4" x14ac:dyDescent="0.2">
      <c r="A1389" s="5">
        <v>1328</v>
      </c>
      <c r="B1389" s="138">
        <f>'Expenditures 15-22'!K211</f>
        <v>25157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910</v>
      </c>
      <c r="D1407" s="2" t="str">
        <f t="shared" ref="D1407:D1470" si="21">IF(ISBLANK(B1407),"OK",IF(A1407-B1407=0,"OK","Error?"))</f>
        <v>Error?</v>
      </c>
    </row>
    <row r="1408" spans="1:4" x14ac:dyDescent="0.2">
      <c r="A1408" s="5">
        <v>1347</v>
      </c>
      <c r="B1408" s="138">
        <f>'Expenditures 15-22'!D223</f>
        <v>1550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24578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1005</v>
      </c>
      <c r="D1423" s="2" t="str">
        <f t="shared" si="21"/>
        <v>Error?</v>
      </c>
    </row>
    <row r="1424" spans="1:4" x14ac:dyDescent="0.2">
      <c r="A1424" s="5">
        <v>1363</v>
      </c>
      <c r="B1424" s="138">
        <f>'Expenditures 15-22'!D257</f>
        <v>1169</v>
      </c>
      <c r="C1424" s="2" t="s">
        <v>594</v>
      </c>
      <c r="D1424" s="2" t="str">
        <f t="shared" si="21"/>
        <v>Error?</v>
      </c>
    </row>
    <row r="1425" spans="1:4" x14ac:dyDescent="0.2">
      <c r="A1425" s="5">
        <v>1364</v>
      </c>
      <c r="B1425" s="138">
        <f>'Expenditures 15-22'!D259</f>
        <v>10409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10409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8619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25143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37301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61879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910</v>
      </c>
      <c r="C1471" s="2" t="s">
        <v>594</v>
      </c>
      <c r="D1471" s="2" t="str">
        <f t="shared" ref="D1471:D1534" si="22">IF(ISBLANK(B1471),"OK",IF(A1471-B1471=0,"OK","Error?"))</f>
        <v>Error?</v>
      </c>
    </row>
    <row r="1472" spans="1:4" x14ac:dyDescent="0.2">
      <c r="A1472" s="5">
        <v>1411</v>
      </c>
      <c r="B1472" s="138">
        <f>'Expenditures 15-22'!K223</f>
        <v>1550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24578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230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350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580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1005</v>
      </c>
      <c r="C1487" s="2" t="s">
        <v>594</v>
      </c>
      <c r="D1487" s="2" t="str">
        <f t="shared" si="22"/>
        <v>Error?</v>
      </c>
    </row>
    <row r="1488" spans="1:4" x14ac:dyDescent="0.2">
      <c r="A1488" s="5">
        <v>1427</v>
      </c>
      <c r="B1488" s="138">
        <f>'Expenditures 15-22'!K257</f>
        <v>1169</v>
      </c>
      <c r="C1488" s="2" t="s">
        <v>594</v>
      </c>
      <c r="D1488" s="2" t="str">
        <f t="shared" si="22"/>
        <v>Error?</v>
      </c>
    </row>
    <row r="1489" spans="1:4" x14ac:dyDescent="0.2">
      <c r="A1489" s="5">
        <v>1428</v>
      </c>
      <c r="B1489" s="138">
        <f>'Expenditures 15-22'!K259</f>
        <v>10409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10409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8631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7893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8619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25143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37301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61879</v>
      </c>
      <c r="C1517" s="2" t="s">
        <v>594</v>
      </c>
      <c r="D1517" s="2" t="str">
        <f t="shared" si="22"/>
        <v>Error?</v>
      </c>
    </row>
    <row r="1518" spans="1:4" x14ac:dyDescent="0.2">
      <c r="A1518" s="5">
        <v>1457</v>
      </c>
      <c r="B1518" s="138">
        <f>'Expenditures 15-22'!K296</f>
        <v>-2623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16579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16579</v>
      </c>
      <c r="C1535" s="2" t="s">
        <v>594</v>
      </c>
      <c r="D1535" s="2" t="str">
        <f t="shared" ref="D1535:D1598" si="23">IF(ISBLANK(B1535),"OK",IF(A1535-B1535=0,"OK","Error?"))</f>
        <v>Error?</v>
      </c>
    </row>
    <row r="1536" spans="1:4" x14ac:dyDescent="0.2">
      <c r="A1536" s="5">
        <v>1475</v>
      </c>
      <c r="B1536" s="138">
        <f>'Expenditures 15-22'!E312</f>
        <v>16579</v>
      </c>
      <c r="C1536" s="2" t="s">
        <v>594</v>
      </c>
      <c r="D1536" s="2" t="str">
        <f t="shared" si="23"/>
        <v>Error?</v>
      </c>
    </row>
    <row r="1537" spans="1:4" x14ac:dyDescent="0.2">
      <c r="A1537" s="5">
        <v>1476</v>
      </c>
      <c r="B1537" s="138">
        <f>'Expenditures 15-22'!F301</f>
        <v>1672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1672</v>
      </c>
      <c r="C1541" s="2" t="s">
        <v>594</v>
      </c>
      <c r="D1541" s="2" t="str">
        <f t="shared" si="23"/>
        <v>Error?</v>
      </c>
    </row>
    <row r="1542" spans="1:4" x14ac:dyDescent="0.2">
      <c r="A1542" s="5">
        <v>1481</v>
      </c>
      <c r="B1542" s="138">
        <f>'Expenditures 15-22'!F312</f>
        <v>1672</v>
      </c>
      <c r="C1542" s="2" t="s">
        <v>594</v>
      </c>
      <c r="D1542" s="2" t="str">
        <f t="shared" si="23"/>
        <v>Error?</v>
      </c>
    </row>
    <row r="1543" spans="1:4" x14ac:dyDescent="0.2">
      <c r="A1543" s="5">
        <v>1482</v>
      </c>
      <c r="B1543" s="138">
        <f>'Expenditures 15-22'!G301</f>
        <v>135490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135490</v>
      </c>
      <c r="C1547" s="2" t="s">
        <v>594</v>
      </c>
      <c r="D1547" s="2" t="str">
        <f t="shared" si="23"/>
        <v>Error?</v>
      </c>
    </row>
    <row r="1548" spans="1:4" x14ac:dyDescent="0.2">
      <c r="A1548" s="5">
        <v>1487</v>
      </c>
      <c r="B1548" s="138">
        <f>'Expenditures 15-22'!G312</f>
        <v>135490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153741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153741</v>
      </c>
      <c r="C1559" s="2" t="s">
        <v>594</v>
      </c>
      <c r="D1559" s="2" t="str">
        <f t="shared" si="23"/>
        <v>Error?</v>
      </c>
    </row>
    <row r="1560" spans="1:4" x14ac:dyDescent="0.2">
      <c r="A1560" s="5">
        <v>1499</v>
      </c>
      <c r="B1560" s="138">
        <f>'Expenditures 15-22'!K312</f>
        <v>153741</v>
      </c>
      <c r="C1560" s="2" t="s">
        <v>594</v>
      </c>
      <c r="D1560" s="2" t="str">
        <f t="shared" si="23"/>
        <v>Error?</v>
      </c>
    </row>
    <row r="1561" spans="1:4" x14ac:dyDescent="0.2">
      <c r="A1561" s="5">
        <v>1500</v>
      </c>
      <c r="B1561" s="138">
        <f>'Expenditures 15-22'!K313</f>
        <v>-52648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589584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709987</v>
      </c>
      <c r="C1630" s="2" t="s">
        <v>594</v>
      </c>
      <c r="D1630" s="2" t="str">
        <f t="shared" si="24"/>
        <v>Error?</v>
      </c>
    </row>
    <row r="1631" spans="1:4" x14ac:dyDescent="0.2">
      <c r="A1631" s="5">
        <v>1570</v>
      </c>
      <c r="B1631" s="138">
        <f>'Acct Summary 7-8'!D79</f>
        <v>73873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86570</v>
      </c>
      <c r="C1644" s="2" t="s">
        <v>594</v>
      </c>
      <c r="D1644" s="2" t="str">
        <f t="shared" si="24"/>
        <v>Error?</v>
      </c>
    </row>
    <row r="1645" spans="1:4" x14ac:dyDescent="0.2">
      <c r="A1645" s="5">
        <v>1584</v>
      </c>
      <c r="B1645" s="138">
        <f>'Acct Summary 7-8'!E79</f>
        <v>22327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55591</v>
      </c>
      <c r="C1658" s="2" t="s">
        <v>594</v>
      </c>
      <c r="D1658" s="2" t="str">
        <f t="shared" si="24"/>
        <v>Error?</v>
      </c>
    </row>
    <row r="1659" spans="1:4" x14ac:dyDescent="0.2">
      <c r="A1659" s="5">
        <v>1598</v>
      </c>
      <c r="B1659" s="138">
        <f>'Acct Summary 7-8'!F79</f>
        <v>56935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82092</v>
      </c>
      <c r="C1672" s="2" t="s">
        <v>594</v>
      </c>
      <c r="D1672" s="2" t="str">
        <f t="shared" si="25"/>
        <v>Error?</v>
      </c>
    </row>
    <row r="1673" spans="1:4" x14ac:dyDescent="0.2">
      <c r="A1673" s="5">
        <v>1612</v>
      </c>
      <c r="B1673" s="138">
        <f>'Acct Summary 7-8'!G79</f>
        <v>21638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19015</v>
      </c>
      <c r="C1686" s="2" t="s">
        <v>594</v>
      </c>
      <c r="D1686" s="2" t="str">
        <f t="shared" si="25"/>
        <v>Error?</v>
      </c>
    </row>
    <row r="1687" spans="1:4" x14ac:dyDescent="0.2">
      <c r="A1687" s="5">
        <v>1626</v>
      </c>
      <c r="B1687" s="138">
        <f>'Acct Summary 7-8'!H79</f>
        <v>106373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1053725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433002</v>
      </c>
      <c r="C1744" s="2" t="s">
        <v>594</v>
      </c>
      <c r="D1744" s="2" t="str">
        <f t="shared" si="26"/>
        <v>Error?</v>
      </c>
    </row>
    <row r="1745" spans="1:5" x14ac:dyDescent="0.2">
      <c r="A1745" s="5">
        <v>1684</v>
      </c>
      <c r="B1745" s="138">
        <f>'Tax Sched 23'!B5</f>
        <v>76234</v>
      </c>
      <c r="C1745" s="2" t="s">
        <v>594</v>
      </c>
      <c r="D1745" s="2" t="str">
        <f t="shared" si="26"/>
        <v>Error?</v>
      </c>
    </row>
    <row r="1746" spans="1:5" x14ac:dyDescent="0.2">
      <c r="A1746" s="5">
        <v>1685</v>
      </c>
      <c r="B1746" s="138">
        <f>'Tax Sched 23'!B6</f>
        <v>44948</v>
      </c>
      <c r="C1746" s="2" t="s">
        <v>594</v>
      </c>
      <c r="D1746" s="2" t="str">
        <f t="shared" si="26"/>
        <v>Error?</v>
      </c>
    </row>
    <row r="1747" spans="1:5" x14ac:dyDescent="0.2">
      <c r="A1747" s="5">
        <v>1686</v>
      </c>
      <c r="B1747" s="138">
        <f>'Tax Sched 23'!B7</f>
        <v>30494</v>
      </c>
      <c r="C1747" s="2" t="s">
        <v>594</v>
      </c>
      <c r="D1747" s="2" t="str">
        <f t="shared" si="26"/>
        <v>Error?</v>
      </c>
    </row>
    <row r="1748" spans="1:5" x14ac:dyDescent="0.2">
      <c r="A1748" s="5">
        <v>1687</v>
      </c>
      <c r="B1748" s="138">
        <f>'Tax Sched 23'!B8</f>
        <v>30666</v>
      </c>
      <c r="C1748" s="2" t="s">
        <v>594</v>
      </c>
      <c r="D1748" s="2" t="str">
        <f t="shared" si="26"/>
        <v>Error?</v>
      </c>
    </row>
    <row r="1749" spans="1:5" x14ac:dyDescent="0.2">
      <c r="A1749" s="5">
        <v>1688</v>
      </c>
      <c r="B1749" s="138">
        <f>'Tax Sched 23'!B10</f>
        <v>7625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92541</v>
      </c>
      <c r="C1752" s="2" t="s">
        <v>594</v>
      </c>
      <c r="D1752" s="2" t="str">
        <f t="shared" si="26"/>
        <v>Error?</v>
      </c>
    </row>
    <row r="1753" spans="1:5" x14ac:dyDescent="0.2">
      <c r="A1753" s="5">
        <v>1692</v>
      </c>
      <c r="B1753" s="138">
        <f>'Tax Sched 23'!B12</f>
        <v>7625</v>
      </c>
      <c r="C1753" s="2" t="s">
        <v>594</v>
      </c>
      <c r="D1753" s="2" t="str">
        <f t="shared" si="26"/>
        <v>Error?</v>
      </c>
    </row>
    <row r="1754" spans="1:5" x14ac:dyDescent="0.2">
      <c r="A1754" s="5">
        <v>1693</v>
      </c>
      <c r="B1754" s="138">
        <f>'Tax Sched 23'!B14</f>
        <v>6101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757294</v>
      </c>
      <c r="C1759" s="2" t="s">
        <v>594</v>
      </c>
      <c r="D1759" s="2" t="str">
        <f t="shared" si="26"/>
        <v>Error?</v>
      </c>
    </row>
    <row r="1760" spans="1:5" x14ac:dyDescent="0.2">
      <c r="A1760" s="5">
        <v>1699</v>
      </c>
      <c r="B1760" s="138">
        <f>'Tax Sched 23'!D4</f>
        <v>433002</v>
      </c>
      <c r="C1760" s="2" t="s">
        <v>594</v>
      </c>
      <c r="D1760" s="2" t="str">
        <f t="shared" si="26"/>
        <v>Error?</v>
      </c>
    </row>
    <row r="1761" spans="1:5" x14ac:dyDescent="0.2">
      <c r="A1761" s="5">
        <v>1700</v>
      </c>
      <c r="B1761" s="138">
        <f>'Tax Sched 23'!D5</f>
        <v>76234</v>
      </c>
      <c r="C1761" s="2" t="s">
        <v>594</v>
      </c>
      <c r="D1761" s="2" t="str">
        <f t="shared" si="26"/>
        <v>Error?</v>
      </c>
    </row>
    <row r="1762" spans="1:5" s="8" customFormat="1" x14ac:dyDescent="0.2">
      <c r="A1762" s="5">
        <v>1701</v>
      </c>
      <c r="B1762" s="138">
        <f>'Tax Sched 23'!D6</f>
        <v>44948</v>
      </c>
      <c r="C1762" s="2" t="s">
        <v>594</v>
      </c>
      <c r="D1762" s="2" t="str">
        <f t="shared" si="26"/>
        <v>Error?</v>
      </c>
      <c r="E1762" s="9"/>
    </row>
    <row r="1763" spans="1:5" x14ac:dyDescent="0.2">
      <c r="A1763" s="5">
        <v>1702</v>
      </c>
      <c r="B1763" s="138">
        <f>'Tax Sched 23'!D7</f>
        <v>30494</v>
      </c>
      <c r="C1763" s="2" t="s">
        <v>594</v>
      </c>
      <c r="D1763" s="2" t="str">
        <f t="shared" si="26"/>
        <v>Error?</v>
      </c>
    </row>
    <row r="1764" spans="1:5" x14ac:dyDescent="0.2">
      <c r="A1764" s="5">
        <v>1703</v>
      </c>
      <c r="B1764" s="138">
        <f>'Tax Sched 23'!D8</f>
        <v>30666</v>
      </c>
      <c r="C1764" s="2" t="s">
        <v>594</v>
      </c>
      <c r="D1764" s="2" t="str">
        <f t="shared" si="26"/>
        <v>Error?</v>
      </c>
    </row>
    <row r="1765" spans="1:5" x14ac:dyDescent="0.2">
      <c r="A1765" s="5">
        <v>1704</v>
      </c>
      <c r="B1765" s="138">
        <f>'Tax Sched 23'!D10</f>
        <v>7625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92541</v>
      </c>
      <c r="C1768" s="2" t="s">
        <v>594</v>
      </c>
      <c r="D1768" s="2" t="str">
        <f t="shared" si="26"/>
        <v>Error?</v>
      </c>
    </row>
    <row r="1769" spans="1:5" x14ac:dyDescent="0.2">
      <c r="A1769" s="5">
        <v>1708</v>
      </c>
      <c r="B1769" s="138">
        <f>'Tax Sched 23'!D12</f>
        <v>7625</v>
      </c>
      <c r="C1769" s="2" t="s">
        <v>594</v>
      </c>
      <c r="D1769" s="2" t="str">
        <f t="shared" si="26"/>
        <v>Error?</v>
      </c>
    </row>
    <row r="1770" spans="1:5" x14ac:dyDescent="0.2">
      <c r="A1770" s="5">
        <v>1709</v>
      </c>
      <c r="B1770" s="138">
        <f>'Tax Sched 23'!D14</f>
        <v>6101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757294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452925</v>
      </c>
      <c r="C1792" s="2" t="s">
        <v>594</v>
      </c>
      <c r="D1792" s="2" t="str">
        <f t="shared" si="27"/>
        <v>Error?</v>
      </c>
    </row>
    <row r="1793" spans="1:4" x14ac:dyDescent="0.2">
      <c r="A1793" s="5">
        <v>1732</v>
      </c>
      <c r="B1793" s="138">
        <f>'Tax Sched 23'!F5</f>
        <v>79208</v>
      </c>
      <c r="C1793" s="2" t="s">
        <v>594</v>
      </c>
      <c r="D1793" s="2" t="str">
        <f t="shared" si="27"/>
        <v>Error?</v>
      </c>
    </row>
    <row r="1794" spans="1:4" x14ac:dyDescent="0.2">
      <c r="A1794" s="5">
        <v>1733</v>
      </c>
      <c r="B1794" s="138">
        <f>'Tax Sched 23'!F6</f>
        <v>47097</v>
      </c>
      <c r="C1794" s="2" t="s">
        <v>594</v>
      </c>
      <c r="D1794" s="2" t="str">
        <f t="shared" si="27"/>
        <v>Error?</v>
      </c>
    </row>
    <row r="1795" spans="1:4" x14ac:dyDescent="0.2">
      <c r="A1795" s="5">
        <v>1734</v>
      </c>
      <c r="B1795" s="138">
        <f>'Tax Sched 23'!F7</f>
        <v>31669</v>
      </c>
      <c r="C1795" s="2" t="s">
        <v>594</v>
      </c>
      <c r="D1795" s="2" t="str">
        <f t="shared" si="27"/>
        <v>Error?</v>
      </c>
    </row>
    <row r="1796" spans="1:4" x14ac:dyDescent="0.2">
      <c r="A1796" s="5">
        <v>1735</v>
      </c>
      <c r="B1796" s="138">
        <f>'Tax Sched 23'!F8</f>
        <v>31222</v>
      </c>
      <c r="C1796" s="2" t="s">
        <v>594</v>
      </c>
      <c r="D1796" s="2" t="str">
        <f t="shared" si="27"/>
        <v>Error?</v>
      </c>
    </row>
    <row r="1797" spans="1:4" x14ac:dyDescent="0.2">
      <c r="A1797" s="5">
        <v>1736</v>
      </c>
      <c r="B1797" s="138">
        <f>'Tax Sched 23'!F10</f>
        <v>7919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94214</v>
      </c>
      <c r="C1800" s="2" t="s">
        <v>594</v>
      </c>
      <c r="D1800" s="2" t="str">
        <f t="shared" si="27"/>
        <v>Error?</v>
      </c>
    </row>
    <row r="1801" spans="1:4" x14ac:dyDescent="0.2">
      <c r="A1801" s="5">
        <v>1740</v>
      </c>
      <c r="B1801" s="138">
        <f>'Tax Sched 23'!F12</f>
        <v>7919</v>
      </c>
      <c r="C1801" s="2" t="s">
        <v>594</v>
      </c>
      <c r="D1801" s="2" t="str">
        <f t="shared" si="27"/>
        <v>Error?</v>
      </c>
    </row>
    <row r="1802" spans="1:4" x14ac:dyDescent="0.2">
      <c r="A1802" s="5">
        <v>1741</v>
      </c>
      <c r="B1802" s="138">
        <f>'Tax Sched 23'!F14</f>
        <v>6342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787080</v>
      </c>
      <c r="C1807" s="2" t="s">
        <v>594</v>
      </c>
      <c r="D1807" s="2" t="str">
        <f t="shared" si="27"/>
        <v>Error?</v>
      </c>
    </row>
    <row r="1808" spans="1:4" x14ac:dyDescent="0.2">
      <c r="A1808" s="5">
        <v>1747</v>
      </c>
      <c r="B1808" s="138">
        <f>'Tax Sched 23'!E4</f>
        <v>452925</v>
      </c>
      <c r="D1808" s="2" t="str">
        <f t="shared" si="27"/>
        <v>Error?</v>
      </c>
    </row>
    <row r="1809" spans="1:4" x14ac:dyDescent="0.2">
      <c r="A1809" s="5">
        <v>1748</v>
      </c>
      <c r="B1809" s="138">
        <f>'Tax Sched 23'!E5</f>
        <v>79208</v>
      </c>
      <c r="D1809" s="2" t="str">
        <f t="shared" si="27"/>
        <v>Error?</v>
      </c>
    </row>
    <row r="1810" spans="1:4" x14ac:dyDescent="0.2">
      <c r="A1810" s="5">
        <v>1749</v>
      </c>
      <c r="B1810" s="138">
        <f>'Tax Sched 23'!E6</f>
        <v>47097</v>
      </c>
      <c r="D1810" s="2" t="str">
        <f t="shared" si="27"/>
        <v>Error?</v>
      </c>
    </row>
    <row r="1811" spans="1:4" x14ac:dyDescent="0.2">
      <c r="A1811" s="5">
        <v>1750</v>
      </c>
      <c r="B1811" s="138">
        <f>'Tax Sched 23'!E7</f>
        <v>31669</v>
      </c>
      <c r="D1811" s="2" t="str">
        <f t="shared" si="27"/>
        <v>Error?</v>
      </c>
    </row>
    <row r="1812" spans="1:4" x14ac:dyDescent="0.2">
      <c r="A1812" s="5">
        <v>1751</v>
      </c>
      <c r="B1812" s="138">
        <f>'Tax Sched 23'!E8</f>
        <v>31222</v>
      </c>
      <c r="D1812" s="2" t="str">
        <f t="shared" si="27"/>
        <v>Error?</v>
      </c>
    </row>
    <row r="1813" spans="1:4" x14ac:dyDescent="0.2">
      <c r="A1813" s="5">
        <v>1752</v>
      </c>
      <c r="B1813" s="138">
        <f>'Tax Sched 23'!E10</f>
        <v>7919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94214</v>
      </c>
      <c r="D1816" s="2" t="str">
        <f t="shared" si="27"/>
        <v>Error?</v>
      </c>
    </row>
    <row r="1817" spans="1:4" x14ac:dyDescent="0.2">
      <c r="A1817" s="5">
        <v>1756</v>
      </c>
      <c r="B1817" s="138">
        <f>'Tax Sched 23'!E12</f>
        <v>7919</v>
      </c>
      <c r="D1817" s="2" t="str">
        <f t="shared" si="27"/>
        <v>Error?</v>
      </c>
    </row>
    <row r="1818" spans="1:4" x14ac:dyDescent="0.2">
      <c r="A1818" s="5">
        <v>1757</v>
      </c>
      <c r="B1818" s="138">
        <f>'Tax Sched 23'!E14</f>
        <v>6342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787080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210000</v>
      </c>
      <c r="C1939" s="2" t="s">
        <v>594</v>
      </c>
      <c r="D1939" s="2" t="str">
        <f t="shared" si="29"/>
        <v>Error?</v>
      </c>
    </row>
    <row r="1940" spans="1:5" x14ac:dyDescent="0.2">
      <c r="A1940" s="5">
        <v>1879</v>
      </c>
      <c r="B1940" s="138">
        <f>'Short-Term Long-Term Debt 24'!F49</f>
        <v>1000000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6151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6151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36297</v>
      </c>
      <c r="D2008" s="2" t="str">
        <f t="shared" si="30"/>
        <v>Error?</v>
      </c>
    </row>
    <row r="2009" spans="1:4" x14ac:dyDescent="0.2">
      <c r="A2009" s="5">
        <v>1948</v>
      </c>
      <c r="B2009" s="138">
        <f>'Cap Outlay Deprec 26'!C8</f>
        <v>1848474</v>
      </c>
      <c r="D2009" s="2" t="str">
        <f t="shared" si="30"/>
        <v>Error?</v>
      </c>
    </row>
    <row r="2010" spans="1:4" x14ac:dyDescent="0.2">
      <c r="A2010" s="5">
        <v>1949</v>
      </c>
      <c r="B2010" s="138">
        <f>'Cap Outlay Deprec 26'!C10</f>
        <v>87286</v>
      </c>
      <c r="D2010" s="2" t="str">
        <f t="shared" si="30"/>
        <v>Error?</v>
      </c>
    </row>
    <row r="2011" spans="1:4" x14ac:dyDescent="0.2">
      <c r="A2011" s="5">
        <v>1950</v>
      </c>
      <c r="B2011" s="138">
        <f>'Cap Outlay Deprec 26'!C12</f>
        <v>817676</v>
      </c>
      <c r="D2011" s="2" t="str">
        <f t="shared" si="30"/>
        <v>Error?</v>
      </c>
    </row>
    <row r="2012" spans="1:4" x14ac:dyDescent="0.2">
      <c r="A2012" s="5">
        <v>1951</v>
      </c>
      <c r="B2012" s="138">
        <f>'Cap Outlay Deprec 26'!C13</f>
        <v>15044</v>
      </c>
      <c r="D2012" s="2" t="str">
        <f t="shared" si="30"/>
        <v>Error?</v>
      </c>
    </row>
    <row r="2013" spans="1:4" x14ac:dyDescent="0.2">
      <c r="A2013" s="5">
        <v>1952</v>
      </c>
      <c r="B2013" s="138">
        <f>'Cap Outlay Deprec 26'!C16</f>
        <v>2804777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11926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36845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161489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36297</v>
      </c>
      <c r="C2026" s="2" t="s">
        <v>594</v>
      </c>
      <c r="D2026" s="2" t="str">
        <f t="shared" si="30"/>
        <v>Error?</v>
      </c>
    </row>
    <row r="2027" spans="1:4" x14ac:dyDescent="0.2">
      <c r="A2027" s="5">
        <v>1966</v>
      </c>
      <c r="B2027" s="138">
        <f>'Cap Outlay Deprec 26'!F8</f>
        <v>1860400</v>
      </c>
      <c r="C2027" s="2" t="s">
        <v>594</v>
      </c>
      <c r="D2027" s="2" t="str">
        <f t="shared" si="30"/>
        <v>Error?</v>
      </c>
    </row>
    <row r="2028" spans="1:4" x14ac:dyDescent="0.2">
      <c r="A2028" s="5">
        <v>1967</v>
      </c>
      <c r="B2028" s="138">
        <f>'Cap Outlay Deprec 26'!F10</f>
        <v>87286</v>
      </c>
      <c r="C2028" s="2" t="s">
        <v>594</v>
      </c>
      <c r="D2028" s="2" t="str">
        <f t="shared" si="30"/>
        <v>Error?</v>
      </c>
    </row>
    <row r="2029" spans="1:4" x14ac:dyDescent="0.2">
      <c r="A2029" s="5">
        <v>1968</v>
      </c>
      <c r="B2029" s="138">
        <f>'Cap Outlay Deprec 26'!F12</f>
        <v>854521</v>
      </c>
      <c r="C2029" s="2" t="s">
        <v>594</v>
      </c>
      <c r="D2029" s="2" t="str">
        <f t="shared" si="30"/>
        <v>Error?</v>
      </c>
    </row>
    <row r="2030" spans="1:4" x14ac:dyDescent="0.2">
      <c r="A2030" s="5">
        <v>1969</v>
      </c>
      <c r="B2030" s="138">
        <f>'Cap Outlay Deprec 26'!F13</f>
        <v>15044</v>
      </c>
      <c r="C2030" s="2" t="s">
        <v>594</v>
      </c>
      <c r="D2030" s="2" t="str">
        <f t="shared" si="30"/>
        <v>Error?</v>
      </c>
    </row>
    <row r="2031" spans="1:4" x14ac:dyDescent="0.2">
      <c r="A2031" s="5">
        <v>1970</v>
      </c>
      <c r="B2031" s="138">
        <f>'Cap Outlay Deprec 26'!F16</f>
        <v>2966266</v>
      </c>
      <c r="C2031" s="2" t="s">
        <v>594</v>
      </c>
      <c r="D2031" s="2" t="str">
        <f t="shared" si="30"/>
        <v>Error?</v>
      </c>
    </row>
    <row r="2032" spans="1:4" x14ac:dyDescent="0.2">
      <c r="A2032" s="10">
        <v>1971</v>
      </c>
      <c r="D2032" s="2" t="str">
        <f t="shared" si="30"/>
        <v>OK</v>
      </c>
    </row>
    <row r="2033" spans="1:4" x14ac:dyDescent="0.2">
      <c r="A2033" s="5">
        <v>1972</v>
      </c>
      <c r="B2033" s="138">
        <f>'Cap Outlay Deprec 26'!H8</f>
        <v>1228714</v>
      </c>
      <c r="D2033" s="2" t="str">
        <f t="shared" si="30"/>
        <v>Error?</v>
      </c>
    </row>
    <row r="2034" spans="1:4" x14ac:dyDescent="0.2">
      <c r="A2034" s="5">
        <v>1973</v>
      </c>
      <c r="B2034" s="138">
        <f>'Cap Outlay Deprec 26'!H10</f>
        <v>54127</v>
      </c>
      <c r="D2034" s="2" t="str">
        <f t="shared" si="30"/>
        <v>Error?</v>
      </c>
    </row>
    <row r="2035" spans="1:4" x14ac:dyDescent="0.2">
      <c r="A2035" s="5">
        <v>1974</v>
      </c>
      <c r="B2035" s="138">
        <f>'Cap Outlay Deprec 26'!H12</f>
        <v>652128</v>
      </c>
      <c r="D2035" s="2" t="str">
        <f t="shared" si="30"/>
        <v>Error?</v>
      </c>
    </row>
    <row r="2036" spans="1:4" x14ac:dyDescent="0.2">
      <c r="A2036" s="5">
        <v>1975</v>
      </c>
      <c r="B2036" s="138">
        <f>'Cap Outlay Deprec 26'!H13</f>
        <v>4513</v>
      </c>
      <c r="D2036" s="2" t="str">
        <f t="shared" si="30"/>
        <v>Error?</v>
      </c>
    </row>
    <row r="2037" spans="1:4" x14ac:dyDescent="0.2">
      <c r="A2037" s="5">
        <v>1976</v>
      </c>
      <c r="B2037" s="138">
        <f>'Cap Outlay Deprec 26'!H16</f>
        <v>1939482</v>
      </c>
      <c r="C2037" s="2" t="s">
        <v>594</v>
      </c>
      <c r="D2037" s="2" t="str">
        <f t="shared" si="30"/>
        <v>Error?</v>
      </c>
    </row>
    <row r="2038" spans="1:4" x14ac:dyDescent="0.2">
      <c r="A2038" s="10">
        <v>1977</v>
      </c>
      <c r="D2038" s="2" t="str">
        <f t="shared" si="30"/>
        <v>OK</v>
      </c>
    </row>
    <row r="2039" spans="1:4" x14ac:dyDescent="0.2">
      <c r="A2039" s="5">
        <v>1978</v>
      </c>
      <c r="B2039" s="138">
        <f>'Cap Outlay Deprec 26'!I8</f>
        <v>37700</v>
      </c>
      <c r="D2039" s="2" t="str">
        <f t="shared" si="30"/>
        <v>Error?</v>
      </c>
    </row>
    <row r="2040" spans="1:4" x14ac:dyDescent="0.2">
      <c r="A2040" s="5">
        <v>1979</v>
      </c>
      <c r="B2040" s="138">
        <f>'Cap Outlay Deprec 26'!I10</f>
        <v>1846</v>
      </c>
      <c r="D2040" s="2" t="str">
        <f t="shared" si="30"/>
        <v>Error?</v>
      </c>
    </row>
    <row r="2041" spans="1:4" x14ac:dyDescent="0.2">
      <c r="A2041" s="5">
        <v>1980</v>
      </c>
      <c r="B2041" s="138">
        <f>'Cap Outlay Deprec 26'!I12</f>
        <v>30262</v>
      </c>
      <c r="D2041" s="2" t="str">
        <f t="shared" si="30"/>
        <v>Error?</v>
      </c>
    </row>
    <row r="2042" spans="1:4" x14ac:dyDescent="0.2">
      <c r="A2042" s="5">
        <v>1981</v>
      </c>
      <c r="B2042" s="138">
        <f>'Cap Outlay Deprec 26'!I13</f>
        <v>3009</v>
      </c>
      <c r="D2042" s="2" t="str">
        <f t="shared" si="30"/>
        <v>Error?</v>
      </c>
    </row>
    <row r="2043" spans="1:4" x14ac:dyDescent="0.2">
      <c r="A2043" s="5">
        <v>1982</v>
      </c>
      <c r="B2043" s="138">
        <f>'Cap Outlay Deprec 26'!I16</f>
        <v>72817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1266414</v>
      </c>
      <c r="C2051" s="2" t="s">
        <v>594</v>
      </c>
      <c r="D2051" s="2" t="str">
        <f t="shared" si="31"/>
        <v>Error?</v>
      </c>
    </row>
    <row r="2052" spans="1:4" x14ac:dyDescent="0.2">
      <c r="A2052" s="5">
        <v>1991</v>
      </c>
      <c r="B2052" s="138">
        <f>'Cap Outlay Deprec 26'!K10</f>
        <v>55973</v>
      </c>
      <c r="C2052" s="2" t="s">
        <v>594</v>
      </c>
      <c r="D2052" s="2" t="str">
        <f t="shared" si="31"/>
        <v>Error?</v>
      </c>
    </row>
    <row r="2053" spans="1:4" x14ac:dyDescent="0.2">
      <c r="A2053" s="5">
        <v>1992</v>
      </c>
      <c r="B2053" s="138">
        <f>'Cap Outlay Deprec 26'!K12</f>
        <v>682390</v>
      </c>
      <c r="C2053" s="2" t="s">
        <v>594</v>
      </c>
      <c r="D2053" s="2" t="str">
        <f t="shared" si="31"/>
        <v>Error?</v>
      </c>
    </row>
    <row r="2054" spans="1:4" x14ac:dyDescent="0.2">
      <c r="A2054" s="5">
        <v>1993</v>
      </c>
      <c r="B2054" s="138">
        <f>'Cap Outlay Deprec 26'!K13</f>
        <v>7522</v>
      </c>
      <c r="C2054" s="2" t="s">
        <v>594</v>
      </c>
      <c r="D2054" s="2" t="str">
        <f t="shared" si="31"/>
        <v>Error?</v>
      </c>
    </row>
    <row r="2055" spans="1:4" x14ac:dyDescent="0.2">
      <c r="A2055" s="5">
        <v>1994</v>
      </c>
      <c r="B2055" s="138">
        <f>'Cap Outlay Deprec 26'!K16</f>
        <v>2012299</v>
      </c>
      <c r="C2055" s="2" t="s">
        <v>594</v>
      </c>
      <c r="D2055" s="2" t="str">
        <f t="shared" si="31"/>
        <v>Error?</v>
      </c>
    </row>
    <row r="2056" spans="1:4" x14ac:dyDescent="0.2">
      <c r="A2056" s="5">
        <v>1995</v>
      </c>
      <c r="B2056" s="138">
        <f>'Cap Outlay Deprec 26'!L5</f>
        <v>36297</v>
      </c>
      <c r="C2056" s="2" t="s">
        <v>594</v>
      </c>
      <c r="D2056" s="2" t="str">
        <f t="shared" si="31"/>
        <v>Error?</v>
      </c>
    </row>
    <row r="2057" spans="1:4" x14ac:dyDescent="0.2">
      <c r="A2057" s="5">
        <v>1996</v>
      </c>
      <c r="B2057" s="138">
        <f>'Cap Outlay Deprec 26'!L8</f>
        <v>593986</v>
      </c>
      <c r="C2057" s="2" t="s">
        <v>594</v>
      </c>
      <c r="D2057" s="2" t="str">
        <f t="shared" si="31"/>
        <v>Error?</v>
      </c>
    </row>
    <row r="2058" spans="1:4" x14ac:dyDescent="0.2">
      <c r="A2058" s="5">
        <v>1997</v>
      </c>
      <c r="B2058" s="138">
        <f>'Cap Outlay Deprec 26'!L10</f>
        <v>31313</v>
      </c>
      <c r="C2058" s="2" t="s">
        <v>594</v>
      </c>
      <c r="D2058" s="2" t="str">
        <f t="shared" si="31"/>
        <v>Error?</v>
      </c>
    </row>
    <row r="2059" spans="1:4" x14ac:dyDescent="0.2">
      <c r="A2059" s="5">
        <v>1998</v>
      </c>
      <c r="B2059" s="138">
        <f>'Cap Outlay Deprec 26'!L12</f>
        <v>172131</v>
      </c>
      <c r="C2059" s="2" t="s">
        <v>594</v>
      </c>
      <c r="D2059" s="2" t="str">
        <f t="shared" si="31"/>
        <v>Error?</v>
      </c>
    </row>
    <row r="2060" spans="1:4" x14ac:dyDescent="0.2">
      <c r="A2060" s="5">
        <v>1999</v>
      </c>
      <c r="B2060" s="138">
        <f>'Cap Outlay Deprec 26'!L13</f>
        <v>7522</v>
      </c>
      <c r="C2060" s="2" t="s">
        <v>594</v>
      </c>
      <c r="D2060" s="2" t="str">
        <f t="shared" si="31"/>
        <v>Error?</v>
      </c>
    </row>
    <row r="2061" spans="1:4" x14ac:dyDescent="0.2">
      <c r="A2061" s="5">
        <v>2000</v>
      </c>
      <c r="B2061" s="138">
        <f>'Cap Outlay Deprec 26'!L16</f>
        <v>953967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37945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37945</v>
      </c>
      <c r="C2088" s="2" t="s">
        <v>594</v>
      </c>
      <c r="D2088" s="2" t="str">
        <f t="shared" si="31"/>
        <v>Error?</v>
      </c>
    </row>
    <row r="2089" spans="1:4" x14ac:dyDescent="0.2">
      <c r="A2089" s="5">
        <v>2028</v>
      </c>
      <c r="B2089" s="138">
        <f>'Expenditures 15-22'!K92</f>
        <v>46778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365880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32406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1053725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510741</v>
      </c>
      <c r="C2551" s="2" t="s">
        <v>594</v>
      </c>
      <c r="D2551" s="2" t="str">
        <f t="shared" si="38"/>
        <v>Error?</v>
      </c>
    </row>
    <row r="2552" spans="1:4" x14ac:dyDescent="0.2">
      <c r="A2552" s="10">
        <v>2491</v>
      </c>
      <c r="D2552" s="2" t="str">
        <f t="shared" si="38"/>
        <v>OK</v>
      </c>
    </row>
    <row r="2553" spans="1:4" x14ac:dyDescent="0.2">
      <c r="A2553" s="5">
        <v>2492</v>
      </c>
      <c r="B2553" s="138">
        <f>'Acct Summary 7-8'!C6</f>
        <v>1218789</v>
      </c>
      <c r="C2553" s="2" t="s">
        <v>594</v>
      </c>
      <c r="D2553" s="2" t="str">
        <f t="shared" si="38"/>
        <v>Error?</v>
      </c>
    </row>
    <row r="2554" spans="1:4" x14ac:dyDescent="0.2">
      <c r="A2554" s="5">
        <v>2493</v>
      </c>
      <c r="B2554" s="138">
        <f>'Acct Summary 7-8'!C7</f>
        <v>219959</v>
      </c>
      <c r="C2554" s="2" t="s">
        <v>594</v>
      </c>
      <c r="D2554" s="2" t="str">
        <f t="shared" si="38"/>
        <v>Error?</v>
      </c>
    </row>
    <row r="2555" spans="1:4" x14ac:dyDescent="0.2">
      <c r="A2555" s="5">
        <v>2494</v>
      </c>
      <c r="B2555" s="138">
        <f>'Acct Summary 7-8'!C8</f>
        <v>1949489</v>
      </c>
      <c r="C2555" s="2" t="s">
        <v>594</v>
      </c>
      <c r="D2555" s="2" t="str">
        <f t="shared" si="38"/>
        <v>Error?</v>
      </c>
    </row>
    <row r="2556" spans="1:4" x14ac:dyDescent="0.2">
      <c r="A2556" s="5">
        <v>2495</v>
      </c>
      <c r="B2556" s="138">
        <f>'Acct Summary 7-8'!C12</f>
        <v>1285138</v>
      </c>
      <c r="C2556" s="2" t="s">
        <v>594</v>
      </c>
      <c r="D2556" s="2" t="str">
        <f t="shared" si="38"/>
        <v>Error?</v>
      </c>
    </row>
    <row r="2557" spans="1:4" x14ac:dyDescent="0.2">
      <c r="A2557" s="5">
        <v>2496</v>
      </c>
      <c r="B2557" s="138">
        <f>'Acct Summary 7-8'!C13</f>
        <v>459225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84723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1829086</v>
      </c>
      <c r="C2561" s="2" t="s">
        <v>594</v>
      </c>
      <c r="D2561" s="2" t="str">
        <f t="shared" si="39"/>
        <v>Error?</v>
      </c>
    </row>
    <row r="2562" spans="1:4" x14ac:dyDescent="0.2">
      <c r="A2562" s="5">
        <v>2501</v>
      </c>
      <c r="B2562" s="138">
        <f>'Acct Summary 7-8'!C20</f>
        <v>120403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76985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76985</v>
      </c>
      <c r="C2568" s="2" t="s">
        <v>594</v>
      </c>
      <c r="D2568" s="2" t="str">
        <f t="shared" si="39"/>
        <v>Error?</v>
      </c>
    </row>
    <row r="2569" spans="1:4" x14ac:dyDescent="0.2">
      <c r="A2569" s="5">
        <v>2508</v>
      </c>
      <c r="B2569" s="138">
        <f>'Acct Summary 7-8'!D13</f>
        <v>64288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64288</v>
      </c>
      <c r="C2573" s="2" t="s">
        <v>594</v>
      </c>
      <c r="D2573" s="2" t="str">
        <f t="shared" si="39"/>
        <v>Error?</v>
      </c>
    </row>
    <row r="2574" spans="1:4" x14ac:dyDescent="0.2">
      <c r="A2574" s="5">
        <v>2513</v>
      </c>
      <c r="B2574" s="138">
        <f>'Acct Summary 7-8'!D20</f>
        <v>12697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30833</v>
      </c>
      <c r="C2591" s="2" t="s">
        <v>594</v>
      </c>
      <c r="D2591" s="2" t="str">
        <f t="shared" si="39"/>
        <v>Error?</v>
      </c>
    </row>
    <row r="2592" spans="1:4" x14ac:dyDescent="0.2">
      <c r="A2592" s="10">
        <v>2531</v>
      </c>
      <c r="D2592" s="2" t="str">
        <f t="shared" si="39"/>
        <v>OK</v>
      </c>
    </row>
    <row r="2593" spans="1:4" x14ac:dyDescent="0.2">
      <c r="A2593" s="5">
        <v>2532</v>
      </c>
      <c r="B2593" s="138">
        <f>'Acct Summary 7-8'!F6</f>
        <v>62067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92900</v>
      </c>
      <c r="C2595" s="2" t="s">
        <v>594</v>
      </c>
      <c r="D2595" s="2" t="str">
        <f t="shared" si="39"/>
        <v>Error?</v>
      </c>
    </row>
    <row r="2596" spans="1:4" x14ac:dyDescent="0.2">
      <c r="A2596" s="5">
        <v>2535</v>
      </c>
      <c r="B2596" s="138">
        <f>'Acct Summary 7-8'!F13</f>
        <v>67743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67743</v>
      </c>
      <c r="C2600" s="2" t="s">
        <v>594</v>
      </c>
      <c r="D2600" s="2" t="str">
        <f t="shared" si="39"/>
        <v>Error?</v>
      </c>
    </row>
    <row r="2601" spans="1:4" x14ac:dyDescent="0.2">
      <c r="A2601" s="5">
        <v>2540</v>
      </c>
      <c r="B2601" s="138">
        <f>'Acct Summary 7-8'!F20</f>
        <v>25157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59256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59256</v>
      </c>
      <c r="C2606" s="2" t="s">
        <v>594</v>
      </c>
      <c r="D2606" s="2" t="str">
        <f t="shared" si="39"/>
        <v>Error?</v>
      </c>
    </row>
    <row r="2607" spans="1:4" x14ac:dyDescent="0.2">
      <c r="A2607" s="5">
        <v>2546</v>
      </c>
      <c r="B2607" s="138">
        <f>'Acct Summary 7-8'!G12</f>
        <v>24578</v>
      </c>
      <c r="C2607" s="2" t="s">
        <v>594</v>
      </c>
      <c r="D2607" s="2" t="str">
        <f t="shared" si="39"/>
        <v>Error?</v>
      </c>
    </row>
    <row r="2608" spans="1:4" x14ac:dyDescent="0.2">
      <c r="A2608" s="5">
        <v>2547</v>
      </c>
      <c r="B2608" s="138">
        <f>'Acct Summary 7-8'!G13</f>
        <v>37301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61879</v>
      </c>
      <c r="C2612" s="2" t="s">
        <v>594</v>
      </c>
      <c r="D2612" s="2" t="str">
        <f t="shared" si="39"/>
        <v>Error?</v>
      </c>
    </row>
    <row r="2613" spans="1:4" x14ac:dyDescent="0.2">
      <c r="A2613" s="5">
        <v>2552</v>
      </c>
      <c r="B2613" s="138">
        <f>'Acct Summary 7-8'!G20</f>
        <v>-2623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77764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77764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44500</v>
      </c>
      <c r="C2634" s="2" t="s">
        <v>594</v>
      </c>
      <c r="D2634" s="2" t="str">
        <f t="shared" si="40"/>
        <v>Error?</v>
      </c>
    </row>
    <row r="2635" spans="1:4" x14ac:dyDescent="0.2">
      <c r="A2635" s="5">
        <v>2574</v>
      </c>
      <c r="B2635" s="138">
        <f>'Acct Summary 7-8'!E17</f>
        <v>44500</v>
      </c>
      <c r="C2635" s="2" t="s">
        <v>594</v>
      </c>
      <c r="D2635" s="2" t="str">
        <f t="shared" si="40"/>
        <v>Error?</v>
      </c>
    </row>
    <row r="2636" spans="1:4" x14ac:dyDescent="0.2">
      <c r="A2636" s="5">
        <v>2575</v>
      </c>
      <c r="B2636" s="138">
        <f>'Acct Summary 7-8'!E20</f>
        <v>33264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101093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101093</v>
      </c>
      <c r="C2658" s="2" t="s">
        <v>594</v>
      </c>
      <c r="D2658" s="2" t="str">
        <f t="shared" si="40"/>
        <v>Error?</v>
      </c>
    </row>
    <row r="2659" spans="1:4" x14ac:dyDescent="0.2">
      <c r="A2659" s="5">
        <v>2598</v>
      </c>
      <c r="B2659" s="138">
        <f>'Acct Summary 7-8'!H13</f>
        <v>153741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153741</v>
      </c>
      <c r="C2661" s="2" t="s">
        <v>594</v>
      </c>
      <c r="D2661" s="2" t="str">
        <f t="shared" si="40"/>
        <v>Error?</v>
      </c>
    </row>
    <row r="2662" spans="1:4" x14ac:dyDescent="0.2">
      <c r="A2662" s="5">
        <v>2601</v>
      </c>
      <c r="B2662" s="138">
        <f>'Acct Summary 7-8'!H20</f>
        <v>-52648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112718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173467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313006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12216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85568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313006</v>
      </c>
      <c r="D2912" s="2" t="str">
        <f t="shared" si="44"/>
        <v>Error?</v>
      </c>
    </row>
    <row r="2913" spans="1:4" x14ac:dyDescent="0.2">
      <c r="A2913" s="5">
        <v>2852</v>
      </c>
      <c r="B2913" s="138">
        <f>'Assets-Liab 5-6'!I41</f>
        <v>313006</v>
      </c>
      <c r="C2913" s="2" t="s">
        <v>594</v>
      </c>
      <c r="D2913" s="2" t="str">
        <f t="shared" si="44"/>
        <v>Error?</v>
      </c>
    </row>
    <row r="2914" spans="1:4" x14ac:dyDescent="0.2">
      <c r="A2914" s="5">
        <v>2853</v>
      </c>
      <c r="B2914" s="138">
        <f>'Assets-Liab 5-6'!L33</f>
        <v>85568</v>
      </c>
      <c r="D2914" s="2" t="str">
        <f t="shared" si="44"/>
        <v>Error?</v>
      </c>
    </row>
    <row r="2915" spans="1:4" x14ac:dyDescent="0.2">
      <c r="A2915" s="10">
        <v>2854</v>
      </c>
      <c r="D2915" s="2" t="str">
        <f t="shared" si="44"/>
        <v>OK</v>
      </c>
    </row>
    <row r="2916" spans="1:4" x14ac:dyDescent="0.2">
      <c r="A2916" s="5">
        <v>2855</v>
      </c>
      <c r="B2916" s="138">
        <f>'Assets-Liab 5-6'!L34</f>
        <v>85568</v>
      </c>
      <c r="C2916" s="2" t="s">
        <v>594</v>
      </c>
      <c r="D2916" s="2" t="str">
        <f t="shared" si="44"/>
        <v>Error?</v>
      </c>
    </row>
    <row r="2917" spans="1:4" x14ac:dyDescent="0.2">
      <c r="A2917" s="5">
        <v>2856</v>
      </c>
      <c r="B2917" s="138">
        <f>'Assets-Liab 5-6'!L41</f>
        <v>85568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37945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37945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29490</v>
      </c>
      <c r="D3055" s="2" t="str">
        <f t="shared" si="46"/>
        <v>Error?</v>
      </c>
    </row>
    <row r="3056" spans="1:4" x14ac:dyDescent="0.2">
      <c r="A3056" s="5">
        <v>2995</v>
      </c>
      <c r="B3056" s="138">
        <f>'Expenditures 15-22'!D10</f>
        <v>14045</v>
      </c>
      <c r="D3056" s="2" t="str">
        <f t="shared" si="46"/>
        <v>Error?</v>
      </c>
    </row>
    <row r="3057" spans="1:4" x14ac:dyDescent="0.2">
      <c r="A3057" s="5">
        <v>2996</v>
      </c>
      <c r="B3057" s="138">
        <f>'Expenditures 15-22'!E10</f>
        <v>9004</v>
      </c>
      <c r="D3057" s="2" t="str">
        <f t="shared" si="46"/>
        <v>Error?</v>
      </c>
    </row>
    <row r="3058" spans="1:4" x14ac:dyDescent="0.2">
      <c r="A3058" s="5">
        <v>2997</v>
      </c>
      <c r="B3058" s="138">
        <f>'Expenditures 15-22'!F10</f>
        <v>45231</v>
      </c>
      <c r="D3058" s="2" t="str">
        <f t="shared" si="46"/>
        <v>Error?</v>
      </c>
    </row>
    <row r="3059" spans="1:4" x14ac:dyDescent="0.2">
      <c r="A3059" s="5">
        <v>2998</v>
      </c>
      <c r="B3059" s="138">
        <f>'Expenditures 15-22'!G10</f>
        <v>13028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110798</v>
      </c>
      <c r="C3062" s="2" t="s">
        <v>594</v>
      </c>
      <c r="D3062" s="2" t="str">
        <f t="shared" si="46"/>
        <v>Error?</v>
      </c>
    </row>
    <row r="3063" spans="1:4" x14ac:dyDescent="0.2">
      <c r="A3063" s="10">
        <v>3002</v>
      </c>
      <c r="D3063" s="2" t="str">
        <f t="shared" si="46"/>
        <v>OK</v>
      </c>
    </row>
    <row r="3064" spans="1:4" x14ac:dyDescent="0.2">
      <c r="A3064" s="5">
        <v>3003</v>
      </c>
      <c r="B3064" s="138">
        <f>'Expenditures 15-22'!D219</f>
        <v>406</v>
      </c>
      <c r="D3064" s="2" t="str">
        <f t="shared" si="46"/>
        <v>Error?</v>
      </c>
    </row>
    <row r="3065" spans="1:4" x14ac:dyDescent="0.2">
      <c r="A3065" s="5">
        <v>3004</v>
      </c>
      <c r="B3065" s="138">
        <f>'Expenditures 15-22'!K219</f>
        <v>406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8916</v>
      </c>
      <c r="C3225" s="2" t="s">
        <v>594</v>
      </c>
      <c r="D3225" s="2" t="str">
        <f t="shared" si="49"/>
        <v>Error?</v>
      </c>
    </row>
    <row r="3226" spans="1:4" x14ac:dyDescent="0.2">
      <c r="A3226" s="5">
        <v>3165</v>
      </c>
      <c r="B3226" s="138">
        <f>'Acct Summary 7-8'!I8</f>
        <v>8916</v>
      </c>
      <c r="C3226" s="2" t="s">
        <v>594</v>
      </c>
      <c r="D3226" s="2" t="str">
        <f t="shared" si="49"/>
        <v>Error?</v>
      </c>
    </row>
    <row r="3227" spans="1:4" x14ac:dyDescent="0.2">
      <c r="A3227" s="5">
        <v>3166</v>
      </c>
      <c r="B3227" s="138">
        <f>'Acct Summary 7-8'!I20</f>
        <v>8916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120403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12697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25157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33264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1000000</v>
      </c>
      <c r="C3299" s="2" t="s">
        <v>594</v>
      </c>
      <c r="D3299" s="2" t="str">
        <f t="shared" si="50"/>
        <v>Error?</v>
      </c>
    </row>
    <row r="3300" spans="1:4" x14ac:dyDescent="0.2">
      <c r="A3300" s="5">
        <v>3239</v>
      </c>
      <c r="B3300" s="138">
        <f>'Acct Summary 7-8'!H78</f>
        <v>947352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8916</v>
      </c>
      <c r="C3320" s="2" t="s">
        <v>594</v>
      </c>
      <c r="D3320" s="2" t="str">
        <f t="shared" si="50"/>
        <v>Error?</v>
      </c>
    </row>
    <row r="3321" spans="1:4" x14ac:dyDescent="0.2">
      <c r="A3321" s="5">
        <v>3260</v>
      </c>
      <c r="B3321" s="138">
        <f>'Acct Summary 7-8'!I79</f>
        <v>304090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313006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124291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134632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10181</v>
      </c>
      <c r="D3387" s="2" t="str">
        <f t="shared" si="51"/>
        <v>Error?</v>
      </c>
    </row>
    <row r="3388" spans="1:4" x14ac:dyDescent="0.2">
      <c r="A3388" s="5">
        <v>3327</v>
      </c>
      <c r="B3388" s="138">
        <f>'Expenditures 15-22'!D217</f>
        <v>11035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10181</v>
      </c>
      <c r="C3390" s="2" t="s">
        <v>594</v>
      </c>
      <c r="D3390" s="2" t="str">
        <f t="shared" si="51"/>
        <v>Error?</v>
      </c>
    </row>
    <row r="3391" spans="1:4" x14ac:dyDescent="0.2">
      <c r="A3391" s="5">
        <v>3330</v>
      </c>
      <c r="B3391" s="138">
        <f>'Expenditures 15-22'!K217</f>
        <v>11035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356225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86570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55591</v>
      </c>
      <c r="D3417" s="2" t="str">
        <f t="shared" si="52"/>
        <v>Error?</v>
      </c>
    </row>
    <row r="3418" spans="1:4" x14ac:dyDescent="0.2">
      <c r="A3418" s="10">
        <v>3357</v>
      </c>
      <c r="D3418" s="2" t="str">
        <f t="shared" si="52"/>
        <v>OK</v>
      </c>
    </row>
    <row r="3419" spans="1:4" x14ac:dyDescent="0.2">
      <c r="A3419" s="5">
        <v>3358</v>
      </c>
      <c r="B3419" s="138">
        <f>'Assets-Liab 5-6'!F4</f>
        <v>82092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19015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1053725</v>
      </c>
      <c r="D3425" s="2" t="str">
        <f t="shared" si="52"/>
        <v>Error?</v>
      </c>
    </row>
    <row r="3426" spans="1:4" x14ac:dyDescent="0.2">
      <c r="A3426" s="10">
        <v>3365</v>
      </c>
      <c r="D3426" s="2" t="str">
        <f t="shared" si="52"/>
        <v>OK</v>
      </c>
    </row>
    <row r="3427" spans="1:4" x14ac:dyDescent="0.2">
      <c r="A3427" s="5">
        <v>3366</v>
      </c>
      <c r="B3427" s="138">
        <f>'Assets-Liab 5-6'!I4</f>
        <v>139539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73352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28058</v>
      </c>
      <c r="C3446" s="2" t="s">
        <v>594</v>
      </c>
      <c r="D3446" s="2" t="str">
        <f t="shared" si="52"/>
        <v>Error?</v>
      </c>
    </row>
    <row r="3447" spans="1:4" x14ac:dyDescent="0.2">
      <c r="A3447" s="5">
        <v>3386</v>
      </c>
      <c r="B3447" s="138">
        <f>'Tax Sched 23'!D16</f>
        <v>28058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28565</v>
      </c>
      <c r="C3449" s="2" t="s">
        <v>594</v>
      </c>
      <c r="D3449" s="2" t="str">
        <f t="shared" si="52"/>
        <v>Error?</v>
      </c>
    </row>
    <row r="3450" spans="1:4" x14ac:dyDescent="0.2">
      <c r="A3450" s="5">
        <v>3389</v>
      </c>
      <c r="B3450" s="138">
        <f>'Tax Sched 23'!E16</f>
        <v>28565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112718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112718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112718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29366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29366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29366</v>
      </c>
      <c r="D3567" s="2" t="str">
        <f t="shared" si="54"/>
        <v>Error?</v>
      </c>
    </row>
    <row r="3568" spans="1:4" x14ac:dyDescent="0.2">
      <c r="A3568" s="5">
        <v>3507</v>
      </c>
      <c r="B3568" s="138">
        <f>'Assets-Liab 5-6'!K41</f>
        <v>29366</v>
      </c>
      <c r="C3568" s="2" t="s">
        <v>594</v>
      </c>
      <c r="D3568" s="2" t="str">
        <f t="shared" si="54"/>
        <v>Error?</v>
      </c>
    </row>
    <row r="3569" spans="1:4" x14ac:dyDescent="0.2">
      <c r="A3569" s="5">
        <v>3508</v>
      </c>
      <c r="B3569" s="138">
        <f>'Acct Summary 7-8'!K4</f>
        <v>7719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7719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7719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7719</v>
      </c>
      <c r="C3588" s="2" t="s">
        <v>594</v>
      </c>
      <c r="D3588" s="2" t="str">
        <f t="shared" si="55"/>
        <v>Error?</v>
      </c>
    </row>
    <row r="3589" spans="1:4" x14ac:dyDescent="0.2">
      <c r="A3589" s="5">
        <v>3528</v>
      </c>
      <c r="B3589" s="138">
        <f>'Acct Summary 7-8'!K79</f>
        <v>21647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29366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7719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43726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876744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2826233</v>
      </c>
      <c r="C4122" s="2" t="s">
        <v>594</v>
      </c>
      <c r="D4122" s="2" t="str">
        <f t="shared" si="63"/>
        <v>Error?</v>
      </c>
    </row>
    <row r="4123" spans="1:4" x14ac:dyDescent="0.2">
      <c r="A4123" s="5">
        <v>4062</v>
      </c>
      <c r="B4123" s="138">
        <f>'Acct Summary 7-8'!D10</f>
        <v>76985</v>
      </c>
      <c r="C4123" s="2" t="s">
        <v>594</v>
      </c>
      <c r="D4123" s="2" t="str">
        <f t="shared" si="63"/>
        <v>Error?</v>
      </c>
    </row>
    <row r="4124" spans="1:4" x14ac:dyDescent="0.2">
      <c r="A4124" s="5">
        <v>4063</v>
      </c>
      <c r="B4124" s="138">
        <f>'Acct Summary 7-8'!E10</f>
        <v>77764</v>
      </c>
      <c r="C4124" s="2" t="s">
        <v>594</v>
      </c>
      <c r="D4124" s="2" t="str">
        <f t="shared" si="63"/>
        <v>Error?</v>
      </c>
    </row>
    <row r="4125" spans="1:4" x14ac:dyDescent="0.2">
      <c r="A4125" s="5">
        <v>4064</v>
      </c>
      <c r="B4125" s="138">
        <f>'Acct Summary 7-8'!F10</f>
        <v>92900</v>
      </c>
      <c r="C4125" s="2" t="s">
        <v>594</v>
      </c>
      <c r="D4125" s="2" t="str">
        <f t="shared" si="63"/>
        <v>Error?</v>
      </c>
    </row>
    <row r="4126" spans="1:4" x14ac:dyDescent="0.2">
      <c r="A4126" s="5">
        <v>4065</v>
      </c>
      <c r="B4126" s="138">
        <f>'Acct Summary 7-8'!G10</f>
        <v>59256</v>
      </c>
      <c r="C4126" s="2" t="s">
        <v>594</v>
      </c>
      <c r="D4126" s="2" t="str">
        <f t="shared" si="63"/>
        <v>Error?</v>
      </c>
    </row>
    <row r="4127" spans="1:4" x14ac:dyDescent="0.2">
      <c r="A4127" s="5">
        <v>4066</v>
      </c>
      <c r="B4127" s="138">
        <f>'Acct Summary 7-8'!H10</f>
        <v>101093</v>
      </c>
      <c r="C4127" s="2" t="s">
        <v>594</v>
      </c>
      <c r="D4127" s="2" t="str">
        <f t="shared" si="63"/>
        <v>Error?</v>
      </c>
    </row>
    <row r="4128" spans="1:4" x14ac:dyDescent="0.2">
      <c r="A4128" s="5">
        <v>4067</v>
      </c>
      <c r="B4128" s="138">
        <f>'Acct Summary 7-8'!I10</f>
        <v>8916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7719</v>
      </c>
      <c r="C4130" s="2" t="s">
        <v>594</v>
      </c>
      <c r="D4130" s="2" t="str">
        <f t="shared" si="63"/>
        <v>Error?</v>
      </c>
    </row>
    <row r="4131" spans="1:4" x14ac:dyDescent="0.2">
      <c r="A4131" s="5">
        <v>4070</v>
      </c>
      <c r="B4131" s="138">
        <f>'Acct Summary 7-8'!C18</f>
        <v>876744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2705830</v>
      </c>
      <c r="C4136" s="2" t="s">
        <v>594</v>
      </c>
      <c r="D4136" s="2" t="str">
        <f t="shared" si="63"/>
        <v>Error?</v>
      </c>
    </row>
    <row r="4137" spans="1:4" x14ac:dyDescent="0.2">
      <c r="A4137" s="5">
        <v>4076</v>
      </c>
      <c r="B4137" s="138">
        <f>'Acct Summary 7-8'!D19</f>
        <v>64288</v>
      </c>
      <c r="C4137" s="2" t="s">
        <v>594</v>
      </c>
      <c r="D4137" s="2" t="str">
        <f t="shared" si="63"/>
        <v>Error?</v>
      </c>
    </row>
    <row r="4138" spans="1:4" x14ac:dyDescent="0.2">
      <c r="A4138" s="5">
        <v>4077</v>
      </c>
      <c r="B4138" s="138">
        <f>'Acct Summary 7-8'!E19</f>
        <v>44500</v>
      </c>
      <c r="C4138" s="2" t="s">
        <v>594</v>
      </c>
      <c r="D4138" s="2" t="str">
        <f t="shared" si="63"/>
        <v>Error?</v>
      </c>
    </row>
    <row r="4139" spans="1:4" x14ac:dyDescent="0.2">
      <c r="A4139" s="5">
        <v>4078</v>
      </c>
      <c r="B4139" s="138">
        <f>'Acct Summary 7-8'!F19</f>
        <v>67743</v>
      </c>
      <c r="C4139" s="2" t="s">
        <v>594</v>
      </c>
      <c r="D4139" s="2" t="str">
        <f t="shared" si="63"/>
        <v>Error?</v>
      </c>
    </row>
    <row r="4140" spans="1:4" x14ac:dyDescent="0.2">
      <c r="A4140" s="5">
        <v>4079</v>
      </c>
      <c r="B4140" s="138">
        <f>'Acct Summary 7-8'!G19</f>
        <v>61879</v>
      </c>
      <c r="C4140" s="2" t="s">
        <v>594</v>
      </c>
      <c r="D4140" s="2" t="str">
        <f t="shared" si="63"/>
        <v>Error?</v>
      </c>
    </row>
    <row r="4141" spans="1:4" x14ac:dyDescent="0.2">
      <c r="A4141" s="5">
        <v>4080</v>
      </c>
      <c r="B4141" s="138">
        <f>'Acct Summary 7-8'!H19</f>
        <v>153741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1176000</v>
      </c>
      <c r="C4171" s="2" t="s">
        <v>594</v>
      </c>
      <c r="D4171" s="2" t="str">
        <f t="shared" si="64"/>
        <v>Error?</v>
      </c>
    </row>
    <row r="4172" spans="1:4" x14ac:dyDescent="0.2">
      <c r="A4172" s="5">
        <v>4111</v>
      </c>
      <c r="B4172" s="138">
        <f>'Short-Term Long-Term Debt 24'!J49</f>
        <v>1120409</v>
      </c>
      <c r="C4172" s="2" t="s">
        <v>594</v>
      </c>
      <c r="D4172" s="2" t="str">
        <f t="shared" si="64"/>
        <v>Error?</v>
      </c>
    </row>
    <row r="4173" spans="1:4" x14ac:dyDescent="0.2">
      <c r="A4173" s="5">
        <v>4112</v>
      </c>
      <c r="B4173" s="138">
        <f>'Short-Term Long-Term Debt 24'!H49</f>
        <v>34000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2499.1999999999998</v>
      </c>
      <c r="C4265" s="2" t="s">
        <v>594</v>
      </c>
      <c r="D4265" s="2" t="str">
        <f t="shared" si="65"/>
        <v>Error?</v>
      </c>
      <c r="E4265" s="128"/>
    </row>
    <row r="4266" spans="1:5" x14ac:dyDescent="0.2">
      <c r="A4266" s="12">
        <v>4205</v>
      </c>
      <c r="B4266" s="138">
        <f>('FP Info 3'!F10)*100000</f>
        <v>437.09999999999997</v>
      </c>
      <c r="C4266" s="2" t="s">
        <v>594</v>
      </c>
      <c r="D4266" s="2" t="str">
        <f t="shared" si="65"/>
        <v>Error?</v>
      </c>
      <c r="E4266" s="128"/>
    </row>
    <row r="4267" spans="1:5" x14ac:dyDescent="0.2">
      <c r="A4267" s="12">
        <v>4206</v>
      </c>
      <c r="B4267" s="138">
        <f>('FP Info 3'!H10)*100000</f>
        <v>174.70000000000002</v>
      </c>
      <c r="C4267" s="2" t="s">
        <v>594</v>
      </c>
      <c r="D4267" s="2" t="str">
        <f t="shared" si="65"/>
        <v>Error?</v>
      </c>
      <c r="E4267" s="128"/>
    </row>
    <row r="4268" spans="1:5" x14ac:dyDescent="0.2">
      <c r="A4268" s="12">
        <v>4207</v>
      </c>
      <c r="B4268" s="138">
        <f>('FP Info 3'!J10)*100000</f>
        <v>3111</v>
      </c>
      <c r="C4268" s="2" t="s">
        <v>594</v>
      </c>
      <c r="D4268" s="2" t="str">
        <f t="shared" si="65"/>
        <v>Error?</v>
      </c>
    </row>
    <row r="4269" spans="1:5" x14ac:dyDescent="0.2">
      <c r="A4269" s="12">
        <v>4208</v>
      </c>
      <c r="B4269" s="138">
        <f>'FP Info 3'!J16</f>
        <v>1191655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23351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26642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3175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18122676</v>
      </c>
      <c r="D4995" s="2" t="str">
        <f t="shared" si="77"/>
        <v>Error?</v>
      </c>
    </row>
    <row r="4996" spans="1:4" x14ac:dyDescent="0.2">
      <c r="A4996" s="12">
        <v>4935</v>
      </c>
      <c r="B4996" s="138">
        <f>'FP Info 3'!H31</f>
        <v>2500929.2880000002</v>
      </c>
      <c r="D4996" s="2" t="str">
        <f t="shared" si="77"/>
        <v>Error?</v>
      </c>
    </row>
    <row r="4997" spans="1:4" x14ac:dyDescent="0.2">
      <c r="A4997" s="12">
        <v>4936</v>
      </c>
      <c r="B4997" s="138">
        <f>'FP Info 3'!H37</f>
        <v>1176000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433002</v>
      </c>
      <c r="D5061" s="2" t="str">
        <f t="shared" si="78"/>
        <v>Error?</v>
      </c>
    </row>
    <row r="5062" spans="1:4" x14ac:dyDescent="0.2">
      <c r="A5062" s="10">
        <v>5001</v>
      </c>
      <c r="D5062" s="2" t="str">
        <f t="shared" si="78"/>
        <v>OK</v>
      </c>
    </row>
    <row r="5063" spans="1:4" x14ac:dyDescent="0.2">
      <c r="A5063" s="5">
        <v>5002</v>
      </c>
      <c r="B5063" s="138">
        <f>'Revenues 9-14'!C7</f>
        <v>6101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439103</v>
      </c>
      <c r="C5066" s="2" t="s">
        <v>594</v>
      </c>
      <c r="D5066" s="2" t="str">
        <f t="shared" si="78"/>
        <v>Error?</v>
      </c>
    </row>
    <row r="5067" spans="1:4" x14ac:dyDescent="0.2">
      <c r="A5067" s="5">
        <v>5006</v>
      </c>
      <c r="B5067" s="138">
        <f>'Revenues 9-14'!C14</f>
        <v>3613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22363</v>
      </c>
      <c r="D5069" s="2" t="str">
        <f t="shared" si="78"/>
        <v>Error?</v>
      </c>
    </row>
    <row r="5070" spans="1:4" x14ac:dyDescent="0.2">
      <c r="A5070" s="5">
        <v>5009</v>
      </c>
      <c r="B5070" s="138">
        <f>'Revenues 9-14'!C17</f>
        <v>47</v>
      </c>
      <c r="D5070" s="2" t="str">
        <f t="shared" si="78"/>
        <v>Error?</v>
      </c>
    </row>
    <row r="5071" spans="1:4" x14ac:dyDescent="0.2">
      <c r="A5071" s="5">
        <v>5010</v>
      </c>
      <c r="B5071" s="138">
        <f>'Revenues 9-14'!C18</f>
        <v>26023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4598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4598</v>
      </c>
      <c r="C5090" s="2" t="s">
        <v>594</v>
      </c>
      <c r="D5090" s="2" t="str">
        <f t="shared" si="78"/>
        <v>Error?</v>
      </c>
    </row>
    <row r="5091" spans="1:4" x14ac:dyDescent="0.2">
      <c r="A5091" s="5">
        <v>5030</v>
      </c>
      <c r="B5091" s="138">
        <f>'Revenues 9-14'!C70</f>
        <v>393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670</v>
      </c>
      <c r="D5093" s="2" t="str">
        <f t="shared" si="78"/>
        <v>Error?</v>
      </c>
    </row>
    <row r="5094" spans="1:4" x14ac:dyDescent="0.2">
      <c r="A5094" s="5">
        <v>5033</v>
      </c>
      <c r="B5094" s="138">
        <f>'Revenues 9-14'!C73</f>
        <v>2351</v>
      </c>
      <c r="D5094" s="2" t="str">
        <f t="shared" si="78"/>
        <v>Error?</v>
      </c>
    </row>
    <row r="5095" spans="1:4" x14ac:dyDescent="0.2">
      <c r="A5095" s="5">
        <v>5034</v>
      </c>
      <c r="B5095" s="138">
        <f>'Revenues 9-14'!C74</f>
        <v>647</v>
      </c>
      <c r="D5095" s="2" t="str">
        <f t="shared" si="78"/>
        <v>Error?</v>
      </c>
    </row>
    <row r="5096" spans="1:4" x14ac:dyDescent="0.2">
      <c r="A5096" s="5">
        <v>5035</v>
      </c>
      <c r="B5096" s="138">
        <f>'Revenues 9-14'!C75</f>
        <v>15882</v>
      </c>
      <c r="C5096" s="2" t="s">
        <v>594</v>
      </c>
      <c r="D5096" s="2" t="str">
        <f t="shared" si="78"/>
        <v>Error?</v>
      </c>
    </row>
    <row r="5097" spans="1:4" x14ac:dyDescent="0.2">
      <c r="A5097" s="5">
        <v>5036</v>
      </c>
      <c r="B5097" s="138">
        <f>'Revenues 9-14'!C77</f>
        <v>3789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3789</v>
      </c>
      <c r="C5102" s="2" t="s">
        <v>594</v>
      </c>
      <c r="D5102" s="2" t="str">
        <f t="shared" si="78"/>
        <v>Error?</v>
      </c>
    </row>
    <row r="5103" spans="1:4" x14ac:dyDescent="0.2">
      <c r="A5103" s="5">
        <v>5042</v>
      </c>
      <c r="B5103" s="138">
        <f>'Revenues 9-14'!C84</f>
        <v>5414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5414</v>
      </c>
      <c r="C5112" s="2" t="s">
        <v>594</v>
      </c>
      <c r="D5112" s="2" t="str">
        <f t="shared" si="78"/>
        <v>Error?</v>
      </c>
    </row>
    <row r="5113" spans="1:4" x14ac:dyDescent="0.2">
      <c r="A5113" s="5">
        <v>5052</v>
      </c>
      <c r="B5113" s="138">
        <f>'Revenues 9-14'!C95</f>
        <v>8350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6782</v>
      </c>
      <c r="D5119" s="2" t="str">
        <f t="shared" ref="D5119:D5182" si="79">IF(ISBLANK(B5119),"OK",IF(A5119-B5119=0,"OK","Error?"))</f>
        <v>Error?</v>
      </c>
    </row>
    <row r="5120" spans="1:4" x14ac:dyDescent="0.2">
      <c r="A5120" s="5">
        <v>5059</v>
      </c>
      <c r="B5120" s="138">
        <f>'Revenues 9-14'!C108</f>
        <v>15932</v>
      </c>
      <c r="C5120" s="2" t="s">
        <v>594</v>
      </c>
      <c r="D5120" s="2" t="str">
        <f t="shared" si="79"/>
        <v>Error?</v>
      </c>
    </row>
    <row r="5121" spans="1:4" x14ac:dyDescent="0.2">
      <c r="A5121" s="5">
        <v>5060</v>
      </c>
      <c r="B5121" s="138">
        <f>'Revenues 9-14'!C109</f>
        <v>510741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1151188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1151188</v>
      </c>
      <c r="C5132" s="2" t="s">
        <v>594</v>
      </c>
      <c r="D5132" s="2" t="str">
        <f t="shared" si="79"/>
        <v>Error?</v>
      </c>
    </row>
    <row r="5133" spans="1:4" x14ac:dyDescent="0.2">
      <c r="A5133" s="5">
        <v>5072</v>
      </c>
      <c r="B5133" s="138">
        <f>'Revenues 9-14'!C124</f>
        <v>25245</v>
      </c>
      <c r="D5133" s="2" t="str">
        <f t="shared" si="79"/>
        <v>Error?</v>
      </c>
    </row>
    <row r="5134" spans="1:4" x14ac:dyDescent="0.2">
      <c r="A5134" s="5">
        <v>5073</v>
      </c>
      <c r="B5134" s="138">
        <f>'Revenues 9-14'!C125</f>
        <v>15213</v>
      </c>
      <c r="D5134" s="2" t="str">
        <f t="shared" si="79"/>
        <v>Error?</v>
      </c>
    </row>
    <row r="5135" spans="1:4" x14ac:dyDescent="0.2">
      <c r="A5135" s="5">
        <v>5074</v>
      </c>
      <c r="B5135" s="138">
        <f>'Revenues 9-14'!C126</f>
        <v>21362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705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62525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700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700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879</v>
      </c>
      <c r="D5167" s="2" t="str">
        <f t="shared" si="79"/>
        <v>Error?</v>
      </c>
    </row>
    <row r="5168" spans="1:4" x14ac:dyDescent="0.2">
      <c r="A5168" s="5">
        <v>5107</v>
      </c>
      <c r="B5168" s="138">
        <f>'Revenues 9-14'!C147</f>
        <v>3497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67601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1218789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26642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44356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14969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59325</v>
      </c>
      <c r="C5246" s="2" t="s">
        <v>594</v>
      </c>
      <c r="D5246" s="2" t="str">
        <f t="shared" si="80"/>
        <v>Error?</v>
      </c>
    </row>
    <row r="5247" spans="1:4" x14ac:dyDescent="0.2">
      <c r="A5247" s="5">
        <v>5186</v>
      </c>
      <c r="B5247" s="138">
        <f>'Revenues 9-14'!C203</f>
        <v>66145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66145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37945</v>
      </c>
      <c r="D5278" s="2" t="str">
        <f t="shared" si="81"/>
        <v>Error?</v>
      </c>
    </row>
    <row r="5279" spans="1:4" x14ac:dyDescent="0.2">
      <c r="A5279" s="5">
        <v>5218</v>
      </c>
      <c r="B5279" s="138">
        <f>'Revenues 9-14'!C221</f>
        <v>733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38678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193317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219959</v>
      </c>
      <c r="C5326" s="2" t="s">
        <v>594</v>
      </c>
      <c r="D5326" s="2" t="str">
        <f t="shared" si="82"/>
        <v>Error?</v>
      </c>
    </row>
    <row r="5327" spans="1:4" x14ac:dyDescent="0.2">
      <c r="A5327" s="5">
        <v>5266</v>
      </c>
      <c r="B5327" s="138">
        <f>'Revenues 9-14'!C275</f>
        <v>1949489</v>
      </c>
      <c r="C5327" s="2" t="s">
        <v>594</v>
      </c>
      <c r="D5327" s="2" t="str">
        <f t="shared" si="82"/>
        <v>Error?</v>
      </c>
    </row>
    <row r="5328" spans="1:4" x14ac:dyDescent="0.2">
      <c r="A5328" s="5">
        <v>5267</v>
      </c>
      <c r="B5328" s="138">
        <f>'Revenues 9-14'!D5</f>
        <v>76234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76234</v>
      </c>
      <c r="C5334" s="2" t="s">
        <v>594</v>
      </c>
      <c r="D5334" s="2" t="str">
        <f t="shared" si="82"/>
        <v>Error?</v>
      </c>
    </row>
    <row r="5335" spans="1:4" x14ac:dyDescent="0.2">
      <c r="A5335" s="5">
        <v>5274</v>
      </c>
      <c r="B5335" s="138">
        <f>'Revenues 9-14'!D14</f>
        <v>627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8</v>
      </c>
      <c r="D5338" s="2" t="str">
        <f t="shared" si="82"/>
        <v>Error?</v>
      </c>
    </row>
    <row r="5339" spans="1:4" x14ac:dyDescent="0.2">
      <c r="A5339" s="5">
        <v>5278</v>
      </c>
      <c r="B5339" s="138">
        <f>'Revenues 9-14'!D18</f>
        <v>635</v>
      </c>
      <c r="C5339" s="2" t="s">
        <v>594</v>
      </c>
      <c r="D5339" s="2" t="str">
        <f t="shared" si="82"/>
        <v>Error?</v>
      </c>
    </row>
    <row r="5340" spans="1:4" x14ac:dyDescent="0.2">
      <c r="A5340" s="5">
        <v>5279</v>
      </c>
      <c r="B5340" s="138">
        <f>'Revenues 9-14'!D65</f>
        <v>116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76985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76985</v>
      </c>
      <c r="C5508" s="2" t="s">
        <v>594</v>
      </c>
      <c r="D5508" s="2" t="str">
        <f t="shared" si="85"/>
        <v>Error?</v>
      </c>
    </row>
    <row r="5509" spans="1:4" x14ac:dyDescent="0.2">
      <c r="A5509" s="5">
        <v>5448</v>
      </c>
      <c r="B5509" s="138">
        <f>'Revenues 9-14'!E5</f>
        <v>44948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44948</v>
      </c>
      <c r="C5513" s="2" t="s">
        <v>594</v>
      </c>
      <c r="D5513" s="2" t="str">
        <f t="shared" si="85"/>
        <v>Error?</v>
      </c>
    </row>
    <row r="5514" spans="1:4" x14ac:dyDescent="0.2">
      <c r="A5514" s="5">
        <v>5453</v>
      </c>
      <c r="B5514" s="138">
        <f>'Revenues 9-14'!E14</f>
        <v>369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v>
      </c>
      <c r="D5517" s="2" t="str">
        <f t="shared" si="85"/>
        <v>Error?</v>
      </c>
    </row>
    <row r="5518" spans="1:4" x14ac:dyDescent="0.2">
      <c r="A5518" s="5">
        <v>5457</v>
      </c>
      <c r="B5518" s="138">
        <f>'Revenues 9-14'!E18</f>
        <v>374</v>
      </c>
      <c r="C5518" s="2" t="s">
        <v>594</v>
      </c>
      <c r="D5518" s="2" t="str">
        <f t="shared" si="85"/>
        <v>Error?</v>
      </c>
    </row>
    <row r="5519" spans="1:4" x14ac:dyDescent="0.2">
      <c r="A5519" s="5">
        <v>5458</v>
      </c>
      <c r="B5519" s="138">
        <f>'Revenues 9-14'!E65</f>
        <v>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32406</v>
      </c>
      <c r="C5526" s="2" t="s">
        <v>594</v>
      </c>
      <c r="D5526" s="2" t="str">
        <f t="shared" si="85"/>
        <v>Error?</v>
      </c>
    </row>
    <row r="5527" spans="1:4" x14ac:dyDescent="0.2">
      <c r="A5527" s="5">
        <v>5466</v>
      </c>
      <c r="B5527" s="138">
        <f>'Revenues 9-14'!E109</f>
        <v>77764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77764</v>
      </c>
      <c r="C5552" s="2" t="s">
        <v>594</v>
      </c>
      <c r="D5552" s="2" t="str">
        <f t="shared" si="85"/>
        <v>Error?</v>
      </c>
    </row>
    <row r="5553" spans="1:4" x14ac:dyDescent="0.2">
      <c r="A5553" s="5">
        <v>5492</v>
      </c>
      <c r="B5553" s="138">
        <f>'Revenues 9-14'!F5</f>
        <v>30494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30494</v>
      </c>
      <c r="C5557" s="2" t="s">
        <v>594</v>
      </c>
      <c r="D5557" s="2" t="str">
        <f t="shared" si="85"/>
        <v>Error?</v>
      </c>
    </row>
    <row r="5558" spans="1:4" x14ac:dyDescent="0.2">
      <c r="A5558" s="5">
        <v>5497</v>
      </c>
      <c r="B5558" s="138">
        <f>'Revenues 9-14'!F14</f>
        <v>251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v>
      </c>
      <c r="D5561" s="2" t="str">
        <f t="shared" si="85"/>
        <v>Error?</v>
      </c>
    </row>
    <row r="5562" spans="1:4" x14ac:dyDescent="0.2">
      <c r="A5562" s="5">
        <v>5501</v>
      </c>
      <c r="B5562" s="138">
        <f>'Revenues 9-14'!F18</f>
        <v>254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30833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11000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35937</v>
      </c>
      <c r="D5615" s="2" t="str">
        <f t="shared" si="86"/>
        <v>Error?</v>
      </c>
    </row>
    <row r="5616" spans="1:4" x14ac:dyDescent="0.2">
      <c r="A5616" s="10">
        <v>5555</v>
      </c>
      <c r="D5616" s="2" t="str">
        <f t="shared" si="86"/>
        <v>OK</v>
      </c>
    </row>
    <row r="5617" spans="1:4" x14ac:dyDescent="0.2">
      <c r="A5617" s="5">
        <v>5556</v>
      </c>
      <c r="B5617" s="138">
        <f>'Revenues 9-14'!F152</f>
        <v>15130</v>
      </c>
      <c r="D5617" s="2" t="str">
        <f t="shared" si="86"/>
        <v>Error?</v>
      </c>
    </row>
    <row r="5618" spans="1:4" x14ac:dyDescent="0.2">
      <c r="A5618" s="5">
        <v>5557</v>
      </c>
      <c r="B5618" s="138">
        <f>'Revenues 9-14'!F154</f>
        <v>51067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51067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62067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92900</v>
      </c>
      <c r="C5720" s="2" t="s">
        <v>594</v>
      </c>
      <c r="D5720" s="2" t="str">
        <f t="shared" si="88"/>
        <v>Error?</v>
      </c>
    </row>
    <row r="5721" spans="1:4" x14ac:dyDescent="0.2">
      <c r="A5721" s="5">
        <v>5660</v>
      </c>
      <c r="B5721" s="138">
        <f>'Revenues 9-14'!G5</f>
        <v>30666</v>
      </c>
      <c r="D5721" s="2" t="str">
        <f t="shared" si="88"/>
        <v>Error?</v>
      </c>
    </row>
    <row r="5722" spans="1:4" x14ac:dyDescent="0.2">
      <c r="A5722" s="5">
        <v>5661</v>
      </c>
      <c r="B5722" s="138">
        <f>'Revenues 9-14'!G7</f>
        <v>0</v>
      </c>
      <c r="D5722" s="2" t="str">
        <f t="shared" si="88"/>
        <v>Error?</v>
      </c>
    </row>
    <row r="5723" spans="1:4" x14ac:dyDescent="0.2">
      <c r="A5723" s="5">
        <v>5662</v>
      </c>
      <c r="B5723" s="138">
        <f>'Revenues 9-14'!G8</f>
        <v>28058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58724</v>
      </c>
      <c r="C5725" s="2" t="s">
        <v>594</v>
      </c>
      <c r="D5725" s="2" t="str">
        <f t="shared" si="88"/>
        <v>Error?</v>
      </c>
    </row>
    <row r="5726" spans="1:4" x14ac:dyDescent="0.2">
      <c r="A5726" s="5">
        <v>5665</v>
      </c>
      <c r="B5726" s="138">
        <f>'Revenues 9-14'!G14</f>
        <v>483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6</v>
      </c>
      <c r="D5729" s="2" t="str">
        <f t="shared" si="88"/>
        <v>Error?</v>
      </c>
    </row>
    <row r="5730" spans="1:4" x14ac:dyDescent="0.2">
      <c r="A5730" s="5">
        <v>5669</v>
      </c>
      <c r="B5730" s="138">
        <f>'Revenues 9-14'!G18</f>
        <v>489</v>
      </c>
      <c r="C5730" s="2" t="s">
        <v>594</v>
      </c>
      <c r="D5730" s="2" t="str">
        <f t="shared" si="88"/>
        <v>Error?</v>
      </c>
    </row>
    <row r="5731" spans="1:4" x14ac:dyDescent="0.2">
      <c r="A5731" s="5">
        <v>5670</v>
      </c>
      <c r="B5731" s="138">
        <f>'Revenues 9-14'!G65</f>
        <v>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59256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100800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101093</v>
      </c>
      <c r="C5915" s="2" t="s">
        <v>594</v>
      </c>
      <c r="D5915" s="2" t="str">
        <f t="shared" si="91"/>
        <v>Error?</v>
      </c>
    </row>
    <row r="5916" spans="1:4" x14ac:dyDescent="0.2">
      <c r="A5916" s="5">
        <v>5855</v>
      </c>
      <c r="B5916" s="138">
        <f>'Revenues 9-14'!I5</f>
        <v>7625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7625</v>
      </c>
      <c r="C5918" s="2" t="s">
        <v>594</v>
      </c>
      <c r="D5918" s="2" t="str">
        <f t="shared" si="91"/>
        <v>Error?</v>
      </c>
    </row>
    <row r="5919" spans="1:4" x14ac:dyDescent="0.2">
      <c r="A5919" s="5">
        <v>5858</v>
      </c>
      <c r="B5919" s="138">
        <f>'Revenues 9-14'!I14</f>
        <v>62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v>
      </c>
      <c r="D5922" s="2" t="str">
        <f t="shared" si="91"/>
        <v>Error?</v>
      </c>
    </row>
    <row r="5923" spans="1:4" x14ac:dyDescent="0.2">
      <c r="A5923" s="5">
        <v>5862</v>
      </c>
      <c r="B5923" s="138">
        <f>'Revenues 9-14'!I18</f>
        <v>63</v>
      </c>
      <c r="C5923" s="2" t="s">
        <v>594</v>
      </c>
      <c r="D5923" s="2" t="str">
        <f t="shared" si="91"/>
        <v>Error?</v>
      </c>
    </row>
    <row r="5924" spans="1:4" x14ac:dyDescent="0.2">
      <c r="A5924" s="5">
        <v>5863</v>
      </c>
      <c r="B5924" s="138">
        <f>'Revenues 9-14'!I65</f>
        <v>1228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1228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8916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7625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7625</v>
      </c>
      <c r="C5987" s="2" t="s">
        <v>594</v>
      </c>
      <c r="D5987" s="2" t="str">
        <f t="shared" si="92"/>
        <v>Error?</v>
      </c>
    </row>
    <row r="5988" spans="1:4" x14ac:dyDescent="0.2">
      <c r="A5988" s="5">
        <v>5927</v>
      </c>
      <c r="B5988" s="138">
        <f>'Revenues 9-14'!K14</f>
        <v>63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v>
      </c>
      <c r="D5991" s="2" t="str">
        <f t="shared" si="92"/>
        <v>Error?</v>
      </c>
    </row>
    <row r="5992" spans="1:4" x14ac:dyDescent="0.2">
      <c r="A5992" s="5">
        <v>5931</v>
      </c>
      <c r="B5992" s="138">
        <f>'Revenues 9-14'!K18</f>
        <v>64</v>
      </c>
      <c r="C5992" s="2" t="s">
        <v>594</v>
      </c>
      <c r="D5992" s="2" t="str">
        <f t="shared" si="92"/>
        <v>Error?</v>
      </c>
    </row>
    <row r="5993" spans="1:4" x14ac:dyDescent="0.2">
      <c r="A5993" s="5">
        <v>5932</v>
      </c>
      <c r="B5993" s="138">
        <f>'Revenues 9-14'!K65</f>
        <v>30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7719</v>
      </c>
      <c r="C6023" s="2" t="s">
        <v>594</v>
      </c>
      <c r="D6023" s="2" t="str">
        <f t="shared" si="93"/>
        <v>Error?</v>
      </c>
    </row>
    <row r="6024" spans="1:5" x14ac:dyDescent="0.2">
      <c r="A6024" s="5">
        <v>5963</v>
      </c>
      <c r="B6024" s="138">
        <f>'Revenues 9-14'!G109</f>
        <v>59256</v>
      </c>
      <c r="C6024" s="2" t="s">
        <v>594</v>
      </c>
      <c r="D6024" s="2" t="str">
        <f t="shared" si="93"/>
        <v>Error?</v>
      </c>
    </row>
    <row r="6025" spans="1:5" x14ac:dyDescent="0.2">
      <c r="A6025" s="5">
        <v>5964</v>
      </c>
      <c r="B6025" s="138">
        <f>'Revenues 9-14'!H109</f>
        <v>101093</v>
      </c>
      <c r="C6025" s="2" t="s">
        <v>594</v>
      </c>
      <c r="D6025" s="2" t="str">
        <f t="shared" si="93"/>
        <v>Error?</v>
      </c>
    </row>
    <row r="6026" spans="1:5" x14ac:dyDescent="0.2">
      <c r="A6026" s="5">
        <v>5965</v>
      </c>
      <c r="B6026" s="138">
        <f>'Revenues 9-14'!I109</f>
        <v>8916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7719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11821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4391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193.63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136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58208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58208</v>
      </c>
      <c r="D6215" s="2" t="str">
        <f t="shared" si="96"/>
        <v>Error?</v>
      </c>
      <c r="E6215" s="2" t="s">
        <v>199</v>
      </c>
    </row>
    <row r="6216" spans="1:5" x14ac:dyDescent="0.2">
      <c r="A6216">
        <v>6155</v>
      </c>
      <c r="B6216" s="138">
        <f>'Assets-Liab 5-6'!J41</f>
        <v>58208</v>
      </c>
      <c r="D6216" s="2" t="str">
        <f t="shared" si="96"/>
        <v>Error?</v>
      </c>
      <c r="E6216" s="2" t="s">
        <v>199</v>
      </c>
    </row>
    <row r="6217" spans="1:5" x14ac:dyDescent="0.2">
      <c r="A6217">
        <v>6156</v>
      </c>
      <c r="B6217" s="138">
        <f>'Assets-Liab 5-6'!J4</f>
        <v>58208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95032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95032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95032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52408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52408</v>
      </c>
      <c r="D6229" s="2" t="str">
        <f t="shared" si="96"/>
        <v>Error?</v>
      </c>
      <c r="E6229" s="2" t="s">
        <v>199</v>
      </c>
    </row>
    <row r="6230" spans="1:5" x14ac:dyDescent="0.2">
      <c r="A6230">
        <v>6169</v>
      </c>
      <c r="B6230" s="138">
        <f>'Acct Summary 7-8'!J20</f>
        <v>42624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42624</v>
      </c>
      <c r="D6263" s="2" t="str">
        <f t="shared" si="96"/>
        <v>Error?</v>
      </c>
      <c r="E6263" s="2" t="s">
        <v>199</v>
      </c>
    </row>
    <row r="6264" spans="1:5" x14ac:dyDescent="0.2">
      <c r="A6264">
        <v>6203</v>
      </c>
      <c r="B6264" s="138">
        <f>'Acct Summary 7-8'!J79</f>
        <v>15584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58208</v>
      </c>
      <c r="D6266" s="2" t="str">
        <f t="shared" si="96"/>
        <v>Error?</v>
      </c>
      <c r="E6266" s="2" t="s">
        <v>199</v>
      </c>
    </row>
    <row r="6267" spans="1:5" x14ac:dyDescent="0.2">
      <c r="A6267">
        <v>6206</v>
      </c>
      <c r="B6267" s="138">
        <f>'Acct Summary 7-8'!C82</f>
        <v>120403</v>
      </c>
      <c r="D6267" s="2" t="str">
        <f t="shared" si="96"/>
        <v>Error?</v>
      </c>
      <c r="E6267" s="2" t="s">
        <v>199</v>
      </c>
    </row>
    <row r="6268" spans="1:5" x14ac:dyDescent="0.2">
      <c r="A6268">
        <v>6207</v>
      </c>
      <c r="B6268" s="138">
        <f>'Acct Summary 7-8'!D82</f>
        <v>12697</v>
      </c>
      <c r="D6268" s="2" t="str">
        <f t="shared" si="96"/>
        <v>Error?</v>
      </c>
      <c r="E6268" s="2" t="s">
        <v>199</v>
      </c>
    </row>
    <row r="6269" spans="1:5" x14ac:dyDescent="0.2">
      <c r="A6269">
        <v>6208</v>
      </c>
      <c r="B6269" s="138">
        <f>'Acct Summary 7-8'!E82</f>
        <v>33264</v>
      </c>
      <c r="D6269" s="2" t="str">
        <f t="shared" si="96"/>
        <v>Error?</v>
      </c>
      <c r="E6269" s="2" t="s">
        <v>199</v>
      </c>
    </row>
    <row r="6270" spans="1:5" x14ac:dyDescent="0.2">
      <c r="A6270">
        <v>6209</v>
      </c>
      <c r="B6270" s="138">
        <f>'Acct Summary 7-8'!F82</f>
        <v>25157</v>
      </c>
      <c r="D6270" s="2" t="str">
        <f t="shared" si="96"/>
        <v>Error?</v>
      </c>
      <c r="E6270" s="2" t="s">
        <v>199</v>
      </c>
    </row>
    <row r="6271" spans="1:5" x14ac:dyDescent="0.2">
      <c r="A6271">
        <v>6210</v>
      </c>
      <c r="B6271" s="138">
        <f>'Acct Summary 7-8'!G82</f>
        <v>-2623</v>
      </c>
      <c r="D6271" s="2" t="str">
        <f t="shared" ref="D6271:D6334" si="97">IF(ISBLANK(B6271),"OK",IF(A6271-B6271=0,"OK","Error?"))</f>
        <v>Error?</v>
      </c>
      <c r="E6271" s="2" t="s">
        <v>199</v>
      </c>
    </row>
    <row r="6272" spans="1:5" x14ac:dyDescent="0.2">
      <c r="A6272">
        <v>6211</v>
      </c>
      <c r="B6272" s="138">
        <f>'Acct Summary 7-8'!H82</f>
        <v>947352</v>
      </c>
      <c r="D6272" s="2" t="str">
        <f t="shared" si="97"/>
        <v>Error?</v>
      </c>
      <c r="E6272" s="2" t="s">
        <v>199</v>
      </c>
    </row>
    <row r="6273" spans="1:5" x14ac:dyDescent="0.2">
      <c r="A6273">
        <v>6212</v>
      </c>
      <c r="B6273" s="138">
        <f>'Acct Summary 7-8'!I82</f>
        <v>8916</v>
      </c>
      <c r="D6273" s="2" t="str">
        <f t="shared" si="97"/>
        <v>Error?</v>
      </c>
      <c r="E6273" s="2" t="s">
        <v>199</v>
      </c>
    </row>
    <row r="6274" spans="1:5" x14ac:dyDescent="0.2">
      <c r="A6274">
        <v>6213</v>
      </c>
      <c r="B6274" s="138">
        <f>'Acct Summary 7-8'!J82</f>
        <v>42624</v>
      </c>
      <c r="D6274" s="2" t="str">
        <f t="shared" si="97"/>
        <v>Error?</v>
      </c>
      <c r="E6274" s="2" t="s">
        <v>199</v>
      </c>
    </row>
    <row r="6275" spans="1:5" x14ac:dyDescent="0.2">
      <c r="A6275">
        <v>6214</v>
      </c>
      <c r="B6275" s="138">
        <f>'Acct Summary 7-8'!K82</f>
        <v>7719</v>
      </c>
      <c r="D6275" s="2" t="str">
        <f t="shared" si="97"/>
        <v>Error?</v>
      </c>
      <c r="E6275" s="2" t="s">
        <v>199</v>
      </c>
    </row>
    <row r="6276" spans="1:5" x14ac:dyDescent="0.2">
      <c r="A6276">
        <v>6215</v>
      </c>
      <c r="B6276" s="138">
        <f>'Acct Summary 7-8'!C83</f>
        <v>0.16958479521456027</v>
      </c>
      <c r="D6276" s="2" t="str">
        <f t="shared" si="97"/>
        <v>Error?</v>
      </c>
      <c r="E6276" s="2" t="s">
        <v>199</v>
      </c>
    </row>
    <row r="6277" spans="1:5" x14ac:dyDescent="0.2">
      <c r="A6277">
        <v>6216</v>
      </c>
      <c r="B6277" s="138">
        <f>'Acct Summary 7-8'!D83</f>
        <v>0.14666743675638211</v>
      </c>
      <c r="D6277" s="2" t="str">
        <f t="shared" si="97"/>
        <v>Error?</v>
      </c>
      <c r="E6277" s="2" t="s">
        <v>199</v>
      </c>
    </row>
    <row r="6278" spans="1:5" x14ac:dyDescent="0.2">
      <c r="A6278">
        <v>6217</v>
      </c>
      <c r="B6278" s="138">
        <f>'Acct Summary 7-8'!E83</f>
        <v>0.59837023978701587</v>
      </c>
      <c r="D6278" s="2" t="str">
        <f t="shared" si="97"/>
        <v>Error?</v>
      </c>
      <c r="E6278" s="2" t="s">
        <v>199</v>
      </c>
    </row>
    <row r="6279" spans="1:5" x14ac:dyDescent="0.2">
      <c r="A6279">
        <v>6218</v>
      </c>
      <c r="B6279" s="138">
        <f>'Acct Summary 7-8'!F83</f>
        <v>0.30644886225210738</v>
      </c>
      <c r="D6279" s="2" t="str">
        <f t="shared" si="97"/>
        <v>Error?</v>
      </c>
      <c r="E6279" s="2" t="s">
        <v>199</v>
      </c>
    </row>
    <row r="6280" spans="1:5" x14ac:dyDescent="0.2">
      <c r="A6280">
        <v>6219</v>
      </c>
      <c r="B6280" s="138">
        <f>'Acct Summary 7-8'!G83</f>
        <v>-0.13794372863528792</v>
      </c>
      <c r="D6280" s="2" t="str">
        <f t="shared" si="97"/>
        <v>Error?</v>
      </c>
      <c r="E6280" s="2" t="s">
        <v>199</v>
      </c>
    </row>
    <row r="6281" spans="1:5" x14ac:dyDescent="0.2">
      <c r="A6281">
        <v>6220</v>
      </c>
      <c r="B6281" s="138">
        <f>'Acct Summary 7-8'!H83</f>
        <v>0.89905051128140645</v>
      </c>
      <c r="D6281" s="2" t="str">
        <f t="shared" si="97"/>
        <v>Error?</v>
      </c>
      <c r="E6281" s="2" t="s">
        <v>199</v>
      </c>
    </row>
    <row r="6282" spans="1:5" x14ac:dyDescent="0.2">
      <c r="A6282">
        <v>6221</v>
      </c>
      <c r="B6282" s="138">
        <f>'Acct Summary 7-8'!I83</f>
        <v>2.8485076963380894E-2</v>
      </c>
      <c r="D6282" s="2" t="str">
        <f t="shared" si="97"/>
        <v>Error?</v>
      </c>
      <c r="E6282" s="2" t="s">
        <v>199</v>
      </c>
    </row>
    <row r="6283" spans="1:5" x14ac:dyDescent="0.2">
      <c r="A6283">
        <v>6222</v>
      </c>
      <c r="B6283" s="138">
        <f>'Acct Summary 7-8'!J83</f>
        <v>0.73227047828477188</v>
      </c>
      <c r="D6283" s="2" t="str">
        <f t="shared" si="97"/>
        <v>Error?</v>
      </c>
      <c r="E6283" s="2" t="s">
        <v>199</v>
      </c>
    </row>
    <row r="6284" spans="1:5" x14ac:dyDescent="0.2">
      <c r="A6284">
        <v>6223</v>
      </c>
      <c r="B6284" s="138">
        <f>'Acct Summary 7-8'!K83</f>
        <v>0.26285500238370907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92541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92541</v>
      </c>
      <c r="D6301" s="2" t="str">
        <f t="shared" si="97"/>
        <v>Error?</v>
      </c>
      <c r="E6301" s="2" t="s">
        <v>199</v>
      </c>
    </row>
    <row r="6302" spans="1:5" x14ac:dyDescent="0.2">
      <c r="A6302">
        <v>6241</v>
      </c>
      <c r="B6302" s="138">
        <f>'Revenues 9-14'!J14</f>
        <v>761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10</v>
      </c>
      <c r="D6305" s="2" t="str">
        <f t="shared" si="97"/>
        <v>Error?</v>
      </c>
      <c r="E6305" s="2" t="s">
        <v>199</v>
      </c>
    </row>
    <row r="6306" spans="1:5" x14ac:dyDescent="0.2">
      <c r="A6306">
        <v>6245</v>
      </c>
      <c r="B6306" s="138">
        <f>'Revenues 9-14'!J18</f>
        <v>771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1650</v>
      </c>
      <c r="D6350" s="2" t="str">
        <f t="shared" si="98"/>
        <v>Error?</v>
      </c>
      <c r="E6350" s="2" t="s">
        <v>199</v>
      </c>
    </row>
    <row r="6351" spans="1:5" x14ac:dyDescent="0.2">
      <c r="A6351">
        <v>6290</v>
      </c>
      <c r="B6351" s="138">
        <f>'Revenues 9-14'!J108</f>
        <v>1650</v>
      </c>
      <c r="D6351" s="2" t="str">
        <f t="shared" si="98"/>
        <v>Error?</v>
      </c>
      <c r="E6351" s="2" t="s">
        <v>199</v>
      </c>
    </row>
    <row r="6352" spans="1:5" x14ac:dyDescent="0.2">
      <c r="A6352">
        <v>6291</v>
      </c>
      <c r="B6352" s="138">
        <f>'Revenues 9-14'!J109</f>
        <v>95032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22344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16636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4652</v>
      </c>
      <c r="D6981" s="2" t="str">
        <f t="shared" si="108"/>
        <v>Error?</v>
      </c>
    </row>
    <row r="6982" spans="1:4" x14ac:dyDescent="0.2">
      <c r="A6982">
        <v>6921</v>
      </c>
      <c r="B6982" s="138">
        <f>'Expenditures 15-22'!K85</f>
        <v>4652</v>
      </c>
      <c r="D6982" s="2" t="str">
        <f t="shared" si="108"/>
        <v>Error?</v>
      </c>
    </row>
    <row r="6983" spans="1:4" x14ac:dyDescent="0.2">
      <c r="A6983">
        <v>6922</v>
      </c>
      <c r="B6983" s="138">
        <f>'Expenditures 15-22'!H86</f>
        <v>42126</v>
      </c>
      <c r="D6983" s="2" t="str">
        <f t="shared" si="108"/>
        <v>Error?</v>
      </c>
    </row>
    <row r="6984" spans="1:4" x14ac:dyDescent="0.2">
      <c r="A6984">
        <v>6923</v>
      </c>
      <c r="B6984" s="138">
        <f>'Expenditures 15-22'!K86</f>
        <v>42126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46778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52408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95032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284</v>
      </c>
      <c r="D7075" s="2" t="str">
        <f t="shared" si="109"/>
        <v>Error?</v>
      </c>
    </row>
    <row r="7076" spans="1:4" x14ac:dyDescent="0.2">
      <c r="A7076">
        <v>7015</v>
      </c>
      <c r="B7076" s="138">
        <f>'Expenditures 15-22'!K218</f>
        <v>284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212</v>
      </c>
      <c r="D7079" s="2" t="str">
        <f t="shared" si="109"/>
        <v>Error?</v>
      </c>
    </row>
    <row r="7080" spans="1:4" x14ac:dyDescent="0.2">
      <c r="A7080">
        <v>7019</v>
      </c>
      <c r="B7080" s="138">
        <f>'Expenditures 15-22'!K226</f>
        <v>212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164</v>
      </c>
      <c r="D7093" s="2" t="str">
        <f t="shared" si="109"/>
        <v>Error?</v>
      </c>
    </row>
    <row r="7094" spans="1:4" x14ac:dyDescent="0.2">
      <c r="A7094">
        <v>7033</v>
      </c>
      <c r="B7094" s="138">
        <f>'Expenditures 15-22'!K254</f>
        <v>164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10050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10050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30688</v>
      </c>
      <c r="D7172" s="2" t="str">
        <f t="shared" si="111"/>
        <v>Error?</v>
      </c>
    </row>
    <row r="7173" spans="1:4" x14ac:dyDescent="0.2">
      <c r="A7173">
        <v>7112</v>
      </c>
      <c r="B7173" s="138">
        <f>'Expenditures 15-22'!D325</f>
        <v>1623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32311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429</v>
      </c>
      <c r="D7198" s="2" t="str">
        <f t="shared" si="111"/>
        <v>Error?</v>
      </c>
    </row>
    <row r="7199" spans="1:4" x14ac:dyDescent="0.2">
      <c r="A7199">
        <v>7138</v>
      </c>
      <c r="B7199" s="138">
        <f>'Expenditures 15-22'!C330</f>
        <v>30688</v>
      </c>
      <c r="D7199" s="2" t="str">
        <f t="shared" si="111"/>
        <v>Error?</v>
      </c>
    </row>
    <row r="7200" spans="1:4" x14ac:dyDescent="0.2">
      <c r="A7200">
        <v>7139</v>
      </c>
      <c r="B7200" s="138">
        <f>'Expenditures 15-22'!D330</f>
        <v>11673</v>
      </c>
      <c r="D7200" s="2" t="str">
        <f t="shared" si="111"/>
        <v>Error?</v>
      </c>
    </row>
    <row r="7201" spans="1:4" x14ac:dyDescent="0.2">
      <c r="A7201">
        <v>7140</v>
      </c>
      <c r="B7201" s="138">
        <f>'Expenditures 15-22'!E330</f>
        <v>10047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52408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30688</v>
      </c>
      <c r="D7216" s="2" t="str">
        <f t="shared" si="111"/>
        <v>Error?</v>
      </c>
    </row>
    <row r="7217" spans="1:4" x14ac:dyDescent="0.2">
      <c r="A7217">
        <v>7156</v>
      </c>
      <c r="B7217" s="138">
        <f>'Expenditures 15-22'!D342</f>
        <v>11673</v>
      </c>
      <c r="D7217" s="2" t="str">
        <f t="shared" si="111"/>
        <v>Error?</v>
      </c>
    </row>
    <row r="7218" spans="1:4" x14ac:dyDescent="0.2">
      <c r="A7218">
        <v>7157</v>
      </c>
      <c r="B7218" s="138">
        <f>'Expenditures 15-22'!E342</f>
        <v>10047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52408</v>
      </c>
      <c r="D7224" s="2" t="str">
        <f t="shared" si="111"/>
        <v>Error?</v>
      </c>
    </row>
    <row r="7225" spans="1:4" x14ac:dyDescent="0.2">
      <c r="A7225">
        <v>7164</v>
      </c>
      <c r="B7225" s="138">
        <f>'Expenditures 15-22'!K343</f>
        <v>42624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19974</v>
      </c>
      <c r="D7251" s="2" t="str">
        <f t="shared" si="112"/>
        <v>Error?</v>
      </c>
    </row>
    <row r="7252" spans="1:4" x14ac:dyDescent="0.2">
      <c r="A7252">
        <f t="shared" si="113"/>
        <v>7191</v>
      </c>
      <c r="B7252" s="138">
        <f>'Expenditures 15-22'!D9</f>
        <v>2370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14667</v>
      </c>
      <c r="D7263" s="2" t="str">
        <f t="shared" si="112"/>
        <v>Error?</v>
      </c>
    </row>
    <row r="7264" spans="1:4" x14ac:dyDescent="0.2">
      <c r="A7264">
        <f t="shared" si="113"/>
        <v>7203</v>
      </c>
      <c r="B7264" s="138">
        <f>'Expenditures 15-22'!D17</f>
        <v>1761</v>
      </c>
      <c r="D7264" s="2" t="str">
        <f t="shared" si="112"/>
        <v>Error?</v>
      </c>
    </row>
    <row r="7265" spans="1:5" x14ac:dyDescent="0.2">
      <c r="A7265">
        <f t="shared" si="113"/>
        <v>7204</v>
      </c>
      <c r="B7265" s="138">
        <f>'Expenditures 15-22'!E17</f>
        <v>10</v>
      </c>
      <c r="D7265" s="2" t="str">
        <f t="shared" si="112"/>
        <v>Error?</v>
      </c>
    </row>
    <row r="7266" spans="1:5" x14ac:dyDescent="0.2">
      <c r="A7266">
        <f t="shared" si="113"/>
        <v>7205</v>
      </c>
      <c r="B7266" s="138">
        <f>'Expenditures 15-22'!F17</f>
        <v>198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72817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106373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93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800</v>
      </c>
      <c r="D7712" s="2" t="str">
        <f t="shared" si="126"/>
        <v>Error?</v>
      </c>
      <c r="E7712" s="2" t="s">
        <v>881</v>
      </c>
    </row>
    <row r="7713" spans="1:6" x14ac:dyDescent="0.2">
      <c r="A7713">
        <v>7652</v>
      </c>
      <c r="B7713" s="138">
        <f>'Rest Tax Levies-Tort Im 25'!J8</f>
        <v>133206</v>
      </c>
      <c r="D7713" s="2" t="str">
        <f t="shared" si="126"/>
        <v>Error?</v>
      </c>
      <c r="E7713" s="2" t="s">
        <v>881</v>
      </c>
    </row>
    <row r="7714" spans="1:6" x14ac:dyDescent="0.2">
      <c r="A7714">
        <v>7653</v>
      </c>
      <c r="B7714" s="138">
        <f>'Rest Tax Levies-Tort Im 25'!K9</f>
        <v>3497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133299</v>
      </c>
      <c r="D7718" s="2" t="str">
        <f t="shared" si="126"/>
        <v>Error?</v>
      </c>
      <c r="E7718" s="2" t="s">
        <v>881</v>
      </c>
    </row>
    <row r="7719" spans="1:6" x14ac:dyDescent="0.2">
      <c r="A7719">
        <v>7658</v>
      </c>
      <c r="B7719" s="138">
        <f>'Rest Tax Levies-Tort Im 25'!K12</f>
        <v>4297</v>
      </c>
      <c r="D7719" s="2" t="str">
        <f t="shared" si="126"/>
        <v>Error?</v>
      </c>
      <c r="E7719" s="2" t="s">
        <v>881</v>
      </c>
    </row>
    <row r="7720" spans="1:6" x14ac:dyDescent="0.2">
      <c r="A7720">
        <v>7659</v>
      </c>
      <c r="B7720" s="138">
        <f>'Rest Tax Levies-Tort Im 25'!H14</f>
        <v>6151</v>
      </c>
      <c r="D7720" s="2" t="str">
        <f t="shared" si="126"/>
        <v>Error?</v>
      </c>
      <c r="E7720" s="2" t="s">
        <v>881</v>
      </c>
    </row>
    <row r="7721" spans="1:6" x14ac:dyDescent="0.2">
      <c r="A7721">
        <v>7660</v>
      </c>
      <c r="B7721" s="138">
        <f>'Rest Tax Levies-Tort Im 25'!K14</f>
        <v>4297</v>
      </c>
      <c r="D7721" s="2" t="str">
        <f t="shared" si="126"/>
        <v>Error?</v>
      </c>
      <c r="E7721" s="2" t="s">
        <v>881</v>
      </c>
    </row>
    <row r="7722" spans="1:6" x14ac:dyDescent="0.2">
      <c r="A7722">
        <v>7661</v>
      </c>
      <c r="B7722" s="138">
        <f>'Rest Tax Levies-Tort Im 25'!J15</f>
        <v>41023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32406</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41023</v>
      </c>
      <c r="D7730" s="2" t="str">
        <f t="shared" si="126"/>
        <v>Error?</v>
      </c>
      <c r="E7730" s="2" t="s">
        <v>881</v>
      </c>
    </row>
    <row r="7731" spans="1:6" x14ac:dyDescent="0.2">
      <c r="A7731">
        <v>7670</v>
      </c>
      <c r="B7731" s="138">
        <f>'Revenues 9-14'!H103</f>
        <v>100800</v>
      </c>
      <c r="D7731" s="2" t="str">
        <f t="shared" si="126"/>
        <v>Error?</v>
      </c>
      <c r="E7731" s="2" t="s">
        <v>881</v>
      </c>
    </row>
    <row r="7732" spans="1:6" x14ac:dyDescent="0.2">
      <c r="A7732">
        <v>7671</v>
      </c>
      <c r="B7732" s="138">
        <f>'Rest Tax Levies-Tort Im 25'!J24</f>
        <v>198649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198649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42240</v>
      </c>
      <c r="D7797" s="2" t="str">
        <f t="shared" si="127"/>
        <v>Error?</v>
      </c>
      <c r="E7797" s="4" t="s">
        <v>2020</v>
      </c>
    </row>
    <row r="7798" spans="1:5" x14ac:dyDescent="0.2">
      <c r="A7798">
        <v>7737</v>
      </c>
      <c r="B7798" s="138">
        <f>'Contracts Paid in CY 29'!F141</f>
        <v>42240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Coulterville USD 1</v>
      </c>
      <c r="B7" s="2414"/>
      <c r="C7" s="2414"/>
      <c r="D7" s="2451"/>
      <c r="E7" s="2452">
        <f>COVER!A13</f>
        <v>45079001022</v>
      </c>
      <c r="F7" s="2453"/>
      <c r="G7" s="2420" t="str">
        <f>COVER!T23</f>
        <v>065-014460</v>
      </c>
      <c r="H7" s="2421"/>
      <c r="I7" s="2421"/>
      <c r="J7" s="2421"/>
      <c r="K7" s="2421"/>
      <c r="L7" s="242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3"/>
      <c r="B9" s="2424"/>
      <c r="C9" s="2424"/>
      <c r="D9" s="2424"/>
      <c r="E9" s="2424"/>
      <c r="F9" s="2425"/>
      <c r="G9" s="2426" t="str">
        <f>COVER!T13</f>
        <v>SCHEFFEL BOYLE</v>
      </c>
      <c r="H9" s="2427"/>
      <c r="I9" s="2427"/>
      <c r="J9" s="2427"/>
      <c r="K9" s="2427"/>
      <c r="L9" s="2428"/>
    </row>
    <row r="10" spans="1:29" ht="13.5" customHeight="1" x14ac:dyDescent="0.2">
      <c r="A10" s="2410" t="str">
        <f>COVER!A38</f>
        <v>KARYN ALBERS</v>
      </c>
      <c r="B10" s="2411"/>
      <c r="C10" s="2411"/>
      <c r="D10" s="2411"/>
      <c r="E10" s="2411"/>
      <c r="F10" s="2412"/>
      <c r="G10" s="2426" t="str">
        <f>COVER!T17</f>
        <v>7 HILL CASTLE</v>
      </c>
      <c r="H10" s="2439"/>
      <c r="I10" s="2439"/>
      <c r="J10" s="2439"/>
      <c r="K10" s="2439"/>
      <c r="L10" s="2440"/>
    </row>
    <row r="11" spans="1:29" ht="13.5" customHeight="1" x14ac:dyDescent="0.2">
      <c r="A11" s="1185" t="s">
        <v>1599</v>
      </c>
      <c r="B11" s="1186"/>
      <c r="C11" s="1187"/>
      <c r="D11" s="1192"/>
      <c r="E11" s="1187"/>
      <c r="F11" s="1191"/>
      <c r="G11" s="2426" t="str">
        <f>COVER!T19</f>
        <v>COLUMBIA</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keith.brinkmann@scheffelboyle.com</v>
      </c>
      <c r="J13" s="2448"/>
      <c r="K13" s="2448"/>
      <c r="L13" s="2449"/>
    </row>
    <row r="14" spans="1:29" ht="13.5" customHeight="1" x14ac:dyDescent="0.2">
      <c r="A14" s="2426" t="str">
        <f>COVER!A19</f>
        <v>P.O. BOX 396</v>
      </c>
      <c r="B14" s="2439"/>
      <c r="C14" s="2439"/>
      <c r="D14" s="2439"/>
      <c r="E14" s="2439"/>
      <c r="F14" s="2440"/>
      <c r="G14" s="1196" t="s">
        <v>1247</v>
      </c>
      <c r="H14" s="1194"/>
      <c r="I14" s="1194"/>
      <c r="J14" s="1194"/>
      <c r="K14" s="1194"/>
      <c r="L14" s="1195"/>
    </row>
    <row r="15" spans="1:29" ht="13.5" customHeight="1" x14ac:dyDescent="0.2">
      <c r="A15" s="2426" t="str">
        <f>COVER!A21</f>
        <v>COULTERVILLE</v>
      </c>
      <c r="B15" s="2439"/>
      <c r="C15" s="2439"/>
      <c r="D15" s="2439"/>
      <c r="E15" s="2439"/>
      <c r="F15" s="2440"/>
      <c r="G15" s="2436" t="str">
        <f>COVER!T15</f>
        <v>KEITH G. BRINKMANN, CPA</v>
      </c>
      <c r="H15" s="2437"/>
      <c r="I15" s="2437"/>
      <c r="J15" s="2437"/>
      <c r="K15" s="2437"/>
      <c r="L15" s="2438"/>
    </row>
    <row r="16" spans="1:29" ht="12.2" customHeight="1" x14ac:dyDescent="0.2">
      <c r="A16" s="2416">
        <f>COVER!A25</f>
        <v>62237</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6" t="s">
        <v>1246</v>
      </c>
      <c r="H17" s="1194"/>
      <c r="I17" s="1194"/>
      <c r="J17" s="1194"/>
      <c r="K17" s="1198" t="s">
        <v>1245</v>
      </c>
      <c r="L17" s="1191"/>
      <c r="M17" s="1184"/>
    </row>
    <row r="18" spans="1:13" ht="12.2" customHeight="1" x14ac:dyDescent="0.2">
      <c r="A18" s="2410"/>
      <c r="B18" s="2411"/>
      <c r="C18" s="2411"/>
      <c r="D18" s="2411"/>
      <c r="E18" s="2411"/>
      <c r="F18" s="2412"/>
      <c r="G18" s="2413" t="str">
        <f>COVER!T21</f>
        <v>618-281-7605</v>
      </c>
      <c r="H18" s="2414"/>
      <c r="I18" s="2414"/>
      <c r="J18" s="2414"/>
      <c r="K18" s="2413" t="str">
        <f>COVER!X21</f>
        <v>681-281-6630</v>
      </c>
      <c r="L18" s="241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4" t="str">
        <f>'Single Audit Cover'!A7</f>
        <v>Coulterville USD 1</v>
      </c>
      <c r="B1" s="2450"/>
      <c r="C1" s="2450"/>
      <c r="D1" s="2450"/>
    </row>
    <row r="2" spans="1:11" s="1215" customFormat="1" ht="12.75" x14ac:dyDescent="0.2">
      <c r="A2" s="2455">
        <f>'Single Audit Cover'!E7</f>
        <v>45079001022</v>
      </c>
      <c r="B2" s="2456"/>
      <c r="C2" s="2456"/>
      <c r="D2" s="2456"/>
    </row>
    <row r="3" spans="1:11" s="1215" customFormat="1" ht="12.75" x14ac:dyDescent="0.2">
      <c r="A3" s="2454" t="s">
        <v>1593</v>
      </c>
      <c r="B3" s="2450"/>
      <c r="C3" s="2450"/>
      <c r="D3" s="245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8" t="str">
        <f>'Single Audit Cover'!A7</f>
        <v>Coulterville USD 1</v>
      </c>
      <c r="B1" s="2458"/>
      <c r="C1" s="2458"/>
      <c r="D1" s="2458"/>
      <c r="E1" s="2458"/>
    </row>
    <row r="2" spans="1:5" x14ac:dyDescent="0.2">
      <c r="A2" s="2459">
        <f>'Single Audit Cover'!E7</f>
        <v>45079001022</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60" t="s">
        <v>1305</v>
      </c>
    </row>
    <row r="10" spans="1:5" x14ac:dyDescent="0.2">
      <c r="A10" s="1261" t="s">
        <v>1304</v>
      </c>
      <c r="B10" s="1262" t="s">
        <v>1303</v>
      </c>
      <c r="C10" s="1262"/>
      <c r="D10" s="1263">
        <f>SUM('Acct Summary 7-8'!C7:K7)</f>
        <v>219959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4391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224350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0"/>
      <c r="B24" s="2460"/>
      <c r="D24" s="1268"/>
    </row>
    <row r="25" spans="1:4" x14ac:dyDescent="0.2">
      <c r="A25" s="2457"/>
      <c r="B25" s="2457"/>
      <c r="D25" s="1268"/>
    </row>
    <row r="26" spans="1:4" x14ac:dyDescent="0.2">
      <c r="A26" s="2457"/>
      <c r="B26" s="2457"/>
      <c r="D26" s="1268"/>
    </row>
    <row r="27" spans="1:4" x14ac:dyDescent="0.2">
      <c r="A27" s="2457"/>
      <c r="B27" s="2457"/>
      <c r="D27" s="1268"/>
    </row>
    <row r="28" spans="1:4" x14ac:dyDescent="0.2">
      <c r="A28" s="2457"/>
      <c r="B28" s="2457"/>
      <c r="D28" s="1268"/>
    </row>
    <row r="29" spans="1:4" x14ac:dyDescent="0.2">
      <c r="A29" s="2457"/>
      <c r="B29" s="2457"/>
      <c r="D29" s="1268"/>
    </row>
    <row r="30" spans="1:4" x14ac:dyDescent="0.2">
      <c r="A30" s="2457"/>
      <c r="B30" s="2457"/>
      <c r="D30" s="1268"/>
    </row>
    <row r="32" spans="1:4" x14ac:dyDescent="0.2">
      <c r="A32" s="1260" t="s">
        <v>1295</v>
      </c>
      <c r="D32" s="1263">
        <f>SUM(D19:D30)</f>
        <v>224350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7"/>
      <c r="B40" s="2457"/>
      <c r="D40" s="1268"/>
    </row>
    <row r="41" spans="1:4" x14ac:dyDescent="0.2">
      <c r="A41" s="2457"/>
      <c r="B41" s="2457"/>
      <c r="D41" s="1271"/>
    </row>
    <row r="42" spans="1:4" x14ac:dyDescent="0.2">
      <c r="A42" s="2457"/>
      <c r="B42" s="2457"/>
      <c r="D42" s="1271"/>
    </row>
    <row r="43" spans="1:4" x14ac:dyDescent="0.2">
      <c r="A43" s="2457"/>
      <c r="B43" s="2457"/>
      <c r="D43" s="1271"/>
    </row>
    <row r="44" spans="1:4" x14ac:dyDescent="0.2">
      <c r="A44" s="2457"/>
      <c r="B44" s="2457"/>
      <c r="D44" s="1271"/>
    </row>
    <row r="45" spans="1:4" x14ac:dyDescent="0.2">
      <c r="A45" s="2457"/>
      <c r="B45" s="2457"/>
      <c r="D45" s="1271"/>
    </row>
    <row r="47" spans="1:4" x14ac:dyDescent="0.2">
      <c r="B47" s="1272" t="s">
        <v>1289</v>
      </c>
      <c r="C47" s="1272"/>
      <c r="D47" s="1273">
        <f>SUM(D35:D45)</f>
        <v>0</v>
      </c>
    </row>
    <row r="49" spans="2:4" x14ac:dyDescent="0.2">
      <c r="B49" s="1272" t="s">
        <v>1288</v>
      </c>
      <c r="C49" s="1272"/>
      <c r="D49" s="1273">
        <f>D32-D47</f>
        <v>224350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Coulterville USD 1</v>
      </c>
      <c r="B1" s="2463"/>
      <c r="C1" s="2463"/>
      <c r="D1" s="2463"/>
      <c r="E1" s="2463"/>
      <c r="F1" s="2463"/>
    </row>
    <row r="2" spans="1:7" ht="13.5" customHeight="1" x14ac:dyDescent="0.2">
      <c r="A2" s="2464">
        <f>'Single Audit Cover'!E7</f>
        <v>45079001022</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1832</v>
      </c>
      <c r="B7" s="2462"/>
      <c r="C7" s="2462"/>
      <c r="D7" s="2462"/>
      <c r="E7" s="2462"/>
      <c r="F7" s="246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2" t="s">
        <v>1834</v>
      </c>
      <c r="B13" s="2462"/>
      <c r="C13" s="2462"/>
      <c r="D13" s="2462"/>
      <c r="E13" s="2462"/>
      <c r="F13" s="2462"/>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1835</v>
      </c>
      <c r="B32" s="2471"/>
      <c r="C32" s="2471"/>
      <c r="D32" s="2471"/>
      <c r="E32" s="2471"/>
      <c r="F32" s="247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2">
        <f>+C33+C34</f>
        <v>0</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Coulterville USD 1</v>
      </c>
      <c r="C1" s="2475"/>
      <c r="D1" s="2475"/>
      <c r="E1" s="2475"/>
      <c r="F1" s="2475"/>
      <c r="G1" s="2475"/>
      <c r="H1" s="2475"/>
      <c r="I1" s="2475"/>
      <c r="J1" s="2475"/>
      <c r="K1" s="2475"/>
      <c r="L1" s="2475"/>
      <c r="M1" s="2475"/>
    </row>
    <row r="2" spans="2:14" ht="15" x14ac:dyDescent="0.2">
      <c r="B2" s="2464">
        <f>'Single Audit Cover'!E7</f>
        <v>45079001022</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8" sqref="A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2089</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Coulterville USD 1</v>
      </c>
      <c r="C1" s="2483"/>
      <c r="D1" s="2483"/>
      <c r="E1" s="2483"/>
      <c r="F1" s="2483"/>
      <c r="G1" s="2483"/>
      <c r="H1" s="2483"/>
      <c r="I1" s="2483"/>
      <c r="J1" s="1422"/>
    </row>
    <row r="2" spans="2:10" s="317" customFormat="1" ht="12.75" customHeight="1" x14ac:dyDescent="0.2">
      <c r="B2" s="2484">
        <f>'Single Audit Cover'!E7</f>
        <v>45079001022</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c r="E29" s="2489"/>
      <c r="F29" s="2489"/>
      <c r="G29" s="2489"/>
      <c r="H29" s="2489"/>
      <c r="I29" s="248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0" t="s">
        <v>1854</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0</v>
      </c>
      <c r="H43" s="2499"/>
      <c r="I43" s="2499"/>
    </row>
    <row r="44" spans="2:9" ht="12.75" customHeight="1" x14ac:dyDescent="0.2"/>
    <row r="45" spans="2:9" ht="12.75" customHeight="1" x14ac:dyDescent="0.2">
      <c r="B45" s="1435" t="s">
        <v>1952</v>
      </c>
      <c r="D45" s="2500">
        <v>0</v>
      </c>
      <c r="E45" s="250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2"/>
      <c r="F49" s="2502"/>
      <c r="G49" s="250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Coulterville USD 1</v>
      </c>
      <c r="C1" s="2482"/>
      <c r="D1" s="2482"/>
      <c r="E1" s="2482"/>
      <c r="F1" s="2482"/>
      <c r="G1" s="2482"/>
      <c r="H1" s="2482"/>
      <c r="I1" s="2482"/>
      <c r="J1" s="2482"/>
      <c r="K1" s="2482"/>
      <c r="L1" s="1374"/>
      <c r="M1" s="1374"/>
    </row>
    <row r="2" spans="1:13" ht="12" customHeight="1" x14ac:dyDescent="0.2">
      <c r="B2" s="2484">
        <f>'Single Audit Cover'!E7</f>
        <v>45079001022</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4"/>
      <c r="C14" s="2504"/>
      <c r="D14" s="2504"/>
      <c r="E14" s="2504"/>
      <c r="F14" s="2504"/>
      <c r="G14" s="2504"/>
      <c r="H14" s="2504"/>
      <c r="I14" s="2504"/>
      <c r="J14" s="2504"/>
      <c r="K14" s="250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8"/>
      <c r="C20" s="2508"/>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3"/>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Coulterville USD 1</v>
      </c>
      <c r="C1" s="2509"/>
      <c r="D1" s="2509"/>
      <c r="E1" s="2509"/>
      <c r="F1" s="2509"/>
      <c r="G1" s="2509"/>
      <c r="H1" s="2509"/>
      <c r="I1" s="2509"/>
      <c r="J1" s="2509"/>
      <c r="K1" s="2509"/>
      <c r="L1" s="1465"/>
    </row>
    <row r="2" spans="1:12" ht="12.75" customHeight="1" x14ac:dyDescent="0.2">
      <c r="B2" s="2510">
        <f>'Single Audit Cover'!E7</f>
        <v>45079001022</v>
      </c>
      <c r="C2" s="2510"/>
      <c r="D2" s="2510"/>
      <c r="E2" s="2510"/>
      <c r="F2" s="2510"/>
      <c r="G2" s="2510"/>
      <c r="H2" s="2510"/>
      <c r="I2" s="2510"/>
      <c r="J2" s="2510"/>
      <c r="K2" s="2510"/>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2"/>
      <c r="E14" s="2512"/>
      <c r="F14" s="2512"/>
      <c r="H14" s="1475" t="s">
        <v>1370</v>
      </c>
      <c r="I14" s="2513"/>
      <c r="J14" s="2513"/>
      <c r="K14" s="251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3"/>
      <c r="E16" s="2513"/>
      <c r="F16" s="2513"/>
      <c r="G16" s="2513"/>
      <c r="H16" s="2513"/>
      <c r="I16" s="2513"/>
      <c r="J16" s="2513"/>
      <c r="K16" s="2513"/>
      <c r="L16" s="322"/>
    </row>
    <row r="17" spans="2:12" ht="13.5" customHeight="1" x14ac:dyDescent="0.2">
      <c r="B17" s="1387" t="s">
        <v>1368</v>
      </c>
      <c r="C17" s="1387"/>
      <c r="D17" s="2514"/>
      <c r="E17" s="2514"/>
      <c r="F17" s="2514"/>
      <c r="G17" s="2514"/>
      <c r="H17" s="2514"/>
      <c r="I17" s="2514"/>
      <c r="J17" s="2514"/>
      <c r="K17" s="251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4"/>
      <c r="C20" s="2504"/>
      <c r="D20" s="2504"/>
      <c r="E20" s="2504"/>
      <c r="F20" s="2504"/>
      <c r="G20" s="2504"/>
      <c r="H20" s="2504"/>
      <c r="I20" s="2504"/>
      <c r="J20" s="2504"/>
      <c r="K20" s="250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Coulterville USD 1</v>
      </c>
      <c r="C1" s="2482"/>
      <c r="D1" s="2482"/>
      <c r="E1" s="1491"/>
    </row>
    <row r="2" spans="2:5" s="1282" customFormat="1" ht="12.75" customHeight="1" x14ac:dyDescent="0.2">
      <c r="B2" s="2484">
        <f>'Single Audit Cover'!E7</f>
        <v>45079001022</v>
      </c>
      <c r="C2" s="2484"/>
      <c r="D2" s="2484"/>
      <c r="E2" s="1492"/>
    </row>
    <row r="3" spans="2:5" ht="12.75" customHeight="1" x14ac:dyDescent="0.2">
      <c r="B3" s="2505" t="s">
        <v>1869</v>
      </c>
      <c r="C3" s="2505"/>
      <c r="D3" s="2505"/>
      <c r="E3" s="1274"/>
    </row>
    <row r="4" spans="2:5" s="1282" customFormat="1" ht="12.75" customHeight="1" x14ac:dyDescent="0.2">
      <c r="B4" s="2515" t="str">
        <f>'Single Audit Cover'!A4</f>
        <v>Year Ending June 30, 2018</v>
      </c>
      <c r="C4" s="2515"/>
      <c r="D4" s="251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8" sqref="A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18122676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2.4992E-2</v>
      </c>
      <c r="E10" s="356" t="s">
        <v>1062</v>
      </c>
      <c r="F10" s="355">
        <v>4.3709999999999999E-3</v>
      </c>
      <c r="G10" s="356" t="s">
        <v>1062</v>
      </c>
      <c r="H10" s="355">
        <v>1.7470000000000001E-3</v>
      </c>
      <c r="I10" s="356" t="s">
        <v>1063</v>
      </c>
      <c r="J10" s="1754">
        <f>ROUND(D10+F10+H10,5)</f>
        <v>3.1109999999999999E-2</v>
      </c>
      <c r="K10" s="222"/>
      <c r="L10" s="355">
        <v>4.37E-4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2128290</v>
      </c>
      <c r="E16" s="356"/>
      <c r="F16" s="1755">
        <f>SUM('Acct Summary 7-8'!C17,'Acct Summary 7-8'!D17,'Acct Summary 7-8'!F17)</f>
        <v>1961117</v>
      </c>
      <c r="G16" s="356"/>
      <c r="H16" s="1755">
        <f>SUM(D16-F16)</f>
        <v>167173</v>
      </c>
      <c r="I16" s="222"/>
      <c r="J16" s="1755">
        <f>SUM('Acct Summary 7-8'!C81,'Acct Summary 7-8'!D81,'Acct Summary 7-8'!F81,'Acct Summary 7-8'!I81)</f>
        <v>1191655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2500929.2880000002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1176000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5"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Coulterville USD 1</v>
      </c>
      <c r="E7" s="391"/>
      <c r="G7" s="252"/>
      <c r="H7" s="387"/>
      <c r="I7" s="387"/>
      <c r="J7" s="387"/>
      <c r="K7" s="387"/>
      <c r="L7" s="329"/>
      <c r="M7" s="329"/>
      <c r="N7" s="329"/>
      <c r="O7" s="329"/>
      <c r="P7" s="329"/>
    </row>
    <row r="8" spans="1:18" ht="12.75" x14ac:dyDescent="0.2">
      <c r="A8" s="329"/>
      <c r="B8" s="329"/>
      <c r="C8" s="389" t="s">
        <v>1187</v>
      </c>
      <c r="D8" s="392">
        <f>COVER!A13</f>
        <v>45079001022</v>
      </c>
      <c r="E8" s="393"/>
      <c r="G8" s="329"/>
      <c r="H8" s="329"/>
      <c r="I8" s="329"/>
      <c r="J8" s="329"/>
      <c r="K8" s="329"/>
      <c r="L8" s="329"/>
      <c r="M8" s="329"/>
      <c r="N8" s="329"/>
      <c r="O8" s="329"/>
      <c r="P8" s="329"/>
    </row>
    <row r="9" spans="1:18" ht="12.75" x14ac:dyDescent="0.2">
      <c r="A9" s="329"/>
      <c r="B9" s="329"/>
      <c r="C9" s="389" t="s">
        <v>737</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1191655</v>
      </c>
      <c r="I12" s="404"/>
      <c r="J12" s="404"/>
      <c r="K12" s="405">
        <f>TRUNC((H12/H13*100000),5)/100000</f>
        <v>0.55991194799999999</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2128290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1961117</v>
      </c>
      <c r="I17" s="404"/>
      <c r="J17" s="416"/>
      <c r="K17" s="405">
        <f>TRUNC((H17/H18*100000),5)/100000</f>
        <v>0.92145196370000004</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2128290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1191519</v>
      </c>
      <c r="I24" s="422"/>
      <c r="J24" s="422"/>
      <c r="K24" s="423">
        <f>TRUNC(((H24/H25*100000)/100000),2)</f>
        <v>218.72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5447.5472200000004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479226.98281000002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1176000</v>
      </c>
      <c r="I32" s="420"/>
      <c r="J32" s="420"/>
      <c r="K32" s="423">
        <f>TRUNC(100-((((H32/H33*100))*100)/100),2)</f>
        <v>52.97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2500929.2880000002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4" activePane="bottomLeft" state="frozen"/>
      <selection activeCell="A8" sqref="A8"/>
      <selection pane="bottomLeft" activeCell="A8" sqref="A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1"/>
      <c r="D3" s="1582"/>
      <c r="E3" s="1582"/>
      <c r="F3" s="1582"/>
      <c r="G3" s="1582"/>
      <c r="H3" s="1582"/>
      <c r="I3" s="1582"/>
      <c r="J3" s="1582"/>
      <c r="K3" s="1582"/>
      <c r="L3" s="1582"/>
      <c r="M3" s="1583"/>
      <c r="N3" s="1584"/>
    </row>
    <row r="4" spans="1:14" ht="13.5" customHeight="1" x14ac:dyDescent="0.2">
      <c r="A4" s="463" t="s">
        <v>1750</v>
      </c>
      <c r="B4" s="464"/>
      <c r="C4" s="465">
        <v>356225</v>
      </c>
      <c r="D4" s="466">
        <v>86570</v>
      </c>
      <c r="E4" s="466">
        <v>55591</v>
      </c>
      <c r="F4" s="466">
        <v>82092</v>
      </c>
      <c r="G4" s="466">
        <v>19015</v>
      </c>
      <c r="H4" s="466">
        <v>1053725</v>
      </c>
      <c r="I4" s="466">
        <v>139539</v>
      </c>
      <c r="J4" s="467">
        <v>58208</v>
      </c>
      <c r="K4" s="466">
        <v>29366</v>
      </c>
      <c r="L4" s="466">
        <v>73352</v>
      </c>
      <c r="M4" s="468"/>
      <c r="N4" s="469"/>
    </row>
    <row r="5" spans="1:14" x14ac:dyDescent="0.2">
      <c r="A5" s="463" t="s">
        <v>1049</v>
      </c>
      <c r="B5" s="470">
        <v>120</v>
      </c>
      <c r="C5" s="465">
        <v>353626</v>
      </c>
      <c r="D5" s="466"/>
      <c r="E5" s="466"/>
      <c r="F5" s="466"/>
      <c r="G5" s="466"/>
      <c r="H5" s="466"/>
      <c r="I5" s="466">
        <v>173467</v>
      </c>
      <c r="J5" s="467"/>
      <c r="K5" s="471"/>
      <c r="L5" s="472">
        <v>12216</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136</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709987</v>
      </c>
      <c r="D13" s="1759">
        <f t="shared" ref="D13:L13" si="0">SUM(D4:D12)</f>
        <v>86570</v>
      </c>
      <c r="E13" s="1759">
        <f t="shared" si="0"/>
        <v>55591</v>
      </c>
      <c r="F13" s="1759">
        <f t="shared" si="0"/>
        <v>82092</v>
      </c>
      <c r="G13" s="1759">
        <f t="shared" si="0"/>
        <v>19015</v>
      </c>
      <c r="H13" s="1759">
        <f t="shared" si="0"/>
        <v>1053725</v>
      </c>
      <c r="I13" s="1759">
        <f t="shared" si="0"/>
        <v>313006</v>
      </c>
      <c r="J13" s="1759">
        <f t="shared" si="0"/>
        <v>58208</v>
      </c>
      <c r="K13" s="1759">
        <f t="shared" si="0"/>
        <v>29366</v>
      </c>
      <c r="L13" s="1759">
        <f t="shared" si="0"/>
        <v>85568</v>
      </c>
      <c r="M13" s="468"/>
      <c r="N13" s="469"/>
    </row>
    <row r="14" spans="1:14" ht="18" customHeight="1" thickTop="1" x14ac:dyDescent="0.2">
      <c r="A14" s="2139" t="s">
        <v>149</v>
      </c>
      <c r="B14" s="214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36297</v>
      </c>
      <c r="N16" s="484"/>
    </row>
    <row r="17" spans="1:14" s="485" customFormat="1" ht="12.75" customHeight="1" x14ac:dyDescent="0.2">
      <c r="A17" s="482" t="s">
        <v>1470</v>
      </c>
      <c r="B17" s="483">
        <v>230</v>
      </c>
      <c r="C17" s="477"/>
      <c r="D17" s="477"/>
      <c r="E17" s="477"/>
      <c r="F17" s="477"/>
      <c r="G17" s="477"/>
      <c r="H17" s="477"/>
      <c r="I17" s="477"/>
      <c r="J17" s="477"/>
      <c r="K17" s="477"/>
      <c r="L17" s="477"/>
      <c r="M17" s="467">
        <v>1860400</v>
      </c>
      <c r="N17" s="484"/>
    </row>
    <row r="18" spans="1:14" s="485" customFormat="1" ht="12.75" customHeight="1" x14ac:dyDescent="0.2">
      <c r="A18" s="482" t="s">
        <v>1471</v>
      </c>
      <c r="B18" s="483">
        <v>240</v>
      </c>
      <c r="C18" s="477"/>
      <c r="D18" s="477"/>
      <c r="E18" s="477"/>
      <c r="F18" s="477"/>
      <c r="G18" s="477"/>
      <c r="H18" s="477"/>
      <c r="I18" s="477"/>
      <c r="J18" s="477"/>
      <c r="K18" s="477"/>
      <c r="L18" s="477"/>
      <c r="M18" s="467">
        <v>87286</v>
      </c>
      <c r="N18" s="484"/>
    </row>
    <row r="19" spans="1:14" s="485" customFormat="1" ht="12.75" customHeight="1" x14ac:dyDescent="0.2">
      <c r="A19" s="482" t="s">
        <v>1472</v>
      </c>
      <c r="B19" s="483">
        <v>250</v>
      </c>
      <c r="C19" s="477"/>
      <c r="D19" s="477"/>
      <c r="E19" s="477"/>
      <c r="F19" s="477"/>
      <c r="G19" s="477"/>
      <c r="H19" s="477"/>
      <c r="I19" s="477"/>
      <c r="J19" s="477"/>
      <c r="K19" s="477"/>
      <c r="L19" s="477"/>
      <c r="M19" s="467">
        <v>869565</v>
      </c>
      <c r="N19" s="484"/>
    </row>
    <row r="20" spans="1:14" s="485" customFormat="1" ht="12.75" customHeight="1" x14ac:dyDescent="0.2">
      <c r="A20" s="482" t="s">
        <v>1473</v>
      </c>
      <c r="B20" s="483">
        <v>260</v>
      </c>
      <c r="C20" s="477"/>
      <c r="D20" s="477"/>
      <c r="E20" s="477"/>
      <c r="F20" s="477"/>
      <c r="G20" s="477"/>
      <c r="H20" s="477"/>
      <c r="I20" s="477"/>
      <c r="J20" s="477"/>
      <c r="K20" s="477"/>
      <c r="L20" s="477"/>
      <c r="M20" s="467">
        <v>112718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55591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1120409</v>
      </c>
    </row>
    <row r="23" spans="1:14" ht="13.5" customHeight="1" thickBot="1" x14ac:dyDescent="0.25">
      <c r="A23" s="1758" t="s">
        <v>664</v>
      </c>
      <c r="B23" s="1763"/>
      <c r="C23" s="468"/>
      <c r="D23" s="468"/>
      <c r="E23" s="468"/>
      <c r="F23" s="468"/>
      <c r="G23" s="468"/>
      <c r="H23" s="468"/>
      <c r="I23" s="468"/>
      <c r="J23" s="468"/>
      <c r="K23" s="468"/>
      <c r="L23" s="468"/>
      <c r="M23" s="1710">
        <f>SUM(M15:M22)</f>
        <v>2966266</v>
      </c>
      <c r="N23" s="1710">
        <f>SUM(N21:N22)</f>
        <v>1176000</v>
      </c>
    </row>
    <row r="24" spans="1:14" ht="18" customHeight="1" thickTop="1" x14ac:dyDescent="0.2">
      <c r="A24" s="2141" t="s">
        <v>619</v>
      </c>
      <c r="B24" s="214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85568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85568</v>
      </c>
      <c r="M34" s="468"/>
      <c r="N34" s="480"/>
    </row>
    <row r="35" spans="1:14" ht="18" customHeight="1" thickTop="1" x14ac:dyDescent="0.2">
      <c r="A35" s="2143" t="s">
        <v>550</v>
      </c>
      <c r="B35" s="214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1176000</v>
      </c>
    </row>
    <row r="37" spans="1:14" ht="13.5" thickBot="1" x14ac:dyDescent="0.25">
      <c r="A37" s="1758" t="s">
        <v>674</v>
      </c>
      <c r="B37" s="1763"/>
      <c r="C37" s="477"/>
      <c r="D37" s="477"/>
      <c r="E37" s="477"/>
      <c r="F37" s="477"/>
      <c r="G37" s="477"/>
      <c r="H37" s="477"/>
      <c r="I37" s="477"/>
      <c r="J37" s="477"/>
      <c r="K37" s="477"/>
      <c r="L37" s="480"/>
      <c r="M37" s="468"/>
      <c r="N37" s="1710">
        <f>SUM(N36:N36)</f>
        <v>1176000</v>
      </c>
    </row>
    <row r="38" spans="1:14" s="329" customFormat="1" ht="13.5" customHeight="1" thickTop="1" x14ac:dyDescent="0.2">
      <c r="A38" s="496" t="s">
        <v>440</v>
      </c>
      <c r="B38" s="483">
        <v>714</v>
      </c>
      <c r="C38" s="466">
        <v>365880</v>
      </c>
      <c r="D38" s="466"/>
      <c r="E38" s="466">
        <v>32406</v>
      </c>
      <c r="F38" s="466"/>
      <c r="G38" s="466"/>
      <c r="H38" s="466">
        <v>1053725</v>
      </c>
      <c r="I38" s="466"/>
      <c r="J38" s="467"/>
      <c r="K38" s="466"/>
      <c r="L38" s="481"/>
      <c r="M38" s="497"/>
      <c r="N38" s="497"/>
    </row>
    <row r="39" spans="1:14" s="329" customFormat="1" ht="13.5" customHeight="1" x14ac:dyDescent="0.2">
      <c r="A39" s="496" t="s">
        <v>360</v>
      </c>
      <c r="B39" s="483">
        <v>730</v>
      </c>
      <c r="C39" s="466">
        <v>344107</v>
      </c>
      <c r="D39" s="466">
        <f>73873+12697</f>
        <v>86570</v>
      </c>
      <c r="E39" s="466">
        <v>23185</v>
      </c>
      <c r="F39" s="466">
        <f>56935+25157</f>
        <v>82092</v>
      </c>
      <c r="G39" s="466">
        <f>21638-2623</f>
        <v>19015</v>
      </c>
      <c r="H39" s="466"/>
      <c r="I39" s="466">
        <f>304090+8916</f>
        <v>313006</v>
      </c>
      <c r="J39" s="467">
        <f>15584+42624</f>
        <v>58208</v>
      </c>
      <c r="K39" s="466">
        <f>21647+7719</f>
        <v>29366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2966266</v>
      </c>
      <c r="N40" s="497"/>
    </row>
    <row r="41" spans="1:14" ht="13.5" customHeight="1" thickBot="1" x14ac:dyDescent="0.25">
      <c r="A41" s="1758" t="s">
        <v>676</v>
      </c>
      <c r="B41" s="1728"/>
      <c r="C41" s="1710">
        <f>(SUM(C34,C37,C38,C39))</f>
        <v>709987</v>
      </c>
      <c r="D41" s="1710">
        <f t="shared" ref="D41:L41" si="2">SUM(D34,D37,D38:D39)</f>
        <v>86570</v>
      </c>
      <c r="E41" s="1710">
        <f t="shared" si="2"/>
        <v>55591</v>
      </c>
      <c r="F41" s="1710">
        <f t="shared" si="2"/>
        <v>82092</v>
      </c>
      <c r="G41" s="1710">
        <f t="shared" si="2"/>
        <v>19015</v>
      </c>
      <c r="H41" s="1710">
        <f t="shared" si="2"/>
        <v>1053725</v>
      </c>
      <c r="I41" s="1710">
        <f t="shared" si="2"/>
        <v>313006</v>
      </c>
      <c r="J41" s="1710">
        <f t="shared" si="2"/>
        <v>58208</v>
      </c>
      <c r="K41" s="1710">
        <f t="shared" si="2"/>
        <v>29366</v>
      </c>
      <c r="L41" s="1710">
        <f t="shared" si="2"/>
        <v>85568</v>
      </c>
      <c r="M41" s="1710">
        <f>SUM(M40)</f>
        <v>2966266</v>
      </c>
      <c r="N41" s="1710">
        <f>SUM(N37)</f>
        <v>1176000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1" activePane="bottomLeft" state="frozenSplit"/>
      <selection activeCell="A8" sqref="A8"/>
      <selection pane="bottomLeft" activeCell="A8" sqref="A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5"/>
      <c r="D3" s="1596"/>
      <c r="E3" s="1596"/>
      <c r="F3" s="1596"/>
      <c r="G3" s="1596"/>
      <c r="H3" s="1596"/>
      <c r="I3" s="1596"/>
      <c r="J3" s="1596"/>
      <c r="K3" s="1597"/>
      <c r="L3" s="506"/>
    </row>
    <row r="4" spans="1:13" ht="15.75" customHeight="1" x14ac:dyDescent="0.2">
      <c r="A4" s="1954" t="s">
        <v>1579</v>
      </c>
      <c r="B4" s="1955">
        <v>1000</v>
      </c>
      <c r="C4" s="1764">
        <f>'Revenues 9-14'!C109</f>
        <v>510741</v>
      </c>
      <c r="D4" s="1764">
        <f>'Revenues 9-14'!D109</f>
        <v>76985</v>
      </c>
      <c r="E4" s="1764">
        <f>'Revenues 9-14'!E109</f>
        <v>77764</v>
      </c>
      <c r="F4" s="1764">
        <f>'Revenues 9-14'!F109</f>
        <v>30833</v>
      </c>
      <c r="G4" s="1764">
        <f>'Revenues 9-14'!G109</f>
        <v>59256</v>
      </c>
      <c r="H4" s="1764">
        <f>'Revenues 9-14'!H109</f>
        <v>101093</v>
      </c>
      <c r="I4" s="1764">
        <f>'Revenues 9-14'!I109</f>
        <v>8916</v>
      </c>
      <c r="J4" s="1764">
        <f>'Revenues 9-14'!J109</f>
        <v>95032</v>
      </c>
      <c r="K4" s="1764">
        <f>'Revenues 9-14'!K109</f>
        <v>7719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1218789</v>
      </c>
      <c r="D6" s="1765">
        <f>'Revenues 9-14'!D173</f>
        <v>0</v>
      </c>
      <c r="E6" s="1765">
        <f>'Revenues 9-14'!E173</f>
        <v>0</v>
      </c>
      <c r="F6" s="1765">
        <f>'Revenues 9-14'!F173</f>
        <v>62067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219959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1949489</v>
      </c>
      <c r="D8" s="1710">
        <f t="shared" ref="D8:K8" si="0">SUM(D4:D7)</f>
        <v>76985</v>
      </c>
      <c r="E8" s="1710">
        <f t="shared" si="0"/>
        <v>77764</v>
      </c>
      <c r="F8" s="1710">
        <f t="shared" si="0"/>
        <v>92900</v>
      </c>
      <c r="G8" s="1710">
        <f t="shared" si="0"/>
        <v>59256</v>
      </c>
      <c r="H8" s="1710">
        <f t="shared" si="0"/>
        <v>101093</v>
      </c>
      <c r="I8" s="1710">
        <f t="shared" si="0"/>
        <v>8916</v>
      </c>
      <c r="J8" s="1710">
        <f t="shared" si="0"/>
        <v>95032</v>
      </c>
      <c r="K8" s="1710">
        <f t="shared" si="0"/>
        <v>7719</v>
      </c>
      <c r="L8" s="347"/>
    </row>
    <row r="9" spans="1:13" ht="15.75" thickTop="1" x14ac:dyDescent="0.2">
      <c r="A9" s="514" t="s">
        <v>1752</v>
      </c>
      <c r="B9" s="515">
        <v>3998</v>
      </c>
      <c r="C9" s="481">
        <v>876744</v>
      </c>
      <c r="D9" s="516"/>
      <c r="E9" s="481"/>
      <c r="F9" s="481"/>
      <c r="G9" s="517"/>
      <c r="H9" s="481"/>
      <c r="I9" s="509" t="s">
        <v>1231</v>
      </c>
      <c r="J9" s="478"/>
      <c r="K9" s="481"/>
      <c r="L9" s="347"/>
    </row>
    <row r="10" spans="1:13" s="519" customFormat="1" ht="13.5" thickBot="1" x14ac:dyDescent="0.25">
      <c r="A10" s="1758" t="s">
        <v>1235</v>
      </c>
      <c r="B10" s="1731"/>
      <c r="C10" s="1710">
        <f>SUM(C8:C9)</f>
        <v>2826233</v>
      </c>
      <c r="D10" s="1710">
        <f t="shared" ref="D10:K10" si="1">SUM(D8:D9)</f>
        <v>76985</v>
      </c>
      <c r="E10" s="1710">
        <f t="shared" si="1"/>
        <v>77764</v>
      </c>
      <c r="F10" s="1710">
        <f t="shared" si="1"/>
        <v>92900</v>
      </c>
      <c r="G10" s="1710">
        <f t="shared" si="1"/>
        <v>59256</v>
      </c>
      <c r="H10" s="1710">
        <f t="shared" si="1"/>
        <v>101093</v>
      </c>
      <c r="I10" s="1710">
        <f t="shared" si="1"/>
        <v>8916</v>
      </c>
      <c r="J10" s="1710">
        <f t="shared" si="1"/>
        <v>95032</v>
      </c>
      <c r="K10" s="1710">
        <f t="shared" si="1"/>
        <v>7719</v>
      </c>
      <c r="L10" s="518"/>
    </row>
    <row r="11" spans="1:13" s="519" customFormat="1" ht="16.7" customHeight="1" thickTop="1" x14ac:dyDescent="0.2">
      <c r="A11" s="2139" t="s">
        <v>1238</v>
      </c>
      <c r="B11" s="2140"/>
      <c r="C11" s="1592"/>
      <c r="D11" s="1593"/>
      <c r="E11" s="1593"/>
      <c r="F11" s="1593"/>
      <c r="G11" s="1593"/>
      <c r="H11" s="1593"/>
      <c r="I11" s="1593"/>
      <c r="J11" s="1593"/>
      <c r="K11" s="1594"/>
      <c r="L11" s="518"/>
    </row>
    <row r="12" spans="1:13" ht="15.75" customHeight="1" x14ac:dyDescent="0.2">
      <c r="A12" s="1598" t="s">
        <v>476</v>
      </c>
      <c r="B12" s="1600">
        <v>1000</v>
      </c>
      <c r="C12" s="1764">
        <f>'Expenditures 15-22'!K33</f>
        <v>1285138</v>
      </c>
      <c r="D12" s="520" t="s">
        <v>1231</v>
      </c>
      <c r="E12" s="468" t="s">
        <v>1231</v>
      </c>
      <c r="F12" s="468" t="s">
        <v>1231</v>
      </c>
      <c r="G12" s="1764">
        <f>'Expenditures 15-22'!K229</f>
        <v>24578</v>
      </c>
      <c r="H12" s="521"/>
      <c r="I12" s="468" t="s">
        <v>1231</v>
      </c>
      <c r="J12" s="468" t="s">
        <v>1231</v>
      </c>
      <c r="K12" s="521" t="s">
        <v>1231</v>
      </c>
      <c r="L12" s="347"/>
    </row>
    <row r="13" spans="1:13" ht="15.75" customHeight="1" x14ac:dyDescent="0.2">
      <c r="A13" s="1598" t="s">
        <v>477</v>
      </c>
      <c r="B13" s="1600">
        <v>2000</v>
      </c>
      <c r="C13" s="1765">
        <f>'Expenditures 15-22'!K74</f>
        <v>459225</v>
      </c>
      <c r="D13" s="1765">
        <f>'Expenditures 15-22'!K129</f>
        <v>64288</v>
      </c>
      <c r="E13" s="469" t="s">
        <v>1231</v>
      </c>
      <c r="F13" s="1765">
        <f>'Expenditures 15-22'!K184</f>
        <v>67743</v>
      </c>
      <c r="G13" s="1765">
        <f>'Expenditures 15-22'!K279</f>
        <v>37301</v>
      </c>
      <c r="H13" s="1765">
        <f>'Expenditures 15-22'!K303</f>
        <v>153741</v>
      </c>
      <c r="I13" s="468" t="s">
        <v>1231</v>
      </c>
      <c r="J13" s="1765">
        <f>'Expenditures 15-22'!K330</f>
        <v>52408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84723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44500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1829086</v>
      </c>
      <c r="D17" s="1710">
        <f t="shared" si="2"/>
        <v>64288</v>
      </c>
      <c r="E17" s="1710">
        <f t="shared" si="2"/>
        <v>44500</v>
      </c>
      <c r="F17" s="1710">
        <f t="shared" si="2"/>
        <v>67743</v>
      </c>
      <c r="G17" s="1710">
        <f t="shared" si="2"/>
        <v>61879</v>
      </c>
      <c r="H17" s="1710">
        <f t="shared" si="2"/>
        <v>153741</v>
      </c>
      <c r="I17" s="468"/>
      <c r="J17" s="1710">
        <f>SUM(J12:J16)</f>
        <v>52408</v>
      </c>
      <c r="K17" s="1710">
        <f>SUM(K12:K16)</f>
        <v>0</v>
      </c>
      <c r="L17" s="347"/>
    </row>
    <row r="18" spans="1:12" ht="15" customHeight="1" thickTop="1" x14ac:dyDescent="0.2">
      <c r="A18" s="1766" t="s">
        <v>1753</v>
      </c>
      <c r="B18" s="1767">
        <v>4180</v>
      </c>
      <c r="C18" s="1764">
        <f t="shared" ref="C18:H18" si="3">C9</f>
        <v>876744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2705830</v>
      </c>
      <c r="D19" s="1710">
        <f t="shared" si="4"/>
        <v>64288</v>
      </c>
      <c r="E19" s="1710">
        <f t="shared" si="4"/>
        <v>44500</v>
      </c>
      <c r="F19" s="1710">
        <f t="shared" si="4"/>
        <v>67743</v>
      </c>
      <c r="G19" s="1710">
        <f t="shared" si="4"/>
        <v>61879</v>
      </c>
      <c r="H19" s="1710">
        <f t="shared" si="4"/>
        <v>153741</v>
      </c>
      <c r="I19" s="468"/>
      <c r="J19" s="1710">
        <f>SUM(J17:J18)</f>
        <v>52408</v>
      </c>
      <c r="K19" s="1710">
        <f>SUM(K17:K18)</f>
        <v>0</v>
      </c>
      <c r="L19" s="347"/>
    </row>
    <row r="20" spans="1:12" ht="16.5" thickTop="1" thickBot="1" x14ac:dyDescent="0.25">
      <c r="A20" s="2155" t="s">
        <v>1754</v>
      </c>
      <c r="B20" s="2156"/>
      <c r="C20" s="1768">
        <f>C8-C17</f>
        <v>120403</v>
      </c>
      <c r="D20" s="1768">
        <f t="shared" ref="D20:K20" si="5">D8-D17</f>
        <v>12697</v>
      </c>
      <c r="E20" s="1768">
        <f t="shared" si="5"/>
        <v>33264</v>
      </c>
      <c r="F20" s="1768">
        <f t="shared" si="5"/>
        <v>25157</v>
      </c>
      <c r="G20" s="1768">
        <f t="shared" si="5"/>
        <v>-2623</v>
      </c>
      <c r="H20" s="1768">
        <f t="shared" si="5"/>
        <v>-52648</v>
      </c>
      <c r="I20" s="1768">
        <f t="shared" si="5"/>
        <v>8916</v>
      </c>
      <c r="J20" s="1768">
        <f t="shared" si="5"/>
        <v>42624</v>
      </c>
      <c r="K20" s="1768">
        <f t="shared" si="5"/>
        <v>7719</v>
      </c>
      <c r="L20" s="347"/>
    </row>
    <row r="21" spans="1:12" ht="16.7" customHeight="1" thickTop="1" x14ac:dyDescent="0.2">
      <c r="A21" s="2167" t="s">
        <v>616</v>
      </c>
      <c r="B21" s="2168"/>
      <c r="C21" s="1592"/>
      <c r="D21" s="1593"/>
      <c r="E21" s="1593"/>
      <c r="F21" s="1593"/>
      <c r="G21" s="1593"/>
      <c r="H21" s="1593"/>
      <c r="I21" s="1593"/>
      <c r="J21" s="1593"/>
      <c r="K21" s="1594"/>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1000000</v>
      </c>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9" t="s">
        <v>392</v>
      </c>
      <c r="B44" s="2170"/>
      <c r="C44" s="1725">
        <f>SUM(C24:C43)</f>
        <v>0</v>
      </c>
      <c r="D44" s="1725">
        <f t="shared" ref="D44:K44" si="6">SUM(D24:D43)</f>
        <v>0</v>
      </c>
      <c r="E44" s="1725">
        <f t="shared" si="6"/>
        <v>0</v>
      </c>
      <c r="F44" s="1725">
        <f t="shared" si="6"/>
        <v>0</v>
      </c>
      <c r="G44" s="1725">
        <f t="shared" si="6"/>
        <v>0</v>
      </c>
      <c r="H44" s="1725">
        <f t="shared" si="6"/>
        <v>1000000</v>
      </c>
      <c r="I44" s="1725">
        <f t="shared" si="6"/>
        <v>0</v>
      </c>
      <c r="J44" s="1725">
        <f t="shared" si="6"/>
        <v>0</v>
      </c>
      <c r="K44" s="1725">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7" t="s">
        <v>1239</v>
      </c>
      <c r="B77" s="2148"/>
      <c r="C77" s="1725">
        <f t="shared" ref="C77:K77" si="8">C44-C76</f>
        <v>0</v>
      </c>
      <c r="D77" s="1725">
        <f t="shared" si="8"/>
        <v>0</v>
      </c>
      <c r="E77" s="1725">
        <f t="shared" si="8"/>
        <v>0</v>
      </c>
      <c r="F77" s="1725">
        <f t="shared" si="8"/>
        <v>0</v>
      </c>
      <c r="G77" s="1725">
        <f t="shared" si="8"/>
        <v>0</v>
      </c>
      <c r="H77" s="1725">
        <f t="shared" si="8"/>
        <v>1000000</v>
      </c>
      <c r="I77" s="1725">
        <f t="shared" si="8"/>
        <v>0</v>
      </c>
      <c r="J77" s="1725">
        <f t="shared" si="8"/>
        <v>0</v>
      </c>
      <c r="K77" s="1725">
        <f t="shared" si="8"/>
        <v>0</v>
      </c>
      <c r="L77" s="347"/>
    </row>
    <row r="78" spans="1:12" ht="21.75" customHeight="1" thickTop="1" thickBot="1" x14ac:dyDescent="0.25">
      <c r="A78" s="2151" t="s">
        <v>618</v>
      </c>
      <c r="B78" s="2152"/>
      <c r="C78" s="1724">
        <f t="shared" ref="C78:K78" si="9">C20+C77</f>
        <v>120403</v>
      </c>
      <c r="D78" s="1724">
        <f t="shared" si="9"/>
        <v>12697</v>
      </c>
      <c r="E78" s="1724">
        <f t="shared" si="9"/>
        <v>33264</v>
      </c>
      <c r="F78" s="1724">
        <f t="shared" si="9"/>
        <v>25157</v>
      </c>
      <c r="G78" s="1724">
        <f t="shared" si="9"/>
        <v>-2623</v>
      </c>
      <c r="H78" s="1724">
        <f t="shared" si="9"/>
        <v>947352</v>
      </c>
      <c r="I78" s="1724">
        <f t="shared" si="9"/>
        <v>8916</v>
      </c>
      <c r="J78" s="1724">
        <f t="shared" si="9"/>
        <v>42624</v>
      </c>
      <c r="K78" s="1724">
        <f t="shared" si="9"/>
        <v>7719</v>
      </c>
      <c r="L78" s="533"/>
    </row>
    <row r="79" spans="1:12" ht="13.5" thickTop="1" x14ac:dyDescent="0.2">
      <c r="A79" s="1516" t="s">
        <v>2073</v>
      </c>
      <c r="B79" s="534"/>
      <c r="C79" s="478">
        <v>589584</v>
      </c>
      <c r="D79" s="535">
        <v>73873</v>
      </c>
      <c r="E79" s="535">
        <v>22327</v>
      </c>
      <c r="F79" s="535">
        <v>56935</v>
      </c>
      <c r="G79" s="535">
        <v>21638</v>
      </c>
      <c r="H79" s="535">
        <v>106373</v>
      </c>
      <c r="I79" s="535">
        <v>304090</v>
      </c>
      <c r="J79" s="535">
        <v>15584</v>
      </c>
      <c r="K79" s="535">
        <v>21647</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10">
        <f>(SUM(C78:C80))</f>
        <v>709987</v>
      </c>
      <c r="D81" s="1710">
        <f>SUM(D78:D80)</f>
        <v>86570</v>
      </c>
      <c r="E81" s="1710">
        <f t="shared" ref="E81:K81" si="10">SUM(E78:E80)</f>
        <v>55591</v>
      </c>
      <c r="F81" s="1710">
        <f t="shared" si="10"/>
        <v>82092</v>
      </c>
      <c r="G81" s="1710">
        <f t="shared" si="10"/>
        <v>19015</v>
      </c>
      <c r="H81" s="1710">
        <f t="shared" si="10"/>
        <v>1053725</v>
      </c>
      <c r="I81" s="1710">
        <f t="shared" si="10"/>
        <v>313006</v>
      </c>
      <c r="J81" s="1710">
        <f t="shared" si="10"/>
        <v>58208</v>
      </c>
      <c r="K81" s="1710">
        <f t="shared" si="10"/>
        <v>29366</v>
      </c>
      <c r="L81" s="347"/>
    </row>
    <row r="82" spans="1:12" ht="0.75" customHeight="1" thickTop="1" thickBot="1" x14ac:dyDescent="0.25">
      <c r="A82" s="536" t="s">
        <v>361</v>
      </c>
      <c r="B82" s="537"/>
      <c r="C82" s="538">
        <f>(C81-C79)</f>
        <v>120403</v>
      </c>
      <c r="D82" s="538">
        <f t="shared" ref="D82:K82" si="11">(D81-D79)</f>
        <v>12697</v>
      </c>
      <c r="E82" s="538">
        <f t="shared" si="11"/>
        <v>33264</v>
      </c>
      <c r="F82" s="538">
        <f t="shared" si="11"/>
        <v>25157</v>
      </c>
      <c r="G82" s="538">
        <f t="shared" si="11"/>
        <v>-2623</v>
      </c>
      <c r="H82" s="538">
        <f t="shared" si="11"/>
        <v>947352</v>
      </c>
      <c r="I82" s="538">
        <f t="shared" si="11"/>
        <v>8916</v>
      </c>
      <c r="J82" s="538">
        <f t="shared" si="11"/>
        <v>42624</v>
      </c>
      <c r="K82" s="538">
        <f t="shared" si="11"/>
        <v>7719</v>
      </c>
    </row>
    <row r="83" spans="1:12" ht="14.25" hidden="1" thickTop="1" thickBot="1" x14ac:dyDescent="0.25">
      <c r="A83" s="539" t="s">
        <v>362</v>
      </c>
      <c r="B83" s="464"/>
      <c r="C83" s="540">
        <f>C82/C81</f>
        <v>0.16958479521456027</v>
      </c>
      <c r="D83" s="540">
        <f t="shared" ref="D83:K83" si="12">D82/D81</f>
        <v>0.14666743675638211</v>
      </c>
      <c r="E83" s="540">
        <f t="shared" si="12"/>
        <v>0.59837023978701587</v>
      </c>
      <c r="F83" s="540">
        <f t="shared" si="12"/>
        <v>0.30644886225210738</v>
      </c>
      <c r="G83" s="540">
        <f t="shared" si="12"/>
        <v>-0.13794372863528792</v>
      </c>
      <c r="H83" s="540">
        <f t="shared" si="12"/>
        <v>0.89905051128140645</v>
      </c>
      <c r="I83" s="540">
        <f t="shared" si="12"/>
        <v>2.8485076963380894E-2</v>
      </c>
      <c r="J83" s="540">
        <f t="shared" si="12"/>
        <v>0.73227047828477188</v>
      </c>
      <c r="K83" s="540">
        <f t="shared" si="12"/>
        <v>0.26285500238370907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41" activePane="bottomLeft" state="frozen"/>
      <selection activeCell="A8" sqref="A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433002</v>
      </c>
      <c r="D5" s="481">
        <v>76234</v>
      </c>
      <c r="E5" s="466">
        <v>44948</v>
      </c>
      <c r="F5" s="548">
        <v>30494</v>
      </c>
      <c r="G5" s="466">
        <v>30666</v>
      </c>
      <c r="H5" s="466"/>
      <c r="I5" s="466">
        <v>7625</v>
      </c>
      <c r="J5" s="467">
        <v>92541</v>
      </c>
      <c r="K5" s="466">
        <v>7625</v>
      </c>
    </row>
    <row r="6" spans="1:12" ht="15" x14ac:dyDescent="0.2">
      <c r="A6" s="463" t="s">
        <v>1761</v>
      </c>
      <c r="B6" s="470">
        <v>1130</v>
      </c>
      <c r="C6" s="466"/>
      <c r="D6" s="466"/>
      <c r="E6" s="475"/>
      <c r="F6" s="475"/>
      <c r="G6" s="468"/>
      <c r="H6" s="468"/>
      <c r="I6" s="468"/>
      <c r="J6" s="468"/>
      <c r="K6" s="468"/>
    </row>
    <row r="7" spans="1:12" x14ac:dyDescent="0.2">
      <c r="A7" s="463" t="s">
        <v>112</v>
      </c>
      <c r="B7" s="549">
        <v>1140</v>
      </c>
      <c r="C7" s="466">
        <v>6101</v>
      </c>
      <c r="D7" s="466"/>
      <c r="E7" s="468"/>
      <c r="F7" s="467"/>
      <c r="G7" s="467"/>
      <c r="H7" s="467"/>
      <c r="I7" s="468"/>
      <c r="J7" s="468"/>
      <c r="K7" s="468"/>
    </row>
    <row r="8" spans="1:12" x14ac:dyDescent="0.2">
      <c r="A8" s="463" t="s">
        <v>433</v>
      </c>
      <c r="B8" s="470">
        <v>1150</v>
      </c>
      <c r="C8" s="475"/>
      <c r="D8" s="475"/>
      <c r="E8" s="477"/>
      <c r="F8" s="477"/>
      <c r="G8" s="481">
        <v>28058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439103</v>
      </c>
      <c r="D12" s="1729">
        <f t="shared" si="0"/>
        <v>76234</v>
      </c>
      <c r="E12" s="1729">
        <f t="shared" si="0"/>
        <v>44948</v>
      </c>
      <c r="F12" s="1729">
        <f t="shared" si="0"/>
        <v>30494</v>
      </c>
      <c r="G12" s="1729">
        <f t="shared" si="0"/>
        <v>58724</v>
      </c>
      <c r="H12" s="1729">
        <f t="shared" si="0"/>
        <v>0</v>
      </c>
      <c r="I12" s="1729">
        <f t="shared" si="0"/>
        <v>7625</v>
      </c>
      <c r="J12" s="1729">
        <f t="shared" si="0"/>
        <v>92541</v>
      </c>
      <c r="K12" s="1710">
        <f t="shared" si="0"/>
        <v>7625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3613</v>
      </c>
      <c r="D14" s="466">
        <v>627</v>
      </c>
      <c r="E14" s="466">
        <v>369</v>
      </c>
      <c r="F14" s="466">
        <v>251</v>
      </c>
      <c r="G14" s="466">
        <v>483</v>
      </c>
      <c r="H14" s="466"/>
      <c r="I14" s="466">
        <v>62</v>
      </c>
      <c r="J14" s="467">
        <v>761</v>
      </c>
      <c r="K14" s="466">
        <v>63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22363</v>
      </c>
      <c r="D16" s="466"/>
      <c r="E16" s="466"/>
      <c r="F16" s="466"/>
      <c r="G16" s="466"/>
      <c r="H16" s="466"/>
      <c r="I16" s="466"/>
      <c r="J16" s="467"/>
      <c r="K16" s="466"/>
    </row>
    <row r="17" spans="1:11" ht="12.75" customHeight="1" x14ac:dyDescent="0.2">
      <c r="A17" s="463" t="s">
        <v>840</v>
      </c>
      <c r="B17" s="470">
        <v>1290</v>
      </c>
      <c r="C17" s="551">
        <v>47</v>
      </c>
      <c r="D17" s="466">
        <v>8</v>
      </c>
      <c r="E17" s="466">
        <v>5</v>
      </c>
      <c r="F17" s="466">
        <v>3</v>
      </c>
      <c r="G17" s="466">
        <v>6</v>
      </c>
      <c r="H17" s="466"/>
      <c r="I17" s="466">
        <v>1</v>
      </c>
      <c r="J17" s="467">
        <v>10</v>
      </c>
      <c r="K17" s="466">
        <v>1</v>
      </c>
    </row>
    <row r="18" spans="1:11" ht="12.75" customHeight="1" thickBot="1" x14ac:dyDescent="0.25">
      <c r="A18" s="1730" t="s">
        <v>558</v>
      </c>
      <c r="B18" s="1731"/>
      <c r="C18" s="1732">
        <f>SUM(C14:C17)</f>
        <v>26023</v>
      </c>
      <c r="D18" s="1732">
        <f t="shared" ref="D18:K18" si="1">SUM(D14:D17)</f>
        <v>635</v>
      </c>
      <c r="E18" s="1732">
        <f t="shared" si="1"/>
        <v>374</v>
      </c>
      <c r="F18" s="1732">
        <f t="shared" si="1"/>
        <v>254</v>
      </c>
      <c r="G18" s="1732">
        <f t="shared" si="1"/>
        <v>489</v>
      </c>
      <c r="H18" s="1732">
        <f t="shared" si="1"/>
        <v>0</v>
      </c>
      <c r="I18" s="1732">
        <f t="shared" si="1"/>
        <v>63</v>
      </c>
      <c r="J18" s="1732">
        <f t="shared" si="1"/>
        <v>771</v>
      </c>
      <c r="K18" s="1733">
        <f t="shared" si="1"/>
        <v>64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4598</v>
      </c>
      <c r="D65" s="466">
        <v>116</v>
      </c>
      <c r="E65" s="466">
        <v>36</v>
      </c>
      <c r="F65" s="467">
        <v>85</v>
      </c>
      <c r="G65" s="466">
        <v>43</v>
      </c>
      <c r="H65" s="466">
        <v>293</v>
      </c>
      <c r="I65" s="466">
        <v>1228</v>
      </c>
      <c r="J65" s="467">
        <v>70</v>
      </c>
      <c r="K65" s="466">
        <v>30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4598</v>
      </c>
      <c r="D67" s="1710">
        <f t="shared" ref="D67:K67" si="2">SUM(D65:D66)</f>
        <v>116</v>
      </c>
      <c r="E67" s="1710">
        <f t="shared" si="2"/>
        <v>36</v>
      </c>
      <c r="F67" s="1710">
        <f t="shared" si="2"/>
        <v>85</v>
      </c>
      <c r="G67" s="1710">
        <f t="shared" si="2"/>
        <v>43</v>
      </c>
      <c r="H67" s="1710">
        <f t="shared" si="2"/>
        <v>293</v>
      </c>
      <c r="I67" s="1710">
        <f t="shared" si="2"/>
        <v>1228</v>
      </c>
      <c r="J67" s="1710">
        <f t="shared" si="2"/>
        <v>70</v>
      </c>
      <c r="K67" s="1710">
        <f t="shared" si="2"/>
        <v>30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11821</v>
      </c>
      <c r="D69" s="468"/>
      <c r="E69" s="468"/>
      <c r="F69" s="468"/>
      <c r="G69" s="468"/>
      <c r="H69" s="468"/>
      <c r="I69" s="468"/>
      <c r="J69" s="468"/>
      <c r="K69" s="468"/>
    </row>
    <row r="70" spans="1:11" ht="12.75" customHeight="1" x14ac:dyDescent="0.2">
      <c r="A70" s="463" t="s">
        <v>1054</v>
      </c>
      <c r="B70" s="470">
        <v>1612</v>
      </c>
      <c r="C70" s="551">
        <v>393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670</v>
      </c>
      <c r="D72" s="468"/>
      <c r="E72" s="468"/>
      <c r="F72" s="468"/>
      <c r="G72" s="468"/>
      <c r="H72" s="468"/>
      <c r="I72" s="468"/>
      <c r="J72" s="468"/>
      <c r="K72" s="468"/>
    </row>
    <row r="73" spans="1:11" ht="12.75" customHeight="1" x14ac:dyDescent="0.2">
      <c r="A73" s="463" t="s">
        <v>1055</v>
      </c>
      <c r="B73" s="470">
        <v>1620</v>
      </c>
      <c r="C73" s="551">
        <v>2351</v>
      </c>
      <c r="D73" s="468"/>
      <c r="E73" s="468"/>
      <c r="F73" s="468"/>
      <c r="G73" s="468"/>
      <c r="H73" s="468"/>
      <c r="I73" s="468"/>
      <c r="J73" s="468"/>
      <c r="K73" s="468"/>
    </row>
    <row r="74" spans="1:11" ht="12.75" customHeight="1" x14ac:dyDescent="0.2">
      <c r="A74" s="463" t="s">
        <v>25</v>
      </c>
      <c r="B74" s="470">
        <v>1690</v>
      </c>
      <c r="C74" s="551">
        <v>647</v>
      </c>
      <c r="D74" s="468"/>
      <c r="E74" s="468"/>
      <c r="F74" s="468"/>
      <c r="G74" s="468"/>
      <c r="H74" s="468"/>
      <c r="I74" s="468"/>
      <c r="J74" s="468"/>
      <c r="K74" s="468"/>
    </row>
    <row r="75" spans="1:11" ht="12.75" customHeight="1" thickBot="1" x14ac:dyDescent="0.25">
      <c r="A75" s="1730" t="s">
        <v>569</v>
      </c>
      <c r="B75" s="1731"/>
      <c r="C75" s="1710">
        <f>SUM(C69:C74)</f>
        <v>15882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3789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3789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5414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5414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8350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32406</v>
      </c>
      <c r="F103" s="468"/>
      <c r="G103" s="468"/>
      <c r="H103" s="489">
        <v>100800</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6782</v>
      </c>
      <c r="D107" s="466"/>
      <c r="E107" s="466"/>
      <c r="F107" s="466"/>
      <c r="G107" s="466"/>
      <c r="H107" s="466"/>
      <c r="I107" s="466"/>
      <c r="J107" s="467">
        <v>1650</v>
      </c>
      <c r="K107" s="466"/>
    </row>
    <row r="108" spans="1:12" ht="12.75" customHeight="1" thickBot="1" x14ac:dyDescent="0.25">
      <c r="A108" s="1730" t="s">
        <v>508</v>
      </c>
      <c r="B108" s="1734"/>
      <c r="C108" s="1729">
        <f>SUM(C95:C107)</f>
        <v>15932</v>
      </c>
      <c r="D108" s="1729">
        <f t="shared" ref="D108:K108" si="3">SUM(D95:D107)</f>
        <v>0</v>
      </c>
      <c r="E108" s="1729">
        <f t="shared" si="3"/>
        <v>32406</v>
      </c>
      <c r="F108" s="1729">
        <f t="shared" si="3"/>
        <v>0</v>
      </c>
      <c r="G108" s="1729">
        <f t="shared" si="3"/>
        <v>0</v>
      </c>
      <c r="H108" s="1729">
        <f t="shared" si="3"/>
        <v>100800</v>
      </c>
      <c r="I108" s="1729">
        <f t="shared" si="3"/>
        <v>0</v>
      </c>
      <c r="J108" s="1729">
        <f t="shared" si="3"/>
        <v>1650</v>
      </c>
      <c r="K108" s="1710">
        <f t="shared" si="3"/>
        <v>0</v>
      </c>
    </row>
    <row r="109" spans="1:12" ht="14.25" thickTop="1" thickBot="1" x14ac:dyDescent="0.25">
      <c r="A109" s="1735" t="s">
        <v>266</v>
      </c>
      <c r="B109" s="1736" t="s">
        <v>591</v>
      </c>
      <c r="C109" s="1737">
        <f t="shared" ref="C109:K109" si="4">SUM(C12,C18,C40,C63,C67,C75,C82,C93,C108,)</f>
        <v>510741</v>
      </c>
      <c r="D109" s="1737">
        <f t="shared" si="4"/>
        <v>76985</v>
      </c>
      <c r="E109" s="1737">
        <f t="shared" si="4"/>
        <v>77764</v>
      </c>
      <c r="F109" s="1737">
        <f t="shared" si="4"/>
        <v>30833</v>
      </c>
      <c r="G109" s="1737">
        <f t="shared" si="4"/>
        <v>59256</v>
      </c>
      <c r="H109" s="1737">
        <f t="shared" si="4"/>
        <v>101093</v>
      </c>
      <c r="I109" s="1737">
        <f t="shared" si="4"/>
        <v>8916</v>
      </c>
      <c r="J109" s="1737">
        <f t="shared" si="4"/>
        <v>95032</v>
      </c>
      <c r="K109" s="1724">
        <f t="shared" si="4"/>
        <v>7719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1151188</v>
      </c>
      <c r="D117" s="481"/>
      <c r="E117" s="466"/>
      <c r="F117" s="481">
        <v>11000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1151188</v>
      </c>
      <c r="D121" s="1729">
        <f t="shared" si="5"/>
        <v>0</v>
      </c>
      <c r="E121" s="1729">
        <f t="shared" si="5"/>
        <v>0</v>
      </c>
      <c r="F121" s="1729">
        <f t="shared" si="5"/>
        <v>11000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25245</v>
      </c>
      <c r="D124" s="561"/>
      <c r="E124" s="468"/>
      <c r="F124" s="548"/>
      <c r="G124" s="468"/>
      <c r="H124" s="468"/>
      <c r="I124" s="468"/>
      <c r="J124" s="468"/>
      <c r="K124" s="468"/>
    </row>
    <row r="125" spans="1:11" ht="12.75" customHeight="1" x14ac:dyDescent="0.2">
      <c r="A125" s="463" t="s">
        <v>1521</v>
      </c>
      <c r="B125" s="562">
        <v>3105</v>
      </c>
      <c r="C125" s="466">
        <v>15213</v>
      </c>
      <c r="D125" s="561"/>
      <c r="E125" s="468"/>
      <c r="F125" s="466"/>
      <c r="G125" s="468"/>
      <c r="H125" s="468"/>
      <c r="I125" s="468"/>
      <c r="J125" s="468"/>
      <c r="K125" s="468"/>
    </row>
    <row r="126" spans="1:11" ht="12.75" customHeight="1" x14ac:dyDescent="0.2">
      <c r="A126" s="463" t="s">
        <v>922</v>
      </c>
      <c r="B126" s="562">
        <v>3110</v>
      </c>
      <c r="C126" s="551">
        <v>21362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705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62525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700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700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879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3497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35937</v>
      </c>
      <c r="G151" s="467"/>
      <c r="H151" s="468"/>
      <c r="I151" s="468"/>
      <c r="J151" s="468"/>
      <c r="K151" s="468"/>
    </row>
    <row r="152" spans="1:11" ht="12.75" customHeight="1" x14ac:dyDescent="0.2">
      <c r="A152" s="463" t="s">
        <v>1117</v>
      </c>
      <c r="B152" s="562">
        <v>3510</v>
      </c>
      <c r="C152" s="551"/>
      <c r="D152" s="466"/>
      <c r="E152" s="561"/>
      <c r="F152" s="466">
        <v>15130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51067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3" t="s">
        <v>418</v>
      </c>
      <c r="B172" s="2174"/>
      <c r="C172" s="1744">
        <f t="shared" ref="C172:K172" si="6">SUM(C131,C140,C144,C145:C149,C154,C155:C170,C171)</f>
        <v>67601</v>
      </c>
      <c r="D172" s="1744">
        <f t="shared" si="6"/>
        <v>0</v>
      </c>
      <c r="E172" s="1744">
        <f t="shared" si="6"/>
        <v>0</v>
      </c>
      <c r="F172" s="1744">
        <f t="shared" si="6"/>
        <v>51067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1218789</v>
      </c>
      <c r="D173" s="1737">
        <f>SUM(D121,D172)</f>
        <v>0</v>
      </c>
      <c r="E173" s="1737">
        <f>SUM(E121,E172)</f>
        <v>0</v>
      </c>
      <c r="F173" s="1737">
        <f t="shared" ref="F173:K173" si="7">SUM(F121,F172)</f>
        <v>62067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26642</v>
      </c>
      <c r="D183" s="466"/>
      <c r="E183" s="468"/>
      <c r="F183" s="466"/>
      <c r="G183" s="466"/>
      <c r="H183" s="466"/>
      <c r="I183" s="468"/>
      <c r="J183" s="468"/>
      <c r="K183" s="466"/>
    </row>
    <row r="184" spans="1:11" ht="13.5" thickBot="1" x14ac:dyDescent="0.25">
      <c r="A184" s="2181" t="s">
        <v>818</v>
      </c>
      <c r="B184" s="2182"/>
      <c r="C184" s="1729">
        <f>SUM(C180:C183)</f>
        <v>26642</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44356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14969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59325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66145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66145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37945</v>
      </c>
      <c r="D220" s="466"/>
      <c r="E220" s="468"/>
      <c r="F220" s="466"/>
      <c r="G220" s="466"/>
      <c r="H220" s="468"/>
      <c r="I220" s="468"/>
      <c r="J220" s="468"/>
      <c r="K220" s="468"/>
    </row>
    <row r="221" spans="1:11" ht="12.75" customHeight="1" x14ac:dyDescent="0.2">
      <c r="A221" s="463" t="s">
        <v>1114</v>
      </c>
      <c r="B221" s="470">
        <v>4625</v>
      </c>
      <c r="C221" s="551">
        <v>733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38678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23351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2643</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3175</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193317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219959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1949489</v>
      </c>
      <c r="D275" s="1737">
        <f t="shared" si="12"/>
        <v>76985</v>
      </c>
      <c r="E275" s="1737">
        <f t="shared" si="12"/>
        <v>77764</v>
      </c>
      <c r="F275" s="1737">
        <f t="shared" si="12"/>
        <v>92900</v>
      </c>
      <c r="G275" s="1737">
        <f t="shared" si="12"/>
        <v>59256</v>
      </c>
      <c r="H275" s="1737">
        <f t="shared" si="12"/>
        <v>101093</v>
      </c>
      <c r="I275" s="1737">
        <f t="shared" si="12"/>
        <v>8916</v>
      </c>
      <c r="J275" s="1737">
        <f t="shared" si="12"/>
        <v>95032</v>
      </c>
      <c r="K275" s="1724">
        <f t="shared" si="12"/>
        <v>7719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0" zoomScaleNormal="110" zoomScaleSheetLayoutView="110" workbookViewId="0">
      <pane ySplit="2" topLeftCell="A285" activePane="bottomLeft" state="frozen"/>
      <selection activeCell="A8" sqref="A8"/>
      <selection pane="bottomLeft" activeCell="A8" sqref="A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769321</v>
      </c>
      <c r="D5" s="466">
        <v>90867</v>
      </c>
      <c r="E5" s="466">
        <v>6240</v>
      </c>
      <c r="F5" s="466">
        <v>5512</v>
      </c>
      <c r="G5" s="466">
        <v>12971</v>
      </c>
      <c r="H5" s="466"/>
      <c r="I5" s="467"/>
      <c r="J5" s="467"/>
      <c r="K5" s="1693">
        <f>SUM(C5:J5)</f>
        <v>884911</v>
      </c>
      <c r="L5" s="466">
        <v>875472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124291</v>
      </c>
      <c r="D8" s="466">
        <v>9859</v>
      </c>
      <c r="E8" s="466"/>
      <c r="F8" s="466">
        <v>482</v>
      </c>
      <c r="G8" s="466"/>
      <c r="H8" s="466"/>
      <c r="I8" s="467"/>
      <c r="J8" s="467"/>
      <c r="K8" s="1693">
        <f t="shared" si="0"/>
        <v>134632</v>
      </c>
      <c r="L8" s="466">
        <v>135250</v>
      </c>
    </row>
    <row r="9" spans="1:14" x14ac:dyDescent="0.2">
      <c r="A9" s="1526" t="s">
        <v>745</v>
      </c>
      <c r="B9" s="615" t="s">
        <v>1025</v>
      </c>
      <c r="C9" s="467">
        <v>19974</v>
      </c>
      <c r="D9" s="467">
        <v>2370</v>
      </c>
      <c r="E9" s="467"/>
      <c r="F9" s="467"/>
      <c r="G9" s="467"/>
      <c r="H9" s="467"/>
      <c r="I9" s="467"/>
      <c r="J9" s="467"/>
      <c r="K9" s="1693">
        <f t="shared" si="0"/>
        <v>22344</v>
      </c>
      <c r="L9" s="466">
        <v>22875</v>
      </c>
    </row>
    <row r="10" spans="1:14" x14ac:dyDescent="0.2">
      <c r="A10" s="1526" t="s">
        <v>746</v>
      </c>
      <c r="B10" s="615">
        <v>1250</v>
      </c>
      <c r="C10" s="466">
        <v>29490</v>
      </c>
      <c r="D10" s="466">
        <v>14045</v>
      </c>
      <c r="E10" s="466">
        <v>9004</v>
      </c>
      <c r="F10" s="466">
        <v>45231</v>
      </c>
      <c r="G10" s="466">
        <v>13028</v>
      </c>
      <c r="H10" s="466"/>
      <c r="I10" s="467"/>
      <c r="J10" s="467"/>
      <c r="K10" s="1693">
        <f t="shared" si="0"/>
        <v>110798</v>
      </c>
      <c r="L10" s="466">
        <v>112310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59778</v>
      </c>
      <c r="D13" s="466">
        <v>7533</v>
      </c>
      <c r="E13" s="466"/>
      <c r="F13" s="466">
        <v>1286</v>
      </c>
      <c r="G13" s="466"/>
      <c r="H13" s="466"/>
      <c r="I13" s="467"/>
      <c r="J13" s="467"/>
      <c r="K13" s="1693">
        <f t="shared" si="0"/>
        <v>68597</v>
      </c>
      <c r="L13" s="466">
        <v>68850</v>
      </c>
    </row>
    <row r="14" spans="1:14" x14ac:dyDescent="0.2">
      <c r="A14" s="1526" t="s">
        <v>1020</v>
      </c>
      <c r="B14" s="615">
        <v>1500</v>
      </c>
      <c r="C14" s="466">
        <v>16510</v>
      </c>
      <c r="D14" s="466">
        <v>1198</v>
      </c>
      <c r="E14" s="466">
        <v>29512</v>
      </c>
      <c r="F14" s="466"/>
      <c r="G14" s="466"/>
      <c r="H14" s="466"/>
      <c r="I14" s="467"/>
      <c r="J14" s="467"/>
      <c r="K14" s="1693">
        <f t="shared" si="0"/>
        <v>47220</v>
      </c>
      <c r="L14" s="466">
        <v>48700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14667</v>
      </c>
      <c r="D17" s="467">
        <v>1761</v>
      </c>
      <c r="E17" s="467">
        <v>10</v>
      </c>
      <c r="F17" s="467">
        <v>198</v>
      </c>
      <c r="G17" s="467"/>
      <c r="H17" s="467"/>
      <c r="I17" s="467"/>
      <c r="J17" s="467"/>
      <c r="K17" s="1693">
        <f t="shared" si="0"/>
        <v>16636</v>
      </c>
      <c r="L17" s="466">
        <v>16725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1034031</v>
      </c>
      <c r="D33" s="1692">
        <f t="shared" ref="D33:L33" si="1">SUM(D5:D32)</f>
        <v>127633</v>
      </c>
      <c r="E33" s="1692">
        <f t="shared" si="1"/>
        <v>44766</v>
      </c>
      <c r="F33" s="1692">
        <f t="shared" si="1"/>
        <v>52709</v>
      </c>
      <c r="G33" s="1692">
        <f t="shared" si="1"/>
        <v>25999</v>
      </c>
      <c r="H33" s="1692">
        <f t="shared" si="1"/>
        <v>0</v>
      </c>
      <c r="I33" s="1692">
        <f t="shared" si="1"/>
        <v>0</v>
      </c>
      <c r="J33" s="1692">
        <f t="shared" si="1"/>
        <v>0</v>
      </c>
      <c r="K33" s="1692">
        <f t="shared" si="1"/>
        <v>1285138</v>
      </c>
      <c r="L33" s="1692">
        <f t="shared" si="1"/>
        <v>1280182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15832</v>
      </c>
      <c r="D37" s="466">
        <v>1781</v>
      </c>
      <c r="E37" s="466"/>
      <c r="F37" s="466"/>
      <c r="G37" s="466"/>
      <c r="H37" s="466"/>
      <c r="I37" s="467"/>
      <c r="J37" s="467"/>
      <c r="K37" s="1693">
        <f t="shared" si="2"/>
        <v>17613</v>
      </c>
      <c r="L37" s="466">
        <v>17800</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24153</v>
      </c>
      <c r="D40" s="466"/>
      <c r="E40" s="466"/>
      <c r="F40" s="466"/>
      <c r="G40" s="466"/>
      <c r="H40" s="466"/>
      <c r="I40" s="467"/>
      <c r="J40" s="467"/>
      <c r="K40" s="1693">
        <f t="shared" si="2"/>
        <v>24153</v>
      </c>
      <c r="L40" s="466">
        <v>24675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39985</v>
      </c>
      <c r="D42" s="1692">
        <f t="shared" ref="D42:L42" si="3">SUM(D36:D41)</f>
        <v>1781</v>
      </c>
      <c r="E42" s="1692">
        <f t="shared" si="3"/>
        <v>0</v>
      </c>
      <c r="F42" s="1692">
        <f t="shared" si="3"/>
        <v>0</v>
      </c>
      <c r="G42" s="1692">
        <f t="shared" si="3"/>
        <v>0</v>
      </c>
      <c r="H42" s="1692">
        <f t="shared" si="3"/>
        <v>0</v>
      </c>
      <c r="I42" s="1692">
        <f t="shared" si="3"/>
        <v>0</v>
      </c>
      <c r="J42" s="1692">
        <f t="shared" si="3"/>
        <v>0</v>
      </c>
      <c r="K42" s="1692">
        <f t="shared" si="3"/>
        <v>41766</v>
      </c>
      <c r="L42" s="1692">
        <f t="shared" si="3"/>
        <v>42475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v>2651</v>
      </c>
      <c r="F45" s="466"/>
      <c r="G45" s="466"/>
      <c r="H45" s="466"/>
      <c r="I45" s="467"/>
      <c r="J45" s="467"/>
      <c r="K45" s="1694">
        <f>SUM(C45:J45)</f>
        <v>2651</v>
      </c>
      <c r="L45" s="466">
        <v>3100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2651</v>
      </c>
      <c r="F47" s="1692">
        <f t="shared" si="4"/>
        <v>0</v>
      </c>
      <c r="G47" s="1692">
        <f t="shared" si="4"/>
        <v>0</v>
      </c>
      <c r="H47" s="1692">
        <f t="shared" si="4"/>
        <v>0</v>
      </c>
      <c r="I47" s="1692">
        <f t="shared" si="4"/>
        <v>0</v>
      </c>
      <c r="J47" s="1692">
        <f t="shared" si="4"/>
        <v>0</v>
      </c>
      <c r="K47" s="1692">
        <f t="shared" si="4"/>
        <v>2651</v>
      </c>
      <c r="L47" s="1692">
        <f>SUM(L44:L46)</f>
        <v>3100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35692</v>
      </c>
      <c r="F49" s="481">
        <v>655</v>
      </c>
      <c r="G49" s="481"/>
      <c r="H49" s="481">
        <v>1135</v>
      </c>
      <c r="I49" s="467"/>
      <c r="J49" s="467"/>
      <c r="K49" s="1694">
        <f>SUM(C49:J49)</f>
        <v>37482</v>
      </c>
      <c r="L49" s="481">
        <v>39700</v>
      </c>
    </row>
    <row r="50" spans="1:14" x14ac:dyDescent="0.2">
      <c r="A50" s="1526" t="s">
        <v>872</v>
      </c>
      <c r="B50" s="615">
        <v>2320</v>
      </c>
      <c r="C50" s="466">
        <v>77943</v>
      </c>
      <c r="D50" s="466">
        <v>9970</v>
      </c>
      <c r="E50" s="466"/>
      <c r="F50" s="466">
        <v>25</v>
      </c>
      <c r="G50" s="466"/>
      <c r="H50" s="466">
        <v>697</v>
      </c>
      <c r="I50" s="467"/>
      <c r="J50" s="467"/>
      <c r="K50" s="1694">
        <f>SUM(C50:J50)</f>
        <v>88635</v>
      </c>
      <c r="L50" s="466">
        <v>88447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77943</v>
      </c>
      <c r="D53" s="1692">
        <f t="shared" ref="D53:L53" si="5">SUM(D49:D52)</f>
        <v>9970</v>
      </c>
      <c r="E53" s="1692">
        <f t="shared" si="5"/>
        <v>35692</v>
      </c>
      <c r="F53" s="1692">
        <f t="shared" si="5"/>
        <v>680</v>
      </c>
      <c r="G53" s="1692">
        <f t="shared" si="5"/>
        <v>0</v>
      </c>
      <c r="H53" s="1692">
        <f t="shared" si="5"/>
        <v>1832</v>
      </c>
      <c r="I53" s="1692">
        <f t="shared" si="5"/>
        <v>0</v>
      </c>
      <c r="J53" s="1692">
        <f t="shared" si="5"/>
        <v>0</v>
      </c>
      <c r="K53" s="1692">
        <f t="shared" si="5"/>
        <v>126117</v>
      </c>
      <c r="L53" s="1692">
        <f t="shared" si="5"/>
        <v>128147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117224</v>
      </c>
      <c r="D55" s="481">
        <v>8594</v>
      </c>
      <c r="E55" s="481">
        <v>320</v>
      </c>
      <c r="F55" s="481">
        <v>848</v>
      </c>
      <c r="G55" s="481"/>
      <c r="H55" s="481">
        <v>314</v>
      </c>
      <c r="I55" s="467"/>
      <c r="J55" s="467"/>
      <c r="K55" s="1694">
        <f>SUM(C55:J55)</f>
        <v>127300</v>
      </c>
      <c r="L55" s="481">
        <v>127390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117224</v>
      </c>
      <c r="D57" s="1696">
        <f t="shared" ref="D57:K57" si="6">SUM(D55:D56)</f>
        <v>8594</v>
      </c>
      <c r="E57" s="1696">
        <f t="shared" si="6"/>
        <v>320</v>
      </c>
      <c r="F57" s="1696">
        <f t="shared" si="6"/>
        <v>848</v>
      </c>
      <c r="G57" s="1696">
        <f t="shared" si="6"/>
        <v>0</v>
      </c>
      <c r="H57" s="1696">
        <f t="shared" si="6"/>
        <v>314</v>
      </c>
      <c r="I57" s="1696">
        <f t="shared" si="6"/>
        <v>0</v>
      </c>
      <c r="J57" s="1696">
        <f t="shared" si="6"/>
        <v>0</v>
      </c>
      <c r="K57" s="1696">
        <f t="shared" si="6"/>
        <v>127300</v>
      </c>
      <c r="L57" s="1692">
        <f>SUM(L55:L56)</f>
        <v>127390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37666</v>
      </c>
      <c r="D60" s="466"/>
      <c r="E60" s="466"/>
      <c r="F60" s="466"/>
      <c r="G60" s="466"/>
      <c r="H60" s="466"/>
      <c r="I60" s="467"/>
      <c r="J60" s="467"/>
      <c r="K60" s="1694">
        <f t="shared" si="7"/>
        <v>37666</v>
      </c>
      <c r="L60" s="466">
        <v>37700</v>
      </c>
      <c r="M60" s="610"/>
      <c r="N60" s="610"/>
    </row>
    <row r="61" spans="1:14" s="343" customFormat="1" x14ac:dyDescent="0.2">
      <c r="A61" s="1526" t="s">
        <v>206</v>
      </c>
      <c r="B61" s="615">
        <v>2540</v>
      </c>
      <c r="C61" s="466">
        <v>41877</v>
      </c>
      <c r="D61" s="466"/>
      <c r="E61" s="466"/>
      <c r="F61" s="466"/>
      <c r="G61" s="466"/>
      <c r="H61" s="466"/>
      <c r="I61" s="467"/>
      <c r="J61" s="467"/>
      <c r="K61" s="1694">
        <f t="shared" si="7"/>
        <v>41877</v>
      </c>
      <c r="L61" s="466">
        <v>42000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38122</v>
      </c>
      <c r="D63" s="466"/>
      <c r="E63" s="466">
        <v>1489</v>
      </c>
      <c r="F63" s="466">
        <v>42237</v>
      </c>
      <c r="G63" s="466"/>
      <c r="H63" s="466"/>
      <c r="I63" s="467"/>
      <c r="J63" s="467"/>
      <c r="K63" s="1694">
        <f t="shared" si="7"/>
        <v>81848</v>
      </c>
      <c r="L63" s="466">
        <v>84165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117665</v>
      </c>
      <c r="D65" s="1692">
        <f t="shared" ref="D65:L65" si="8">SUM(D59:D64)</f>
        <v>0</v>
      </c>
      <c r="E65" s="1692">
        <f t="shared" si="8"/>
        <v>1489</v>
      </c>
      <c r="F65" s="1692">
        <f t="shared" si="8"/>
        <v>42237</v>
      </c>
      <c r="G65" s="1692">
        <f t="shared" si="8"/>
        <v>0</v>
      </c>
      <c r="H65" s="1692">
        <f t="shared" si="8"/>
        <v>0</v>
      </c>
      <c r="I65" s="1692">
        <f t="shared" si="8"/>
        <v>0</v>
      </c>
      <c r="J65" s="1692">
        <f t="shared" si="8"/>
        <v>0</v>
      </c>
      <c r="K65" s="1692">
        <f t="shared" si="8"/>
        <v>161391</v>
      </c>
      <c r="L65" s="1692">
        <f t="shared" si="8"/>
        <v>163865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352817</v>
      </c>
      <c r="D74" s="1699">
        <f t="shared" ref="D74:K74" si="10">SUM(D42,D47,D53,D57,D65,D72,D73)</f>
        <v>20345</v>
      </c>
      <c r="E74" s="1699">
        <f t="shared" si="10"/>
        <v>40152</v>
      </c>
      <c r="F74" s="1699">
        <f t="shared" si="10"/>
        <v>43765</v>
      </c>
      <c r="G74" s="1699">
        <f t="shared" si="10"/>
        <v>0</v>
      </c>
      <c r="H74" s="1699">
        <f t="shared" si="10"/>
        <v>2146</v>
      </c>
      <c r="I74" s="1699">
        <f t="shared" si="10"/>
        <v>0</v>
      </c>
      <c r="J74" s="1699">
        <f t="shared" si="10"/>
        <v>0</v>
      </c>
      <c r="K74" s="1699">
        <f t="shared" si="10"/>
        <v>459225</v>
      </c>
      <c r="L74" s="1699">
        <f>SUM(L42,L47,L53,L57,L65,L72,L73)</f>
        <v>464977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37945</v>
      </c>
      <c r="I79" s="477"/>
      <c r="J79" s="477"/>
      <c r="K79" s="1693">
        <f t="shared" si="11"/>
        <v>37945</v>
      </c>
      <c r="L79" s="466">
        <v>38000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37945</v>
      </c>
      <c r="I84" s="477"/>
      <c r="J84" s="477"/>
      <c r="K84" s="1692">
        <f>SUM(K78:K83)</f>
        <v>37945</v>
      </c>
      <c r="L84" s="1692">
        <f>SUM(L78:L83)</f>
        <v>38000</v>
      </c>
    </row>
    <row r="85" spans="1:12" ht="12.75" customHeight="1" thickTop="1" thickBot="1" x14ac:dyDescent="0.25">
      <c r="A85" s="1533" t="s">
        <v>273</v>
      </c>
      <c r="B85" s="636">
        <v>4210</v>
      </c>
      <c r="C85" s="617"/>
      <c r="D85" s="617"/>
      <c r="E85" s="637"/>
      <c r="F85" s="617"/>
      <c r="G85" s="617"/>
      <c r="H85" s="535">
        <v>4652</v>
      </c>
      <c r="I85" s="477"/>
      <c r="J85" s="477"/>
      <c r="K85" s="1699">
        <f>H85</f>
        <v>4652</v>
      </c>
      <c r="L85" s="530">
        <v>4652</v>
      </c>
    </row>
    <row r="86" spans="1:12" ht="12.75" customHeight="1" thickTop="1" thickBot="1" x14ac:dyDescent="0.25">
      <c r="A86" s="1534" t="s">
        <v>723</v>
      </c>
      <c r="B86" s="638">
        <v>4220</v>
      </c>
      <c r="C86" s="617"/>
      <c r="D86" s="617"/>
      <c r="E86" s="639"/>
      <c r="F86" s="617"/>
      <c r="G86" s="617"/>
      <c r="H86" s="467">
        <v>42126</v>
      </c>
      <c r="I86" s="477"/>
      <c r="J86" s="477"/>
      <c r="K86" s="1699">
        <f t="shared" ref="K86:K98" si="12">H86</f>
        <v>42126</v>
      </c>
      <c r="L86" s="530">
        <v>42200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46778</v>
      </c>
      <c r="I92" s="477"/>
      <c r="J92" s="477"/>
      <c r="K92" s="1699">
        <f t="shared" si="12"/>
        <v>46778</v>
      </c>
      <c r="L92" s="1692">
        <f>SUM(L85:L91)</f>
        <v>46852</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84723</v>
      </c>
      <c r="I102" s="477"/>
      <c r="J102" s="477"/>
      <c r="K102" s="1699">
        <f>SUM(K84,K92,K100,K101)</f>
        <v>84723</v>
      </c>
      <c r="L102" s="1699">
        <f>SUM(L84,L92,L100,L101)</f>
        <v>84852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1386848</v>
      </c>
      <c r="D114" s="1692">
        <f t="shared" ref="D114:K114" si="13">SUM(D33,D74,D75,D102,D112,D113)</f>
        <v>147978</v>
      </c>
      <c r="E114" s="1692">
        <f t="shared" si="13"/>
        <v>84918</v>
      </c>
      <c r="F114" s="1692">
        <f t="shared" si="13"/>
        <v>96474</v>
      </c>
      <c r="G114" s="1692">
        <f t="shared" si="13"/>
        <v>25999</v>
      </c>
      <c r="H114" s="1692">
        <f>SUM(H33,H74,H75,H102,H112,H113)</f>
        <v>86869</v>
      </c>
      <c r="I114" s="1692">
        <f t="shared" si="13"/>
        <v>0</v>
      </c>
      <c r="J114" s="1692">
        <f t="shared" si="13"/>
        <v>0</v>
      </c>
      <c r="K114" s="1692">
        <f t="shared" si="13"/>
        <v>1829086</v>
      </c>
      <c r="L114" s="1692">
        <f>SUM(L33,L74,L75,L102,L112,L113)</f>
        <v>1830011</v>
      </c>
    </row>
    <row r="115" spans="1:14" ht="13.5" thickTop="1" x14ac:dyDescent="0.2">
      <c r="A115" s="2185" t="s">
        <v>1053</v>
      </c>
      <c r="B115" s="2186"/>
      <c r="C115" s="619"/>
      <c r="D115" s="619"/>
      <c r="E115" s="619"/>
      <c r="F115" s="619"/>
      <c r="G115" s="619"/>
      <c r="H115" s="619"/>
      <c r="I115" s="619"/>
      <c r="J115" s="619"/>
      <c r="K115" s="1706">
        <f>'Revenues 9-14'!C275-'Expenditures 15-22'!K114</f>
        <v>120403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17536</v>
      </c>
      <c r="D124" s="466"/>
      <c r="E124" s="466">
        <v>9458</v>
      </c>
      <c r="F124" s="466">
        <v>37294</v>
      </c>
      <c r="G124" s="466"/>
      <c r="H124" s="466"/>
      <c r="I124" s="467"/>
      <c r="J124" s="467"/>
      <c r="K124" s="1692">
        <f>SUM(C124:J124)</f>
        <v>64288</v>
      </c>
      <c r="L124" s="466">
        <v>67275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17536</v>
      </c>
      <c r="D127" s="1692">
        <f t="shared" ref="D127:L127" si="14">SUM(D122:D126)</f>
        <v>0</v>
      </c>
      <c r="E127" s="1692">
        <f t="shared" si="14"/>
        <v>9458</v>
      </c>
      <c r="F127" s="1692">
        <f t="shared" si="14"/>
        <v>37294</v>
      </c>
      <c r="G127" s="1692">
        <f t="shared" si="14"/>
        <v>0</v>
      </c>
      <c r="H127" s="1692">
        <f t="shared" si="14"/>
        <v>0</v>
      </c>
      <c r="I127" s="1692">
        <f t="shared" si="14"/>
        <v>0</v>
      </c>
      <c r="J127" s="1692">
        <f t="shared" si="14"/>
        <v>0</v>
      </c>
      <c r="K127" s="1692">
        <f t="shared" si="14"/>
        <v>64288</v>
      </c>
      <c r="L127" s="1692">
        <f t="shared" si="14"/>
        <v>67275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17536</v>
      </c>
      <c r="D129" s="1699">
        <f t="shared" ref="D129:L129" si="15">SUM(D120,D127,D128)</f>
        <v>0</v>
      </c>
      <c r="E129" s="1699">
        <f t="shared" si="15"/>
        <v>9458</v>
      </c>
      <c r="F129" s="1699">
        <f t="shared" si="15"/>
        <v>37294</v>
      </c>
      <c r="G129" s="1699">
        <f t="shared" si="15"/>
        <v>0</v>
      </c>
      <c r="H129" s="1699">
        <f t="shared" si="15"/>
        <v>0</v>
      </c>
      <c r="I129" s="1699">
        <f t="shared" si="15"/>
        <v>0</v>
      </c>
      <c r="J129" s="1699">
        <f t="shared" si="15"/>
        <v>0</v>
      </c>
      <c r="K129" s="1699">
        <f t="shared" si="15"/>
        <v>64288</v>
      </c>
      <c r="L129" s="1699">
        <f t="shared" si="15"/>
        <v>67275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2" t="s">
        <v>641</v>
      </c>
      <c r="B151" s="2182"/>
      <c r="C151" s="1692">
        <f>SUM(C129,C130,C139,C149,C150)</f>
        <v>17536</v>
      </c>
      <c r="D151" s="1692">
        <f t="shared" ref="D151:K151" si="16">SUM(D129,D130,D139,D149,D150)</f>
        <v>0</v>
      </c>
      <c r="E151" s="1692">
        <f t="shared" si="16"/>
        <v>9458</v>
      </c>
      <c r="F151" s="1692">
        <f t="shared" si="16"/>
        <v>37294</v>
      </c>
      <c r="G151" s="1692">
        <f t="shared" si="16"/>
        <v>0</v>
      </c>
      <c r="H151" s="1692">
        <f t="shared" si="16"/>
        <v>0</v>
      </c>
      <c r="I151" s="1692">
        <f t="shared" si="16"/>
        <v>0</v>
      </c>
      <c r="J151" s="1692">
        <f t="shared" si="16"/>
        <v>0</v>
      </c>
      <c r="K151" s="1692">
        <f t="shared" si="16"/>
        <v>64288</v>
      </c>
      <c r="L151" s="1692">
        <f>SUM(L129,L130,L139,L149,L150)</f>
        <v>67275</v>
      </c>
    </row>
    <row r="152" spans="1:14" ht="12.75" customHeight="1" thickTop="1" x14ac:dyDescent="0.2">
      <c r="A152" s="2205" t="s">
        <v>1240</v>
      </c>
      <c r="B152" s="2206"/>
      <c r="C152" s="619"/>
      <c r="D152" s="619"/>
      <c r="E152" s="619"/>
      <c r="F152" s="619"/>
      <c r="G152" s="619"/>
      <c r="H152" s="619"/>
      <c r="I152" s="619"/>
      <c r="J152" s="617"/>
      <c r="K152" s="1706">
        <f>'Revenues 9-14'!D275-'Expenditures 15-22'!K151</f>
        <v>12697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9700</v>
      </c>
      <c r="I169" s="617"/>
      <c r="J169" s="617"/>
      <c r="K169" s="1693">
        <f>SUM(C169:H169)</f>
        <v>9700</v>
      </c>
      <c r="L169" s="657">
        <v>9700</v>
      </c>
    </row>
    <row r="170" spans="1:14" ht="33.75" customHeight="1" x14ac:dyDescent="0.2">
      <c r="A170" s="670" t="s">
        <v>1769</v>
      </c>
      <c r="B170" s="672" t="s">
        <v>31</v>
      </c>
      <c r="C170" s="617"/>
      <c r="D170" s="617"/>
      <c r="E170" s="617"/>
      <c r="F170" s="617"/>
      <c r="G170" s="617"/>
      <c r="H170" s="569">
        <v>34000</v>
      </c>
      <c r="I170" s="617"/>
      <c r="J170" s="617"/>
      <c r="K170" s="1693">
        <f>SUM(C170:J170)</f>
        <v>34000</v>
      </c>
      <c r="L170" s="569">
        <v>34000</v>
      </c>
    </row>
    <row r="171" spans="1:14" ht="15.75" customHeight="1" x14ac:dyDescent="0.2">
      <c r="A171" s="622" t="s">
        <v>790</v>
      </c>
      <c r="B171" s="673" t="s">
        <v>86</v>
      </c>
      <c r="C171" s="617"/>
      <c r="D171" s="617"/>
      <c r="E171" s="466"/>
      <c r="F171" s="617"/>
      <c r="G171" s="617"/>
      <c r="H171" s="569">
        <v>800</v>
      </c>
      <c r="I171" s="477"/>
      <c r="J171" s="617"/>
      <c r="K171" s="1693">
        <f>SUM(C171:J171)</f>
        <v>800</v>
      </c>
      <c r="L171" s="569">
        <v>800</v>
      </c>
    </row>
    <row r="172" spans="1:14" ht="12.75" customHeight="1" thickBot="1" x14ac:dyDescent="0.25">
      <c r="A172" s="1690" t="s">
        <v>659</v>
      </c>
      <c r="B172" s="1691" t="s">
        <v>513</v>
      </c>
      <c r="C172" s="617"/>
      <c r="D172" s="617"/>
      <c r="E172" s="1699">
        <f>SUM(E168,E169,E170,E171)</f>
        <v>0</v>
      </c>
      <c r="F172" s="617"/>
      <c r="G172" s="617"/>
      <c r="H172" s="1699">
        <f>SUM(H168,H169,H170,H171)</f>
        <v>44500</v>
      </c>
      <c r="I172" s="639"/>
      <c r="J172" s="617"/>
      <c r="K172" s="1699">
        <f>SUM(K168,K169,K170,K171)</f>
        <v>44500</v>
      </c>
      <c r="L172" s="1699">
        <f>SUM(L168,L169,L170,L171)</f>
        <v>44500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44500</v>
      </c>
      <c r="I174" s="639"/>
      <c r="J174" s="617"/>
      <c r="K174" s="1699">
        <f>SUM(K160,K172,K173)</f>
        <v>44500</v>
      </c>
      <c r="L174" s="1699">
        <f>SUM(L160,L172,L173)</f>
        <v>44500</v>
      </c>
    </row>
    <row r="175" spans="1:14" ht="13.5" thickTop="1" x14ac:dyDescent="0.2">
      <c r="A175" s="2185" t="s">
        <v>1053</v>
      </c>
      <c r="B175" s="2186"/>
      <c r="C175" s="617"/>
      <c r="D175" s="617"/>
      <c r="E175" s="617"/>
      <c r="F175" s="617"/>
      <c r="G175" s="617"/>
      <c r="H175" s="619"/>
      <c r="I175" s="617"/>
      <c r="J175" s="617"/>
      <c r="K175" s="1706">
        <f>'Revenues 9-14'!E275-'Expenditures 15-22'!K174</f>
        <v>33264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60675</v>
      </c>
      <c r="F182" s="466">
        <v>7068</v>
      </c>
      <c r="G182" s="466"/>
      <c r="H182" s="466"/>
      <c r="I182" s="467"/>
      <c r="J182" s="467"/>
      <c r="K182" s="1693">
        <f>SUM(C182:J182)</f>
        <v>67743</v>
      </c>
      <c r="L182" s="466">
        <v>67800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60675</v>
      </c>
      <c r="F184" s="1699">
        <f t="shared" si="17"/>
        <v>7068</v>
      </c>
      <c r="G184" s="1699">
        <f t="shared" si="17"/>
        <v>0</v>
      </c>
      <c r="H184" s="1699">
        <f t="shared" si="17"/>
        <v>0</v>
      </c>
      <c r="I184" s="1699">
        <f t="shared" si="17"/>
        <v>0</v>
      </c>
      <c r="J184" s="1699">
        <f t="shared" si="17"/>
        <v>0</v>
      </c>
      <c r="K184" s="1699">
        <f>SUM(K180,K182,K183)</f>
        <v>67743</v>
      </c>
      <c r="L184" s="1699">
        <f>SUM(L180, L182:L183)</f>
        <v>67800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60675</v>
      </c>
      <c r="F210" s="1692">
        <f>SUM(F184,F185)</f>
        <v>7068</v>
      </c>
      <c r="G210" s="1692">
        <f>SUM(G184,G185)</f>
        <v>0</v>
      </c>
      <c r="H210" s="1692">
        <f>SUM(H184,H185,H196,H208,H209)</f>
        <v>0</v>
      </c>
      <c r="I210" s="1692">
        <f>SUM(I184,I185)</f>
        <v>0</v>
      </c>
      <c r="J210" s="1692">
        <f>SUM(J184,J185)</f>
        <v>0</v>
      </c>
      <c r="K210" s="1693">
        <f>SUM(K184,K185,K196,K208,K209)</f>
        <v>67743</v>
      </c>
      <c r="L210" s="1692">
        <f>SUM(L184,L185,L196,L208,L209)</f>
        <v>67800</v>
      </c>
    </row>
    <row r="211" spans="1:14" ht="13.5" thickTop="1" x14ac:dyDescent="0.2">
      <c r="A211" s="2185" t="s">
        <v>1053</v>
      </c>
      <c r="B211" s="2186"/>
      <c r="C211" s="619"/>
      <c r="D211" s="619"/>
      <c r="E211" s="619"/>
      <c r="F211" s="619"/>
      <c r="G211" s="619"/>
      <c r="H211" s="619"/>
      <c r="I211" s="617"/>
      <c r="J211" s="617"/>
      <c r="K211" s="1706">
        <f>'Revenues 9-14'!F275-'Expenditures 15-22'!K210</f>
        <v>25157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10181</v>
      </c>
      <c r="E215" s="617"/>
      <c r="F215" s="617"/>
      <c r="G215" s="617"/>
      <c r="H215" s="617"/>
      <c r="I215" s="617"/>
      <c r="J215" s="617"/>
      <c r="K215" s="1693">
        <f>D215</f>
        <v>10181</v>
      </c>
      <c r="L215" s="466">
        <v>11000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11035</v>
      </c>
      <c r="E217" s="617"/>
      <c r="F217" s="617"/>
      <c r="G217" s="617"/>
      <c r="H217" s="617"/>
      <c r="I217" s="617"/>
      <c r="J217" s="617"/>
      <c r="K217" s="1693">
        <f t="shared" si="19"/>
        <v>11035</v>
      </c>
      <c r="L217" s="466">
        <v>11000</v>
      </c>
    </row>
    <row r="218" spans="1:14" x14ac:dyDescent="0.2">
      <c r="A218" s="1526" t="s">
        <v>296</v>
      </c>
      <c r="B218" s="615" t="s">
        <v>1025</v>
      </c>
      <c r="C218" s="617"/>
      <c r="D218" s="467">
        <v>284</v>
      </c>
      <c r="E218" s="617"/>
      <c r="F218" s="617"/>
      <c r="G218" s="617"/>
      <c r="H218" s="617"/>
      <c r="I218" s="617"/>
      <c r="J218" s="617"/>
      <c r="K218" s="1693">
        <f t="shared" si="19"/>
        <v>284</v>
      </c>
      <c r="L218" s="466">
        <v>300</v>
      </c>
    </row>
    <row r="219" spans="1:14" x14ac:dyDescent="0.2">
      <c r="A219" s="1526" t="s">
        <v>297</v>
      </c>
      <c r="B219" s="615">
        <v>1250</v>
      </c>
      <c r="C219" s="617"/>
      <c r="D219" s="466">
        <v>406</v>
      </c>
      <c r="E219" s="617"/>
      <c r="F219" s="617"/>
      <c r="G219" s="617"/>
      <c r="H219" s="617"/>
      <c r="I219" s="617"/>
      <c r="J219" s="617"/>
      <c r="K219" s="1693">
        <f t="shared" si="19"/>
        <v>406</v>
      </c>
      <c r="L219" s="466">
        <v>400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910</v>
      </c>
      <c r="E222" s="617"/>
      <c r="F222" s="617"/>
      <c r="G222" s="617"/>
      <c r="H222" s="617"/>
      <c r="I222" s="617"/>
      <c r="J222" s="617"/>
      <c r="K222" s="1693">
        <f t="shared" si="19"/>
        <v>910</v>
      </c>
      <c r="L222" s="466">
        <v>900</v>
      </c>
    </row>
    <row r="223" spans="1:14" x14ac:dyDescent="0.2">
      <c r="A223" s="1526" t="s">
        <v>1020</v>
      </c>
      <c r="B223" s="615">
        <v>1500</v>
      </c>
      <c r="C223" s="617"/>
      <c r="D223" s="466">
        <v>1550</v>
      </c>
      <c r="E223" s="617"/>
      <c r="F223" s="617"/>
      <c r="G223" s="617"/>
      <c r="H223" s="617"/>
      <c r="I223" s="617"/>
      <c r="J223" s="617"/>
      <c r="K223" s="1693">
        <f t="shared" si="19"/>
        <v>1550</v>
      </c>
      <c r="L223" s="466">
        <v>1600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212</v>
      </c>
      <c r="E226" s="617"/>
      <c r="F226" s="617"/>
      <c r="G226" s="617"/>
      <c r="H226" s="617"/>
      <c r="I226" s="617"/>
      <c r="J226" s="617"/>
      <c r="K226" s="1693">
        <f t="shared" si="19"/>
        <v>212</v>
      </c>
      <c r="L226" s="466">
        <v>220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24578</v>
      </c>
      <c r="E229" s="617"/>
      <c r="F229" s="617"/>
      <c r="G229" s="617"/>
      <c r="H229" s="617"/>
      <c r="I229" s="617"/>
      <c r="J229" s="617"/>
      <c r="K229" s="1692">
        <f>SUM(K215:K228)</f>
        <v>24578</v>
      </c>
      <c r="L229" s="1692">
        <f>SUM(L215:L228)</f>
        <v>25420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230</v>
      </c>
      <c r="E233" s="617"/>
      <c r="F233" s="617"/>
      <c r="G233" s="617"/>
      <c r="H233" s="617"/>
      <c r="I233" s="617"/>
      <c r="J233" s="617"/>
      <c r="K233" s="1693">
        <f t="shared" si="20"/>
        <v>230</v>
      </c>
      <c r="L233" s="466">
        <v>235</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350</v>
      </c>
      <c r="E236" s="617"/>
      <c r="F236" s="617"/>
      <c r="G236" s="617"/>
      <c r="H236" s="617"/>
      <c r="I236" s="617"/>
      <c r="J236" s="617"/>
      <c r="K236" s="1693">
        <f t="shared" si="20"/>
        <v>350</v>
      </c>
      <c r="L236" s="466">
        <v>400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580</v>
      </c>
      <c r="E238" s="617"/>
      <c r="F238" s="617"/>
      <c r="G238" s="617"/>
      <c r="H238" s="617"/>
      <c r="I238" s="617"/>
      <c r="J238" s="617"/>
      <c r="K238" s="1692">
        <f>SUM(K232:K237)</f>
        <v>580</v>
      </c>
      <c r="L238" s="1692">
        <f>SUM(L232:L237)</f>
        <v>635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1005</v>
      </c>
      <c r="E246" s="617"/>
      <c r="F246" s="617"/>
      <c r="G246" s="617"/>
      <c r="H246" s="617"/>
      <c r="I246" s="617"/>
      <c r="J246" s="617"/>
      <c r="K246" s="1694">
        <f t="shared" ref="K246:K256" si="21">D246</f>
        <v>1005</v>
      </c>
      <c r="L246" s="466">
        <v>1010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164</v>
      </c>
      <c r="E254" s="617"/>
      <c r="F254" s="617"/>
      <c r="G254" s="617"/>
      <c r="H254" s="617"/>
      <c r="I254" s="617"/>
      <c r="J254" s="617"/>
      <c r="K254" s="1694">
        <f t="shared" si="21"/>
        <v>164</v>
      </c>
      <c r="L254" s="466">
        <v>175</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1169</v>
      </c>
      <c r="E257" s="617"/>
      <c r="F257" s="617"/>
      <c r="G257" s="617"/>
      <c r="H257" s="617"/>
      <c r="I257" s="617"/>
      <c r="J257" s="617"/>
      <c r="K257" s="1692">
        <f>SUM(K245:K256)</f>
        <v>1169</v>
      </c>
      <c r="L257" s="1692">
        <f>SUM(L245:L256)</f>
        <v>1185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10409</v>
      </c>
      <c r="E259" s="617"/>
      <c r="F259" s="617"/>
      <c r="G259" s="617"/>
      <c r="H259" s="617"/>
      <c r="I259" s="617"/>
      <c r="J259" s="617"/>
      <c r="K259" s="1694">
        <f>D259</f>
        <v>10409</v>
      </c>
      <c r="L259" s="481">
        <v>10420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10409</v>
      </c>
      <c r="E261" s="617"/>
      <c r="F261" s="617"/>
      <c r="G261" s="617"/>
      <c r="H261" s="617"/>
      <c r="I261" s="617"/>
      <c r="J261" s="617"/>
      <c r="K261" s="1692">
        <f>SUM(K259:K260)</f>
        <v>10409</v>
      </c>
      <c r="L261" s="1692">
        <f>SUM(L259:L260)</f>
        <v>10420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8631</v>
      </c>
      <c r="E264" s="617"/>
      <c r="F264" s="617"/>
      <c r="G264" s="617"/>
      <c r="H264" s="617"/>
      <c r="I264" s="617"/>
      <c r="J264" s="617"/>
      <c r="K264" s="1694">
        <f t="shared" ref="K264:K269" si="22">D264</f>
        <v>8631</v>
      </c>
      <c r="L264" s="466">
        <v>8700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7893</v>
      </c>
      <c r="E266" s="617"/>
      <c r="F266" s="617"/>
      <c r="G266" s="617"/>
      <c r="H266" s="617"/>
      <c r="I266" s="617"/>
      <c r="J266" s="617"/>
      <c r="K266" s="1694">
        <f t="shared" si="22"/>
        <v>7893</v>
      </c>
      <c r="L266" s="466">
        <v>8000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8619</v>
      </c>
      <c r="E268" s="617"/>
      <c r="F268" s="617"/>
      <c r="G268" s="617"/>
      <c r="H268" s="617"/>
      <c r="I268" s="617"/>
      <c r="J268" s="617"/>
      <c r="K268" s="1694">
        <f t="shared" si="22"/>
        <v>8619</v>
      </c>
      <c r="L268" s="466">
        <v>8650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25143</v>
      </c>
      <c r="E270" s="617"/>
      <c r="F270" s="617"/>
      <c r="G270" s="617"/>
      <c r="H270" s="617"/>
      <c r="I270" s="617"/>
      <c r="J270" s="617"/>
      <c r="K270" s="1692">
        <f>SUM(K263:K269)</f>
        <v>25143</v>
      </c>
      <c r="L270" s="1692">
        <f>SUM(L263:L269)</f>
        <v>25350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37301</v>
      </c>
      <c r="E279" s="617"/>
      <c r="F279" s="617"/>
      <c r="G279" s="617"/>
      <c r="H279" s="617"/>
      <c r="I279" s="617"/>
      <c r="J279" s="617"/>
      <c r="K279" s="1699">
        <f>SUM(K238,K243,K257,K261,K270,K277,K278)</f>
        <v>37301</v>
      </c>
      <c r="L279" s="1699">
        <f>SUM(L238,L243,L257,L261,L270,L277,L278)</f>
        <v>37590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2">
        <f>SUM(D229,D279,D280,D285)</f>
        <v>61879</v>
      </c>
      <c r="E295" s="617"/>
      <c r="F295" s="617"/>
      <c r="G295" s="617"/>
      <c r="H295" s="1692">
        <f>H293</f>
        <v>0</v>
      </c>
      <c r="I295" s="617"/>
      <c r="J295" s="617"/>
      <c r="K295" s="1692">
        <f>SUM(K229,K279,K280,K285,K293,K294)</f>
        <v>61879</v>
      </c>
      <c r="L295" s="1692">
        <f>SUM(L229,L279,L280,L285,L293,L294)</f>
        <v>63010</v>
      </c>
    </row>
    <row r="296" spans="1:14" ht="13.5" thickTop="1" x14ac:dyDescent="0.2">
      <c r="A296" s="2185" t="s">
        <v>1053</v>
      </c>
      <c r="B296" s="2186"/>
      <c r="C296" s="617"/>
      <c r="D296" s="619"/>
      <c r="E296" s="617"/>
      <c r="F296" s="617"/>
      <c r="G296" s="617"/>
      <c r="H296" s="688"/>
      <c r="I296" s="617"/>
      <c r="J296" s="617"/>
      <c r="K296" s="1706">
        <f>'Revenues 9-14'!G275-'Expenditures 15-22'!K295</f>
        <v>-2623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16579</v>
      </c>
      <c r="F301" s="466">
        <v>1672</v>
      </c>
      <c r="G301" s="466">
        <v>135490</v>
      </c>
      <c r="H301" s="466"/>
      <c r="I301" s="467"/>
      <c r="J301" s="467"/>
      <c r="K301" s="1693">
        <f>SUM(C301:J301)</f>
        <v>153741</v>
      </c>
      <c r="L301" s="467">
        <v>154698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16579</v>
      </c>
      <c r="F303" s="1699">
        <f t="shared" si="23"/>
        <v>1672</v>
      </c>
      <c r="G303" s="1699">
        <f t="shared" si="23"/>
        <v>135490</v>
      </c>
      <c r="H303" s="1699">
        <f t="shared" si="23"/>
        <v>0</v>
      </c>
      <c r="I303" s="1699">
        <f t="shared" si="23"/>
        <v>0</v>
      </c>
      <c r="J303" s="1699">
        <f t="shared" si="23"/>
        <v>0</v>
      </c>
      <c r="K303" s="1699">
        <f t="shared" si="23"/>
        <v>153741</v>
      </c>
      <c r="L303" s="1699">
        <f t="shared" si="23"/>
        <v>154698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2">
        <f>SUM(C303)</f>
        <v>0</v>
      </c>
      <c r="D312" s="1692">
        <f>SUM(D303)</f>
        <v>0</v>
      </c>
      <c r="E312" s="1692">
        <f>SUM(E303,E310)</f>
        <v>16579</v>
      </c>
      <c r="F312" s="1692">
        <f>SUM(F303)</f>
        <v>1672</v>
      </c>
      <c r="G312" s="1692">
        <f>SUM(G303)</f>
        <v>135490</v>
      </c>
      <c r="H312" s="1692">
        <f>SUM(H303,H310)</f>
        <v>0</v>
      </c>
      <c r="I312" s="1692">
        <f>SUM(I303)</f>
        <v>0</v>
      </c>
      <c r="J312" s="1692">
        <f>SUM(J303)</f>
        <v>0</v>
      </c>
      <c r="K312" s="1692">
        <f>SUM(K303,K310,K311)</f>
        <v>153741</v>
      </c>
      <c r="L312" s="1692">
        <f>SUM(L303,L310,L311)</f>
        <v>154698</v>
      </c>
      <c r="M312" s="666"/>
      <c r="N312" s="666"/>
    </row>
    <row r="313" spans="1:14" ht="13.5" thickTop="1" x14ac:dyDescent="0.2">
      <c r="A313" s="2196" t="s">
        <v>1053</v>
      </c>
      <c r="B313" s="2197"/>
      <c r="C313" s="627"/>
      <c r="D313" s="627"/>
      <c r="E313" s="627"/>
      <c r="F313" s="627"/>
      <c r="G313" s="627"/>
      <c r="H313" s="627"/>
      <c r="I313" s="627"/>
      <c r="J313" s="627"/>
      <c r="K313" s="1707">
        <f>'Revenues 9-14'!H275-'Expenditures 15-22'!K312</f>
        <v>-52648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v>10050</v>
      </c>
      <c r="E320" s="467"/>
      <c r="F320" s="467"/>
      <c r="G320" s="467"/>
      <c r="H320" s="467"/>
      <c r="I320" s="467"/>
      <c r="J320" s="467"/>
      <c r="K320" s="1693">
        <f t="shared" ref="K320:K327" si="24">SUM(C320:J320)</f>
        <v>10050</v>
      </c>
      <c r="L320" s="467">
        <v>10050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9618</v>
      </c>
      <c r="F322" s="467"/>
      <c r="G322" s="467"/>
      <c r="H322" s="467"/>
      <c r="I322" s="467"/>
      <c r="J322" s="467"/>
      <c r="K322" s="1693">
        <f t="shared" si="24"/>
        <v>9618</v>
      </c>
      <c r="L322" s="467">
        <v>9618</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30688</v>
      </c>
      <c r="D325" s="467">
        <v>1623</v>
      </c>
      <c r="E325" s="467"/>
      <c r="F325" s="467"/>
      <c r="G325" s="467"/>
      <c r="H325" s="467"/>
      <c r="I325" s="467"/>
      <c r="J325" s="467"/>
      <c r="K325" s="1693">
        <f t="shared" si="24"/>
        <v>32311</v>
      </c>
      <c r="L325" s="467">
        <v>36000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429</v>
      </c>
      <c r="F327" s="467"/>
      <c r="G327" s="467"/>
      <c r="H327" s="467"/>
      <c r="I327" s="467"/>
      <c r="J327" s="467"/>
      <c r="K327" s="1693">
        <f t="shared" si="24"/>
        <v>429</v>
      </c>
      <c r="L327" s="467">
        <v>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30688</v>
      </c>
      <c r="D330" s="1692">
        <f t="shared" ref="D330:J330" si="25">SUM(D319:D329)</f>
        <v>11673</v>
      </c>
      <c r="E330" s="1692">
        <f t="shared" si="25"/>
        <v>10047</v>
      </c>
      <c r="F330" s="1692">
        <f t="shared" si="25"/>
        <v>0</v>
      </c>
      <c r="G330" s="1692">
        <f t="shared" si="25"/>
        <v>0</v>
      </c>
      <c r="H330" s="1692">
        <f t="shared" si="25"/>
        <v>0</v>
      </c>
      <c r="I330" s="1692">
        <f t="shared" si="25"/>
        <v>0</v>
      </c>
      <c r="J330" s="1692">
        <f t="shared" si="25"/>
        <v>0</v>
      </c>
      <c r="K330" s="1692">
        <f>SUM(K319:K329)</f>
        <v>52408</v>
      </c>
      <c r="L330" s="1692">
        <f>SUM(L319:L329)</f>
        <v>56168</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30688</v>
      </c>
      <c r="D342" s="1692">
        <f>SUM(D330)</f>
        <v>11673</v>
      </c>
      <c r="E342" s="1692">
        <f>SUM(E330)</f>
        <v>10047</v>
      </c>
      <c r="F342" s="1692">
        <f>SUM(F330)</f>
        <v>0</v>
      </c>
      <c r="G342" s="1692">
        <f>SUM(G330)</f>
        <v>0</v>
      </c>
      <c r="H342" s="1692">
        <f>SUM(H330,H334,H340)</f>
        <v>0</v>
      </c>
      <c r="I342" s="1692">
        <f>SUM(I330)</f>
        <v>0</v>
      </c>
      <c r="J342" s="1692">
        <f>SUM(J330)</f>
        <v>0</v>
      </c>
      <c r="K342" s="1692">
        <f>SUM(K330,K334,K340)</f>
        <v>52408</v>
      </c>
      <c r="L342" s="1699">
        <f>SUM(L330,L340,L341)</f>
        <v>56168</v>
      </c>
    </row>
    <row r="343" spans="1:14" ht="12.75" customHeight="1" thickTop="1" x14ac:dyDescent="0.2">
      <c r="A343" s="2198" t="s">
        <v>1053</v>
      </c>
      <c r="B343" s="2199"/>
      <c r="C343" s="617"/>
      <c r="D343" s="617"/>
      <c r="E343" s="617"/>
      <c r="F343" s="617"/>
      <c r="G343" s="617"/>
      <c r="H343" s="617"/>
      <c r="I343" s="617"/>
      <c r="J343" s="617"/>
      <c r="K343" s="1706">
        <f>'Revenues 9-14'!J275-'Expenditures 15-22'!K342</f>
        <v>42624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5" t="s">
        <v>1053</v>
      </c>
      <c r="B368" s="2186"/>
      <c r="C368" s="655"/>
      <c r="D368" s="655"/>
      <c r="E368" s="627"/>
      <c r="F368" s="627"/>
      <c r="G368" s="627"/>
      <c r="H368" s="627"/>
      <c r="I368" s="627"/>
      <c r="J368" s="624"/>
      <c r="K368" s="1693">
        <f>'Revenues 9-14'!K275-'Expenditures 15-22'!K367</f>
        <v>7719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www.w3.org/XML/1998/namespace"/>
    <ds:schemaRef ds:uri="d21dc803-237d-4c68-8692-8d731fd29118"/>
    <ds:schemaRef ds:uri="http://schemas.openxmlformats.org/package/2006/metadata/core-properties"/>
    <ds:schemaRef ds:uri="http://purl.org/dc/elements/1.1/"/>
    <ds:schemaRef ds:uri="http://schemas.microsoft.com/office/2006/metadata/properties"/>
    <ds:schemaRef ds:uri="http://purl.org/dc/terms/"/>
    <ds:schemaRef ds:uri="http://schemas.microsoft.com/office/infopath/2007/PartnerControls"/>
    <ds:schemaRef ds:uri="4d435f69-8686-490b-bd6d-b153bf22ab50"/>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2018-10-12T17:46:39Z</cp:lastPrinted>
  <dcterms:created xsi:type="dcterms:W3CDTF">2003-10-29T19:06:34Z</dcterms:created>
  <dcterms:modified xsi:type="dcterms:W3CDTF">2018-10-31T14:25:20Z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