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182" i="29" l="1"/>
  <c r="L124" i="29"/>
  <c r="L8" i="29"/>
  <c r="L75" i="29"/>
  <c r="L63" i="29"/>
  <c r="L62" i="29"/>
  <c r="L71" i="29"/>
  <c r="L61" i="29"/>
  <c r="L55" i="29"/>
  <c r="L45" i="29"/>
  <c r="L44" i="29"/>
  <c r="L38" i="29"/>
  <c r="L14" i="29"/>
  <c r="L13" i="29"/>
  <c r="L7" i="29"/>
  <c r="L5" i="29"/>
  <c r="C69" i="5" l="1"/>
  <c r="M19" i="3"/>
  <c r="L13" i="184" l="1"/>
  <c r="F25" i="183"/>
  <c r="I25" i="183"/>
  <c r="I20" i="184" l="1"/>
  <c r="F20" i="184"/>
  <c r="L18" i="179"/>
  <c r="L18" i="184"/>
  <c r="L17" i="184"/>
  <c r="L16" i="184"/>
  <c r="L15" i="184"/>
  <c r="L14" i="184"/>
  <c r="B4" i="184"/>
  <c r="L25" i="183"/>
  <c r="L23" i="183"/>
  <c r="L22" i="183"/>
  <c r="L16" i="183"/>
  <c r="L12"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6" i="179" l="1"/>
  <c r="L25" i="179"/>
  <c r="L24" i="179"/>
  <c r="L23" i="179"/>
  <c r="L22" i="179"/>
  <c r="L21" i="179"/>
  <c r="L16" i="179"/>
  <c r="L14" i="179"/>
  <c r="L12"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71" i="36"/>
  <c r="D72" i="36"/>
  <c r="D79" i="36"/>
  <c r="B64" i="127"/>
  <c r="B65" i="127"/>
  <c r="D26" i="108"/>
  <c r="E26" i="108"/>
  <c r="F26" i="108"/>
  <c r="G26" i="108"/>
  <c r="D27" i="108"/>
  <c r="E27" i="108"/>
  <c r="F27" i="108"/>
  <c r="G27" i="108"/>
  <c r="F31" i="108"/>
  <c r="F36" i="108"/>
  <c r="G28" i="108"/>
  <c r="E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D13" i="7"/>
  <c r="B3726" i="106" s="1"/>
  <c r="D3726" i="106" s="1"/>
  <c r="D9" i="7"/>
  <c r="B1767" i="106" s="1"/>
  <c r="D1767" i="106" s="1"/>
  <c r="B5770" i="106"/>
  <c r="D5770" i="106" s="1"/>
  <c r="F131" i="34"/>
  <c r="F128" i="34"/>
  <c r="F127" i="34"/>
  <c r="B5847" i="106"/>
  <c r="D5847" i="106" s="1"/>
  <c r="B5752" i="106"/>
  <c r="D5752" i="106" s="1"/>
  <c r="B5599" i="106"/>
  <c r="D5599" i="106" s="1"/>
  <c r="K274" i="5"/>
  <c r="H173" i="5"/>
  <c r="B5906" i="106" s="1"/>
  <c r="D5906" i="106" s="1"/>
  <c r="D17" i="7"/>
  <c r="B4104" i="106" s="1"/>
  <c r="D4104" i="106" s="1"/>
  <c r="D11" i="7"/>
  <c r="B1768" i="106" s="1"/>
  <c r="D1768" i="106" s="1"/>
  <c r="D15" i="7"/>
  <c r="B1772" i="106" s="1"/>
  <c r="D1772" i="106" s="1"/>
  <c r="D12" i="7" l="1"/>
  <c r="B1769" i="106" s="1"/>
  <c r="D1769" i="106" s="1"/>
  <c r="H6" i="4"/>
  <c r="B2656" i="106" s="1"/>
  <c r="D2656" i="106" s="1"/>
  <c r="F130" i="34"/>
  <c r="F136" i="34"/>
  <c r="I173" i="5"/>
  <c r="B4216" i="106" s="1"/>
  <c r="D4216" i="106" s="1"/>
  <c r="F172" i="5"/>
  <c r="B5644" i="106" s="1"/>
  <c r="D5644" i="106" s="1"/>
  <c r="E109" i="5"/>
  <c r="E4" i="4" s="1"/>
  <c r="B2630" i="106" s="1"/>
  <c r="D2630" i="106" s="1"/>
  <c r="L342" i="29"/>
  <c r="L312" i="29"/>
  <c r="F36" i="34"/>
  <c r="B7235" i="106"/>
  <c r="D7235" i="106" s="1"/>
  <c r="H29" i="118"/>
  <c r="K28" i="118" s="1"/>
  <c r="O27" i="118" s="1"/>
  <c r="O29" i="118" s="1"/>
  <c r="B4268" i="106"/>
  <c r="D4268" i="106" s="1"/>
  <c r="B3669" i="106"/>
  <c r="D3669" i="106" s="1"/>
  <c r="K350" i="29"/>
  <c r="B3621" i="106"/>
  <c r="D3621" i="106" s="1"/>
  <c r="C367" i="29"/>
  <c r="H367" i="29"/>
  <c r="K76" i="4"/>
  <c r="B3586" i="106" s="1"/>
  <c r="D3586" i="106" s="1"/>
  <c r="G210" i="29"/>
  <c r="B1365" i="106" s="1"/>
  <c r="D1365" i="106" s="1"/>
  <c r="E174" i="29"/>
  <c r="B1309" i="106" s="1"/>
  <c r="D1309" i="106" s="1"/>
  <c r="B1274" i="106"/>
  <c r="D1274" i="106" s="1"/>
  <c r="L13" i="11"/>
  <c r="B2060" i="106" s="1"/>
  <c r="D2060" i="106" s="1"/>
  <c r="L5" i="11"/>
  <c r="B2056" i="106" s="1"/>
  <c r="D2056" i="106" s="1"/>
  <c r="K26" i="12"/>
  <c r="B7743" i="106" s="1"/>
  <c r="D7743" i="106" s="1"/>
  <c r="N22" i="3"/>
  <c r="B283" i="106" s="1"/>
  <c r="D283" i="106" s="1"/>
  <c r="D69" i="36"/>
  <c r="F19" i="7"/>
  <c r="B1807" i="106" s="1"/>
  <c r="D1807" i="106" s="1"/>
  <c r="G352" i="29"/>
  <c r="B1329" i="106"/>
  <c r="D1329" i="106" s="1"/>
  <c r="F61" i="34"/>
  <c r="F72" i="34"/>
  <c r="K184" i="29"/>
  <c r="F13" i="4" s="1"/>
  <c r="B2596" i="106" s="1"/>
  <c r="D2596" i="106" s="1"/>
  <c r="E29" i="108"/>
  <c r="G29" i="108"/>
  <c r="I129" i="29"/>
  <c r="B7037" i="106" s="1"/>
  <c r="D7037" i="106" s="1"/>
  <c r="F28" i="108"/>
  <c r="F41" i="108" s="1"/>
  <c r="G43" i="108" s="1"/>
  <c r="E28" i="108"/>
  <c r="F34" i="34"/>
  <c r="F37" i="108"/>
  <c r="G35" i="108"/>
  <c r="E35" i="108"/>
  <c r="G30" i="108"/>
  <c r="B2724" i="106"/>
  <c r="D2724" i="106" s="1"/>
  <c r="F38" i="34"/>
  <c r="F35" i="34"/>
  <c r="H109" i="5"/>
  <c r="B1746" i="106"/>
  <c r="D1746" i="106" s="1"/>
  <c r="G109" i="5"/>
  <c r="B6024" i="106" s="1"/>
  <c r="D6024" i="106" s="1"/>
  <c r="D7" i="7"/>
  <c r="B1763" i="106" s="1"/>
  <c r="D1763" i="106" s="1"/>
  <c r="F111" i="34"/>
  <c r="D5" i="7"/>
  <c r="B1761" i="106" s="1"/>
  <c r="D1761" i="106" s="1"/>
  <c r="D109" i="5"/>
  <c r="F106" i="34"/>
  <c r="C172" i="5"/>
  <c r="B5214" i="106" s="1"/>
  <c r="D5214" i="106" s="1"/>
  <c r="C109" i="5"/>
  <c r="B5121" i="106" s="1"/>
  <c r="D5121" i="106" s="1"/>
  <c r="B5096" i="106"/>
  <c r="D5096" i="106" s="1"/>
  <c r="D4" i="7"/>
  <c r="B1760" i="106" s="1"/>
  <c r="D1760" i="106" s="1"/>
  <c r="D54" i="36"/>
  <c r="D31" i="36"/>
  <c r="D11" i="37"/>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D7254" i="106" l="1"/>
  <c r="D7256" i="106"/>
  <c r="D7251" i="106"/>
  <c r="D7250" i="106"/>
  <c r="L114" i="29"/>
  <c r="N23" i="3"/>
  <c r="B284" i="106" s="1"/>
  <c r="D284" i="106" s="1"/>
  <c r="F65" i="34"/>
  <c r="B3670" i="106"/>
  <c r="D3670" i="106" s="1"/>
  <c r="K352" i="29"/>
  <c r="L16" i="11"/>
  <c r="B2061" i="106" s="1"/>
  <c r="D2061" i="106" s="1"/>
  <c r="B3649" i="106"/>
  <c r="D3649" i="106" s="1"/>
  <c r="G367" i="29"/>
  <c r="B3650" i="106" s="1"/>
  <c r="D3650" i="106" s="1"/>
  <c r="B1317" i="106"/>
  <c r="D1317" i="106" s="1"/>
  <c r="K342" i="29"/>
  <c r="F13" i="34" s="1"/>
  <c r="C114" i="29"/>
  <c r="B757" i="106" s="1"/>
  <c r="D757" i="106" s="1"/>
  <c r="B6025" i="106"/>
  <c r="D6025" i="106" s="1"/>
  <c r="H4" i="4"/>
  <c r="G4" i="4"/>
  <c r="B2603" i="106" s="1"/>
  <c r="D2603" i="106" s="1"/>
  <c r="F275" i="5"/>
  <c r="F6" i="4"/>
  <c r="B2593" i="106" s="1"/>
  <c r="D2593" i="106" s="1"/>
  <c r="B5356" i="106"/>
  <c r="D5356" i="106" s="1"/>
  <c r="D4" i="4"/>
  <c r="B2564" i="106" s="1"/>
  <c r="D2564" i="106" s="1"/>
  <c r="C173" i="5"/>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B5507" i="106"/>
  <c r="D5507" i="106" s="1"/>
  <c r="B7298" i="106"/>
  <c r="B7299" i="106"/>
  <c r="K13" i="4" l="1"/>
  <c r="B3572" i="106" s="1"/>
  <c r="D3572" i="106" s="1"/>
  <c r="B3672" i="106"/>
  <c r="D3672" i="106" s="1"/>
  <c r="K367" i="29"/>
  <c r="B1145" i="106"/>
  <c r="D1145" i="106" s="1"/>
  <c r="G41" i="108"/>
  <c r="G44" i="108" s="1"/>
  <c r="G45" i="108" s="1"/>
  <c r="E41" i="108"/>
  <c r="E44" i="108" s="1"/>
  <c r="E45" i="108" s="1"/>
  <c r="B2655" i="106"/>
  <c r="D2655" i="106" s="1"/>
  <c r="H8" i="4"/>
  <c r="F8" i="4"/>
  <c r="D8" i="14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H10" i="4"/>
  <c r="B4127" i="106" s="1"/>
  <c r="D4127" i="106" s="1"/>
  <c r="B2658" i="106"/>
  <c r="D2658"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<sst xmlns="http://schemas.openxmlformats.org/spreadsheetml/2006/main" count="5450" uniqueCount="2284">
  <si>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</si>
  <si>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</si>
  <si>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</si>
  <si>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</si>
  <si>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</si>
  <si>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</si>
  <si>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</si>
  <si>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</si>
  <si>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</si>
  <si>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</si>
  <si>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</si>
  <si>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</si>
  <si>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</si>
  <si>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</si>
  <si>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</si>
  <si>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</si>
  <si>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</si>
  <si>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</si>
  <si>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</si>
  <si>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</si>
  <si>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</si>
  <si>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</si>
  <si>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</si>
  <si>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</si>
  <si>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</si>
  <si>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</si>
  <si>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</si>
  <si>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</si>
  <si>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</si>
  <si>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</si>
  <si>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</si>
  <si>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</si>
  <si>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</si>
  <si>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</si>
  <si>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</si>
  <si>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</si>
  <si>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</si>
  <si>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</si>
  <si>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</si>
  <si>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</si>
  <si>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</si>
  <si>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</si>
  <si>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</si>
  <si>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</si>
  <si>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</si>
  <si>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</si>
  <si>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</si>
  <si>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</si>
  <si>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</si>
  <si>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</si>
  <si>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</si>
  <si>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</si>
  <si>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</si>
  <si>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</si>
  <si>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</si>
  <si>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</si>
  <si>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</si>
  <si>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</si>
  <si>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</si>
  <si>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</si>
  <si>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</si>
  <si>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</si>
  <si>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</si>
  <si>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</si>
  <si>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</si>
  <si>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</si>
  <si>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</si>
  <si>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</si>
  <si>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</si>
  <si>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</si>
  <si>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</si>
  <si>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</si>
  <si>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</si>
  <si>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</si>
  <si>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</si>
  <si>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</si>
  <si>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</si>
  <si>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</si>
  <si>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</si>
  <si>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</si>
  <si>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</si>
  <si>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</si>
  <si>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</si>
  <si>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</si>
  <si>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</si>
  <si>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</si>
  <si>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</si>
  <si>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</si>
  <si>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</si>
  <si>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</si>
  <si>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</si>
  <si>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</si>
  <si>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</si>
  <si>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</si>
  <si>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</si>
  <si>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</si>
  <si>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</si>
  <si>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</si>
  <si>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</si>
  <si>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</si>
  <si>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</si>
  <si>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</si>
  <si>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</si>
  <si>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</si>
  <si>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</si>
  <si>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</si>
  <si>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</si>
  <si>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</si>
  <si>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</si>
  <si>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</si>
  <si>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</si>
  <si>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</si>
  <si>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</si>
  <si>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</si>
  <si>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</si>
  <si>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</si>
  <si>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</si>
  <si>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</si>
  <si>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</si>
  <si>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</si>
  <si>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</si>
  <si>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</si>
  <si>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</si>
  <si>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</si>
  <si>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</si>
  <si>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</si>
  <si>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</si>
  <si>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</si>
  <si>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</si>
  <si>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</si>
  <si>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</si>
  <si>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</si>
  <si>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</si>
  <si>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</si>
  <si>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</si>
  <si>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</si>
  <si>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</si>
  <si>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</si>
  <si>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</si>
  <si>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</si>
  <si>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</si>
  <si>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</si>
  <si>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</si>
  <si>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</si>
  <si>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</si>
  <si>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</si>
  <si>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</si>
  <si>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</si>
  <si>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</si>
  <si>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</si>
  <si>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</si>
  <si>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</si>
  <si>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</si>
  <si>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</si>
  <si>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</si>
  <si>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</si>
  <si>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</si>
  <si>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</si>
  <si>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</si>
  <si>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</si>
  <si>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</si>
  <si>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</si>
  <si>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</si>
  <si>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</si>
  <si>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</si>
  <si>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</si>
  <si>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</si>
  <si>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</si>
  <si>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</si>
  <si>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</si>
  <si>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</si>
  <si>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</si>
  <si>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</si>
  <si>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</si>
  <si>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</si>
  <si>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</si>
  <si>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</si>
  <si>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</si>
  <si>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</si>
  <si>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</si>
  <si>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</si>
  <si>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</si>
  <si>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</si>
  <si>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</si>
  <si>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</si>
  <si>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</si>
  <si>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</si>
  <si>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</si>
  <si>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</si>
  <si>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</si>
  <si>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</si>
  <si>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</si>
  <si>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</si>
  <si>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</si>
  <si>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</si>
  <si>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</si>
  <si>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</si>
  <si>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</si>
  <si>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</si>
  <si>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</si>
  <si>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</si>
  <si>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</si>
  <si>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</si>
  <si>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</si>
  <si>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</si>
  <si>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</si>
  <si>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</si>
  <si>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</si>
  <si>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</si>
  <si>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</si>
  <si>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</si>
  <si>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</si>
  <si>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</si>
  <si>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</si>
  <si>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</si>
  <si>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</si>
  <si>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</si>
  <si>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</si>
  <si>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</si>
  <si>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</si>
  <si>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</si>
  <si>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</si>
  <si>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</si>
  <si>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</si>
  <si>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</si>
  <si>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</si>
  <si>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</si>
  <si>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</si>
  <si>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</si>
  <si>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</si>
  <si>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</si>
  <si>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</si>
  <si>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</si>
  <si>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</si>
  <si>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</si>
  <si>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</si>
  <si>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</si>
  <si>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</si>
  <si>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</si>
  <si>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</si>
  <si>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</si>
  <si>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</si>
  <si>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</si>
  <si>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</si>
  <si>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</si>
  <si>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</si>
  <si>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</si>
  <si>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</si>
  <si>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</si>
  <si>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</si>
  <si>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</si>
  <si>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</si>
  <si>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</si>
  <si>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</si>
  <si>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</si>
  <si>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</si>
  <si>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</si>
  <si>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</si>
  <si>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</si>
  <si>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</si>
  <si>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</si>
  <si>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</si>
  <si>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</si>
  <si>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</si>
  <si>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</si>
  <si>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</si>
  <si>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</si>
  <si>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</si>
  <si>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</si>
  <si>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</si>
  <si>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</si>
  <si>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</si>
  <si>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</si>
  <si>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</si>
  <si>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</si>
  <si>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</si>
  <si>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</si>
  <si>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</si>
  <si>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</si>
  <si>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</si>
  <si>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</si>
  <si>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</si>
  <si>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</si>
  <si>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</si>
  <si>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</si>
  <si>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</si>
  <si>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</si>
  <si>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</si>
  <si>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</si>
  <si>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</si>
  <si>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</si>
  <si>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</si>
  <si>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</si>
  <si>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</si>
  <si>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</si>
  <si>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</si>
  <si>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</si>
  <si>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</si>
  <si>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</si>
  <si>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</si>
  <si>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</si>
  <si>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</si>
  <si>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</si>
  <si>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</si>
  <si>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</si>
  <si>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</si>
  <si>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</si>
  <si>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</si>
  <si>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</si>
  <si>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</si>
  <si>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</si>
  <si>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</si>
  <si>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</si>
  <si>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</si>
  <si>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</si>
  <si>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</si>
  <si>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</si>
  <si>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</si>
  <si>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</si>
  <si>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</si>
  <si>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</si>
  <si>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</si>
  <si>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</si>
  <si>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</si>
  <si>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</si>
  <si>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</si>
  <si>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</si>
  <si>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</si>
  <si>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</si>
  <si>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</si>
  <si>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</si>
  <si>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</si>
  <si>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</si>
  <si>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</si>
  <si>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</si>
  <si>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</si>
  <si>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</si>
  <si>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</si>
  <si>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</si>
  <si>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</si>
  <si>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</si>
  <si>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</si>
  <si>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</si>
  <si>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</si>
  <si>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</si>
  <si>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</si>
  <si>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</si>
  <si>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</si>
  <si>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</si>
  <si>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</si>
  <si>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</si>
  <si>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</si>
  <si>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</si>
  <si>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</si>
  <si>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</si>
  <si>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</si>
  <si>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</si>
  <si>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</si>
  <si>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</si>
  <si>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</si>
  <si>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</si>
  <si>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</si>
  <si>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</si>
  <si>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</si>
  <si>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</si>
  <si>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</si>
  <si>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</si>
  <si>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</si>
  <si>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</si>
  <si>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</si>
  <si>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</si>
  <si>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</si>
  <si>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</si>
  <si>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</si>
  <si>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</si>
  <si>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</si>
  <si>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</si>
  <si>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</si>
  <si>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</si>
  <si>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</si>
  <si>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</si>
  <si>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</si>
  <si>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</si>
  <si>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</si>
  <si>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</si>
  <si>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</si>
  <si>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</si>
  <si>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</si>
  <si>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</si>
  <si>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</si>
  <si>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</si>
  <si>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</si>
  <si>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</si>
  <si>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</si>
  <si>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</si>
  <si>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</si>
  <si>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</si>
  <si>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</si>
  <si>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</si>
  <si>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</si>
  <si>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</si>
  <si>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</si>
  <si>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</si>
  <si>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</si>
  <si>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</si>
  <si>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</si>
  <si>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</si>
  <si>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</si>
  <si>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</si>
  <si>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</si>
  <si>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</si>
  <si>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</si>
  <si>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</si>
  <si>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</si>
  <si>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</si>
  <si>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</si>
  <si>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</si>
  <si>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</si>
  <si>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</si>
  <si>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</si>
  <si>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</si>
  <si>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</si>
  <si>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</si>
  <si>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</si>
  <si>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</si>
  <si>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</si>
  <si>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</si>
  <si>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</si>
  <si>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</si>
  <si>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</si>
  <si>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</si>
  <si>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</si>
  <si>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</si>
  <si>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</si>
  <si>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</si>
  <si>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</si>
  <si>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</si>
  <si>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</si>
  <si>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</si>
  <si>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</si>
  <si>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</si>
  <si>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</si>
  <si>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</si>
  <si>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</si>
  <si>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</si>
  <si>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</si>
  <si>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</si>
  <si>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</si>
  <si>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</si>
  <si>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</si>
  <si>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</si>
  <si>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</si>
  <si>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</si>
  <si>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</si>
  <si>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</si>
  <si>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</si>
  <si>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</si>
  <si>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</si>
  <si>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</si>
  <si>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</si>
  <si>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</si>
  <si>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</si>
  <si>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</si>
  <si>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</si>
  <si>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</si>
  <si>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</si>
  <si>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</si>
  <si>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</si>
  <si>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</si>
  <si>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</si>
  <si>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</si>
  <si>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</si>
  <si>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</si>
  <si>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</si>
  <si>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</si>
  <si>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</si>
  <si>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</si>
  <si>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</si>
  <si>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</si>
  <si>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</si>
  <si>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</si>
  <si>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</si>
  <si>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</si>
  <si>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</si>
  <si>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</si>
  <si>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</si>
  <si>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</si>
  <si>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</si>
  <si>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</si>
  <si>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</si>
  <si>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</si>
  <si>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</si>
  <si>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</si>
  <si>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</si>
  <si>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</si>
  <si>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</si>
  <si>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</si>
  <si>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</si>
  <si>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</si>
  <si>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</si>
  <si>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</si>
  <si>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</si>
  <si>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</si>
  <si>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</si>
  <si>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</si>
  <si>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</si>
  <si>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</si>
  <si>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</si>
  <si>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</si>
  <si>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</si>
  <si>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</si>
  <si>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</si>
  <si>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</si>
  <si>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</si>
  <si>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</si>
  <si>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</si>
  <si>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</si>
  <si>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</si>
  <si>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</si>
  <si>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</si>
  <si>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</si>
  <si>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</si>
  <si>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</si>
  <si>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</si>
  <si>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</si>
  <si>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</si>
  <si>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</si>
  <si>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</si>
  <si>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</si>
  <si>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</si>
  <si>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</si>
  <si>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</si>
  <si>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</si>
  <si>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</si>
  <si>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</si>
  <si>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</si>
  <si>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</si>
  <si>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</si>
  <si>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</si>
  <si>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</si>
  <si>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</si>
  <si>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</si>
  <si>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</si>
  <si>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</si>
  <si>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</si>
  <si>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</si>
  <si>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</si>
  <si>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</si>
  <si>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</si>
  <si>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</si>
  <si>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</si>
  <si>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</si>
  <si>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</si>
  <si>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</si>
  <si>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</si>
  <si>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</si>
  <si>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</si>
  <si>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</si>
  <si>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</si>
  <si>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</si>
  <si>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</si>
  <si>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</si>
  <si>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</si>
  <si>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</si>
  <si>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</si>
  <si>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</si>
  <si>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</si>
  <si>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</si>
  <si>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</si>
  <si>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</si>
  <si>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</si>
  <si>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</si>
  <si>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</si>
  <si>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</si>
  <si>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</si>
  <si>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</si>
  <si>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</si>
  <si>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</si>
  <si>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</si>
  <si>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</si>
  <si>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</si>
  <si>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</si>
  <si>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</si>
  <si>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</si>
  <si>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</si>
  <si>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</si>
  <si>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</si>
  <si>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</si>
  <si>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</si>
  <si>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</si>
  <si>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</si>
  <si>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</si>
  <si>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</si>
  <si>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</si>
  <si>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</si>
  <si>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</si>
  <si>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</si>
  <si>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</si>
  <si>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</si>
  <si>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</si>
  <si>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</si>
  <si>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</si>
  <si>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</si>
  <si>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</si>
  <si>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</si>
  <si>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</si>
  <si>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</si>
  <si>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</si>
  <si>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</si>
  <si>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</si>
  <si>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</si>
  <si>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</si>
  <si>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</si>
  <si>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</si>
  <si>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</si>
  <si>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</si>
  <si>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</si>
  <si>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</si>
  <si>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</si>
  <si>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</si>
  <si>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</si>
  <si>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</si>
  <si>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</si>
  <si>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</si>
  <si>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</si>
  <si>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</si>
  <si>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</si>
  <si>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</si>
  <si>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</si>
  <si>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</si>
  <si>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</si>
  <si>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</si>
  <si>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</si>
  <si>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</si>
  <si>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</si>
  <si>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</si>
  <si>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</si>
  <si>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</si>
  <si>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</si>
  <si>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</si>
  <si>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</si>
  <si>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</si>
  <si>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</si>
  <si>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</si>
  <si>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</si>
  <si>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</si>
  <si>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</si>
  <si>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</si>
  <si>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</si>
  <si>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</si>
  <si>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</si>
  <si>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</si>
  <si>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</si>
  <si>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</si>
  <si>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</si>
  <si>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</si>
  <si>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</si>
  <si>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</si>
  <si>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</si>
  <si>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</si>
  <si>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</si>
  <si>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</si>
  <si>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</si>
  <si>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</si>
  <si>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</si>
  <si>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</si>
  <si>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</si>
  <si>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</si>
  <si>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</si>
  <si>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</si>
  <si>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</si>
  <si>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</si>
  <si>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</si>
  <si>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</si>
  <si>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</si>
  <si>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</si>
  <si>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</si>
  <si>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</si>
  <si>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</si>
  <si>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</si>
  <si>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</si>
  <si>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</si>
  <si>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</si>
  <si>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</si>
  <si>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</si>
  <si>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</si>
  <si>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</si>
  <si>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</si>
  <si>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</si>
  <si>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</si>
  <si>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</si>
  <si>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</si>
  <si>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</si>
  <si>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</si>
  <si>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</si>
  <si>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</si>
  <si>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</si>
  <si>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</si>
  <si>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</si>
  <si>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</si>
  <si>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</si>
  <si>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</si>
  <si>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</si>
  <si>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</si>
  <si>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</si>
  <si>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</si>
  <si>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</si>
  <si>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</si>
  <si>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</si>
  <si>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</si>
  <si>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</si>
  <si>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</si>
  <si>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</si>
  <si>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</si>
  <si>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</si>
  <si>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</si>
  <si>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</si>
  <si>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</si>
  <si>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</si>
  <si>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</si>
  <si>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</si>
  <si>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</si>
  <si>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</si>
  <si>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</si>
  <si>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</si>
  <si>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</si>
  <si>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</si>
  <si>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</si>
  <si>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</si>
  <si>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</si>
  <si>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</si>
  <si>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</si>
  <si>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</si>
  <si>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</si>
  <si>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</si>
  <si>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</si>
  <si>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</si>
  <si>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</si>
  <si>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</si>
  <si>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</si>
  <si>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</si>
  <si>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</si>
  <si>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</si>
  <si>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</si>
  <si>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</si>
  <si>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</si>
  <si>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</si>
  <si>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</si>
  <si>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</si>
  <si>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</si>
  <si>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</si>
  <si>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</si>
  <si>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</si>
  <si>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</si>
  <si>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</si>
  <si>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</si>
  <si>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</si>
  <si>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</si>
  <si>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</si>
  <si>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</si>
  <si>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</si>
  <si>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</si>
  <si>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</si>
  <si>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</si>
  <si>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</si>
  <si>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</si>
  <si>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</si>
  <si>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</si>
  <si>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</si>
  <si>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</si>
  <si>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</si>
  <si>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</si>
  <si>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</si>
  <si>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</si>
  <si>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</si>
  <si>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</si>
  <si>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</si>
  <si>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</si>
  <si>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</si>
  <si>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</si>
  <si>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</si>
  <si>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</si>
  <si>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</si>
  <si>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</si>
  <si>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</si>
  <si>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</si>
  <si>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</si>
  <si>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</si>
  <si>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</si>
  <si>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</si>
  <si>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</si>
  <si>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</si>
  <si>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</si>
  <si>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</si>
  <si>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</si>
  <si>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</si>
  <si>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</si>
  <si>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</si>
  <si>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</si>
  <si>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</si>
  <si>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</si>
  <si>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</si>
  <si>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</si>
  <si>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</si>
  <si>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</si>
  <si>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</si>
  <si>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</si>
  <si>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</si>
  <si>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</si>
  <si>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</si>
  <si>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</si>
  <si>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</si>
  <si>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</si>
  <si>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</si>
  <si>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</si>
  <si>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</si>
  <si>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</si>
  <si>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</si>
  <si>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</si>
  <si>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</si>
  <si>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</si>
  <si>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</si>
  <si>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</si>
  <si>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</si>
  <si>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</si>
  <si>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</si>
  <si>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</si>
  <si>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</si>
  <si>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</si>
  <si>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</si>
  <si>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</si>
  <si>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</si>
  <si>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</si>
  <si>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</si>
  <si>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</si>
  <si>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</si>
  <si>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</si>
  <si>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</si>
  <si>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</si>
  <si>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</si>
  <si>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</si>
  <si>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</si>
  <si>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</si>
  <si>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</si>
  <si>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</si>
  <si>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</si>
  <si>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</si>
  <si>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</si>
  <si>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</si>
  <si>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</si>
  <si>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</si>
  <si>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</si>
  <si>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</si>
  <si>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</si>
  <si>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</si>
  <si>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</si>
  <si>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</si>
  <si>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</si>
  <si>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</si>
  <si>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</si>
  <si>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</si>
  <si>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</si>
  <si>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</si>
  <si>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</si>
  <si>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</si>
  <si>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</si>
  <si>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</si>
  <si>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</si>
  <si>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</si>
  <si>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</si>
  <si>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</si>
  <si>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</si>
  <si>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</si>
  <si>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</si>
  <si>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</si>
  <si>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</si>
  <si>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</si>
  <si>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</si>
  <si>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</si>
  <si>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</si>
  <si>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</si>
  <si>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</si>
  <si>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</si>
  <si>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</si>
  <si>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</si>
  <si>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</si>
  <si>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</si>
  <si>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</si>
  <si>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</si>
  <si>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</si>
  <si>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</si>
  <si>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</si>
  <si>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</si>
  <si>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</si>
  <si>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</si>
  <si>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</si>
  <si>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</si>
  <si>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</si>
  <si>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</si>
  <si>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</si>
  <si>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</si>
  <si>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</si>
  <si>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</si>
  <si>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</si>
  <si>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</si>
  <si>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</si>
  <si>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</si>
  <si>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</si>
  <si>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</si>
  <si>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</si>
  <si>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</si>
  <si>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</si>
  <si>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</si>
  <si>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</si>
  <si>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</si>
  <si>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</si>
  <si>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</si>
  <si>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</si>
  <si>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</si>
  <si>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</si>
  <si>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</si>
  <si>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</si>
  <si>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</si>
  <si>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</si>
  <si>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</si>
  <si>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</si>
  <si>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</si>
  <si>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</si>
  <si>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</si>
  <si>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</si>
  <si>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</si>
  <si>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</si>
  <si>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</si>
  <si>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</si>
  <si>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</si>
  <si>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</si>
  <si>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</si>
  <si>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</si>
  <si>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</si>
  <si>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</si>
  <si>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</si>
  <si>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</si>
  <si>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</si>
  <si>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</si>
  <si>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</si>
  <si>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</si>
  <si>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</si>
  <si>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</si>
  <si>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</si>
  <si>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</si>
  <si>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</si>
  <si>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</si>
  <si>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</si>
  <si>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</si>
  <si>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</si>
  <si>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</si>
  <si>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</si>
  <si>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</si>
  <si>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</si>
  <si>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</si>
  <si>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</si>
  <si>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</si>
  <si>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</si>
  <si>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</si>
  <si>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</si>
  <si>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</si>
  <si>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</si>
  <si>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</si>
  <si>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</si>
  <si>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</si>
  <si>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</si>
  <si>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</si>
  <si>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</si>
  <si>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</si>
  <si>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</si>
  <si>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</si>
  <si>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</si>
  <si>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</si>
  <si>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</si>
  <si>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</si>
  <si>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</si>
  <si>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</si>
  <si>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</si>
  <si>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</si>
  <si>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</si>
  <si>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</si>
  <si>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</si>
  <si>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</si>
  <si>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</si>
  <si>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</si>
  <si>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</si>
  <si>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</si>
  <si>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</si>
  <si>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</si>
  <si>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</si>
  <si>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</si>
  <si>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</si>
  <si>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</si>
  <si>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</si>
  <si>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</si>
  <si>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</si>
  <si>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</si>
  <si>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</si>
  <si>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</si>
  <si>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</si>
  <si>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</si>
  <si>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</si>
  <si>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</si>
  <si>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</si>
  <si>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</si>
  <si>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</si>
  <si>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</si>
  <si>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</si>
  <si>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</si>
  <si>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</si>
  <si>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</si>
  <si>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</si>
  <si>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</si>
  <si>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</si>
  <si>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</si>
  <si>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</si>
  <si>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</si>
  <si>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</si>
  <si>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</si>
  <si>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</si>
  <si>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</si>
  <si>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</si>
  <si>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</si>
  <si>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</si>
  <si>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</si>
  <si>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</si>
  <si>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</si>
  <si>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</si>
  <si>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</si>
  <si>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</si>
  <si>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</si>
  <si>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</si>
  <si>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</si>
  <si>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</si>
  <si>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</si>
  <si>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</si>
  <si>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</si>
  <si>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</si>
  <si>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</si>
  <si>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</si>
  <si>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</si>
  <si>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</si>
  <si>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</si>
  <si>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</si>
  <si>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</si>
  <si>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</si>
  <si>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</si>
  <si>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</si>
  <si>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</si>
  <si>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</si>
  <si>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</si>
  <si>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</si>
  <si>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</si>
  <si>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</si>
  <si>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</si>
  <si>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</si>
  <si>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</si>
  <si>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</si>
  <si>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</si>
  <si>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</si>
  <si>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</si>
  <si>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</si>
  <si>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</si>
  <si>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</si>
  <si>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</si>
  <si>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</si>
  <si>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</si>
  <si>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</si>
  <si>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</si>
  <si>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</si>
  <si>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</si>
  <si>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</si>
  <si>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</si>
  <si>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</si>
  <si>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</si>
  <si>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</si>
  <si>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</si>
  <si>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</si>
  <si>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</si>
  <si>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</si>
  <si>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</si>
  <si>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</si>
  <si>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</si>
  <si>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</si>
  <si>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</si>
  <si>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</si>
  <si>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</si>
  <si>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</si>
  <si>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</si>
  <si>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</si>
  <si>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</si>
  <si>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</si>
  <si>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</si>
  <si>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</si>
  <si>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</si>
  <si>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</si>
  <si>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</si>
  <si>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</si>
  <si>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</si>
  <si>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</si>
  <si>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</si>
  <si>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</si>
  <si>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</si>
  <si>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</si>
  <si>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</si>
  <si>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</si>
  <si>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</si>
  <si>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</si>
  <si>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</si>
  <si>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</si>
  <si>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</si>
  <si>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</si>
  <si>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</si>
  <si>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</si>
  <si>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</si>
  <si>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</si>
  <si>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</si>
  <si>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</si>
  <si>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</si>
  <si>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</si>
  <si>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</si>
  <si>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</si>
  <si>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</si>
  <si>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</si>
  <si>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</si>
  <si>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</si>
  <si>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</si>
  <si>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</si>
  <si>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</si>
  <si>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</si>
  <si>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</si>
  <si>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</si>
  <si>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</si>
  <si>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</si>
  <si>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</si>
  <si>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</si>
  <si>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</si>
  <si>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</si>
  <si>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</si>
  <si>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</si>
  <si>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</si>
  <si>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</si>
  <si>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</si>
  <si>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</si>
  <si>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</si>
  <si>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</si>
  <si>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</si>
  <si>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</si>
  <si>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</si>
  <si>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</si>
  <si>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</si>
  <si>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</si>
  <si>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</si>
  <si>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</si>
  <si>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</si>
  <si>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</si>
  <si>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</si>
  <si>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</si>
  <si>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</si>
  <si>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</si>
  <si>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</si>
  <si>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</si>
  <si>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</si>
  <si>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</si>
  <si>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</si>
  <si>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</si>
  <si>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</si>
  <si>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</si>
  <si>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</si>
  <si>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</si>
  <si>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</si>
  <si>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</si>
  <si>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</si>
  <si>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</si>
  <si>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</si>
  <si>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</si>
  <si>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</si>
  <si>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</si>
  <si>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</si>
  <si>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</si>
  <si>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</si>
  <si>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</si>
  <si>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</si>
  <si>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</si>
  <si>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</si>
  <si>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</si>
  <si>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</si>
  <si>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</si>
  <si>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</si>
  <si>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</si>
  <si>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</si>
  <si>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</si>
  <si>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</si>
  <si>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</si>
  <si>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</si>
  <si>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</si>
  <si>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</si>
  <si>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</si>
  <si>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</si>
  <si>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</si>
  <si>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</si>
  <si>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</si>
  <si>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</si>
  <si>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</si>
  <si>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</si>
  <si>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</si>
  <si>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</si>
  <si>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</si>
  <si>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</si>
  <si>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</si>
  <si>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</si>
  <si>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</si>
  <si>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</si>
  <si>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</si>
  <si>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</si>
  <si>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</si>
  <si>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</si>
  <si>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</si>
  <si>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</si>
  <si>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</si>
  <si>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</si>
  <si>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</si>
  <si>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</si>
  <si>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</si>
  <si>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</si>
  <si>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</si>
  <si>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</si>
  <si>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</si>
  <si>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</si>
  <si>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</si>
  <si>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</si>
  <si>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</si>
  <si>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</si>
  <si>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</si>
  <si>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</si>
  <si>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</si>
  <si>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</si>
  <si>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</si>
  <si>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</si>
  <si>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</si>
  <si>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</si>
  <si>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</si>
  <si>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</si>
  <si>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</si>
  <si>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</si>
  <si>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</si>
  <si>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</si>
  <si>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</si>
  <si>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</si>
  <si>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</si>
  <si>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</si>
  <si>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</si>
  <si>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</si>
  <si>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</si>
  <si>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</si>
  <si>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</si>
  <si>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</si>
  <si>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</si>
  <si>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</si>
  <si>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</si>
  <si>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</si>
  <si>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</si>
  <si>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</si>
  <si>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</si>
  <si>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</si>
  <si>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</si>
  <si>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</si>
  <si>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</si>
  <si>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</si>
  <si>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</si>
  <si>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</si>
  <si>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</si>
  <si>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</si>
  <si>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</si>
  <si>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</si>
  <si>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</si>
  <si>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</si>
  <si>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</si>
  <si>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</si>
  <si>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</si>
  <si>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</si>
  <si>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</si>
  <si>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</si>
  <si>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</si>
  <si>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</si>
  <si>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</si>
  <si>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</si>
  <si>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</si>
  <si>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</si>
  <si>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</si>
  <si>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</si>
  <si>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</si>
  <si>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</si>
  <si>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</si>
  <si>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</si>
  <si>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</si>
  <si>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</si>
  <si>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</si>
  <si>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</si>
  <si>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</si>
  <si>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</si>
  <si>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</si>
  <si>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</si>
  <si>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</si>
  <si>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</si>
  <si>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</si>
  <si>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</si>
  <si>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</si>
  <si>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</si>
  <si>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</si>
  <si>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</si>
  <si>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</si>
  <si>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</si>
  <si>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</si>
  <si>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</si>
  <si>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</si>
  <si>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</si>
  <si>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</si>
  <si>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</si>
  <si>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</si>
  <si>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</si>
  <si>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</si>
  <si>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</si>
  <si>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</si>
  <si>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</si>
  <si>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</si>
  <si>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</si>
  <si>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</si>
  <si>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</si>
  <si>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</si>
  <si>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</si>
  <si>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</si>
  <si>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</si>
  <si>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</si>
  <si>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</si>
  <si>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</si>
  <si>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</si>
  <si>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</si>
  <si>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</si>
  <si>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</si>
  <si>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</si>
  <si>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</si>
  <si>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</si>
  <si>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</si>
  <si>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</si>
  <si>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</si>
  <si>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</si>
  <si>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</si>
  <si>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</si>
  <si>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</si>
  <si>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</si>
  <si>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</si>
  <si>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</si>
  <si>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</si>
  <si>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</si>
  <si>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</si>
  <si>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</si>
  <si>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</si>
  <si>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</si>
  <si>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</si>
  <si>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</si>
  <si>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</si>
  <si>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</si>
  <si>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</si>
  <si>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</si>
  <si>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</si>
  <si>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</si>
  <si>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</si>
  <si>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</si>
  <si>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</si>
  <si>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</si>
  <si>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</si>
  <si>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</si>
  <si>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</si>
  <si>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</si>
  <si>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</si>
  <si>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</si>
  <si>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</si>
  <si>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</si>
  <si>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</si>
  <si>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</si>
  <si>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</si>
  <si>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</si>
  <si>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</si>
  <si>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</si>
  <si>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</si>
  <si>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</si>
  <si>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</si>
  <si>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</si>
  <si>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</si>
  <si>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</si>
  <si>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</si>
  <si>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</si>
  <si>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</si>
  <si>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</si>
  <si>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</si>
  <si>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</si>
  <si>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</si>
  <si>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</si>
  <si>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</si>
  <si>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</si>
  <si>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</si>
  <si>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</si>
  <si>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</si>
  <si>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</si>
  <si>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</si>
  <si>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</si>
  <si>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</si>
  <si>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</si>
  <si>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</si>
  <si>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</si>
  <si>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</si>
  <si>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</si>
  <si>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</si>
  <si>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</si>
  <si>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</si>
  <si>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</si>
  <si>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</si>
  <si>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</si>
  <si>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</si>
  <si>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</si>
  <si>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</si>
  <si>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</si>
  <si>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</si>
  <si>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</si>
  <si>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</si>
  <si>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</si>
  <si>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</si>
  <si>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</si>
  <si>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</si>
  <si>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</si>
  <si>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</si>
  <si>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</si>
  <si>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</si>
  <si>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</si>
  <si>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</si>
  <si>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</si>
  <si>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</si>
  <si>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</si>
  <si>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</si>
  <si>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</si>
  <si>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</si>
  <si>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</si>
  <si>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</si>
  <si>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</si>
  <si>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</si>
  <si>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</si>
  <si>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</si>
  <si>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</si>
  <si>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</si>
  <si>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</si>
  <si>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</si>
  <si>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</si>
  <si>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</si>
  <si>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</si>
  <si>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</si>
  <si>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</si>
  <si>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</si>
  <si>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</si>
  <si>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</si>
  <si>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</si>
  <si>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</si>
  <si>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</si>
  <si>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</si>
  <si>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</si>
  <si>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</si>
  <si>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</si>
  <si>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</si>
  <si>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</si>
  <si>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</si>
  <si>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</si>
  <si>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</si>
  <si>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</si>
  <si>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</si>
  <si>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</si>
  <si>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</si>
  <si>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</si>
  <si>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</si>
  <si>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</si>
  <si>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</si>
  <si>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</si>
  <si>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</si>
  <si>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</si>
  <si>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</si>
  <si>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</si>
  <si>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</si>
  <si>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</si>
  <si>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</si>
  <si>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</si>
  <si>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</si>
  <si>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</si>
  <si>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</si>
  <si>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</si>
  <si>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</si>
  <si>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</si>
  <si>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</si>
  <si>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</si>
  <si>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</si>
  <si>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</si>
  <si>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</si>
  <si>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</si>
  <si>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</si>
  <si>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</si>
  <si>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</si>
  <si>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</si>
  <si>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</si>
  <si>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</si>
  <si>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</si>
  <si>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</si>
  <si>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</si>
  <si>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</si>
  <si>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</si>
  <si>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</si>
  <si>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</si>
  <si>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</si>
  <si>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</si>
  <si>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</si>
  <si>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</si>
  <si>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</si>
  <si>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</si>
  <si>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</si>
  <si>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</si>
  <si>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</si>
  <si>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</si>
  <si>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</si>
  <si>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</si>
  <si>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</si>
  <si>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</si>
  <si>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</si>
  <si>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</si>
  <si>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</si>
  <si>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</si>
  <si>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</si>
  <si>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</si>
  <si>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</si>
  <si>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</si>
  <si>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</si>
  <si>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</si>
  <si>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</si>
  <si>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</si>
  <si>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</si>
  <si>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</si>
  <si>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</si>
  <si>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</si>
  <si>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</si>
  <si>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</si>
  <si>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</si>
  <si>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</si>
  <si>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</si>
  <si>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</si>
  <si>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</si>
  <si>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</si>
  <si>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</si>
  <si>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</si>
  <si>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</si>
  <si>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</si>
  <si>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</si>
  <si>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</si>
  <si>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</si>
  <si>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</si>
  <si>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</si>
  <si>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</si>
  <si>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</si>
  <si>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</si>
  <si>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</si>
  <si>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</si>
  <si>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</si>
  <si>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</si>
  <si>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</si>
  <si>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</si>
  <si>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</si>
  <si>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</si>
  <si>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</si>
  <si>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</si>
  <si>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</si>
  <si>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</si>
  <si>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</si>
  <si>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</si>
  <si>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</si>
  <si>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</si>
  <si>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</si>
  <si>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</si>
  <si>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</si>
  <si>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</si>
  <si>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</si>
  <si>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</si>
  <si>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</si>
  <si>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</si>
  <si>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</si>
  <si>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</si>
  <si>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</si>
  <si>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</si>
  <si>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</si>
  <si>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</si>
  <si>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</si>
  <si>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</si>
  <si>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</si>
  <si>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</si>
  <si>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</si>
  <si>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</si>
  <si>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</si>
  <si>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</si>
  <si>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</si>
  <si>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</si>
  <si>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</si>
  <si>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</si>
  <si>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</si>
  <si>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</si>
  <si>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</si>
  <si>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</si>
  <si>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</si>
  <si>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</si>
  <si>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</si>
  <si>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</si>
  <si>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</si>
  <si>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</si>
  <si>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</si>
  <si>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</si>
  <si>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</si>
  <si>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</si>
  <si>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</si>
  <si>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</si>
  <si>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</si>
  <si>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</si>
  <si>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</si>
  <si>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</si>
  <si>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</si>
  <si>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</si>
  <si>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</si>
  <si>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</si>
  <si>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</si>
  <si>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</si>
  <si>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</si>
  <si>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</si>
  <si>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</si>
  <si>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</si>
  <si>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</si>
  <si>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</si>
  <si>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</si>
  <si>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</si>
  <si>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</si>
  <si>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</si>
  <si>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</si>
  <si>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</si>
  <si>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</si>
  <si>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</si>
  <si>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</si>
  <si>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</si>
  <si>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</si>
  <si>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</si>
  <si>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</si>
  <si>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</si>
  <si>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</si>
  <si>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</si>
  <si>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</si>
  <si>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</si>
  <si>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</si>
  <si>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</si>
  <si>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</si>
  <si>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</si>
  <si>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</si>
  <si>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</si>
  <si>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</si>
  <si>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</si>
  <si>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</si>
  <si>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</si>
  <si>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</si>
  <si>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</si>
  <si>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</si>
  <si>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</si>
  <si>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</si>
  <si>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</si>
  <si>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</si>
  <si>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</si>
  <si>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</si>
  <si>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</si>
  <si>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</si>
  <si>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</si>
  <si>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</si>
  <si>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</si>
  <si>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</si>
  <si>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</si>
  <si>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</si>
  <si>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</si>
  <si>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</si>
  <si>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</si>
  <si>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</si>
  <si>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</si>
  <si>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</si>
  <si>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</si>
  <si>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</si>
  <si>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</si>
  <si>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</si>
  <si>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</si>
  <si>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</si>
  <si>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</si>
  <si>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</si>
  <si>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</si>
  <si>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</si>
  <si>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</si>
  <si>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</si>
  <si>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</si>
  <si>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</si>
  <si>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</si>
  <si>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</si>
  <si>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</si>
  <si>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</si>
  <si>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</si>
  <si>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</si>
  <si>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</si>
  <si>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</si>
  <si>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</si>
  <si>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</si>
  <si>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</si>
  <si>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</si>
  <si>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</si>
  <si>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</si>
  <si>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</si>
  <si>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</si>
  <si>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</si>
  <si>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</si>
  <si>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</si>
  <si>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</si>
  <si>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</si>
  <si>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</si>
  <si>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</si>
  <si>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</si>
  <si>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</si>
  <si>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</si>
  <si>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</si>
  <si>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</si>
  <si>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</si>
  <si>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</si>
  <si>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</si>
  <si>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</si>
  <si>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</si>
  <si>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</si>
  <si>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</si>
  <si>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</si>
  <si>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</si>
  <si>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</si>
  <si>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</si>
  <si>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</si>
  <si>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</si>
  <si>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</si>
  <si>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</si>
  <si>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</si>
  <si>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</si>
  <si>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</si>
  <si>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</si>
  <si>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</si>
  <si>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</si>
  <si>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</si>
  <si>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</si>
  <si>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</si>
  <si>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</si>
  <si>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</si>
  <si>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</si>
  <si>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</si>
  <si>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</si>
  <si>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</si>
  <si>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</si>
  <si>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</si>
  <si>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</si>
  <si>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</si>
  <si>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</si>
  <si>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</si>
  <si>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</si>
  <si>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</si>
  <si>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</si>
  <si>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</si>
  <si>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</si>
  <si>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</si>
  <si>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</si>
  <si>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</si>
  <si>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</si>
  <si>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</si>
  <si>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</si>
  <si>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</si>
  <si>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</si>
  <si>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</si>
  <si>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</si>
  <si>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</si>
  <si>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</si>
  <si>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</si>
  <si>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</si>
  <si>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</si>
  <si>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</si>
  <si>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</si>
  <si>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</si>
  <si>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</si>
  <si>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</si>
  <si>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</si>
  <si>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</si>
  <si>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</si>
  <si>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</si>
  <si>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</si>
  <si>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</si>
  <si>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</si>
  <si>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</si>
  <si>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</si>
  <si>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</si>
  <si>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</si>
  <si>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</si>
  <si>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</si>
  <si>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</si>
  <si>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</si>
  <si>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</si>
  <si>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</si>
  <si>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</si>
  <si>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</si>
  <si>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</si>
  <si>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</si>
  <si>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</si>
  <si>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</si>
  <si>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</si>
  <si>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</si>
  <si>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</si>
  <si>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</si>
  <si>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</si>
  <si>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</si>
  <si>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</si>
  <si>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</si>
  <si>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</si>
  <si>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</si>
  <si>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</si>
  <si>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</si>
  <si>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</si>
  <si>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</si>
  <si>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</si>
  <si>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</si>
  <si>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</si>
  <si>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</si>
  <si>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</si>
  <si>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</si>
  <si>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</si>
  <si>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</si>
  <si>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</si>
  <si>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</si>
  <si>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</si>
  <si>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</si>
  <si>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</si>
  <si>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</si>
  <si>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</si>
  <si>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</si>
  <si>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</si>
  <si>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</si>
  <si>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</si>
  <si>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</si>
  <si>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</si>
  <si>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</si>
  <si>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</si>
  <si>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</si>
  <si>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</si>
  <si>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</si>
  <si>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</si>
  <si>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</si>
  <si>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</si>
  <si>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</si>
  <si>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</si>
  <si>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</si>
  <si>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</si>
  <si>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</si>
  <si>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</si>
  <si>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</si>
  <si>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</si>
  <si>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</si>
  <si>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</si>
  <si>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</si>
  <si>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</si>
  <si>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</si>
  <si>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</si>
  <si>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</si>
  <si>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</si>
  <si>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</si>
  <si>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</si>
  <si>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</si>
  <si>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</si>
  <si>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</si>
  <si>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</si>
  <si>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</si>
  <si>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</si>
  <si>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</si>
  <si>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</si>
  <si>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</si>
  <si>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</si>
  <si>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</si>
  <si>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</si>
  <si>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</si>
  <si>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</si>
  <si>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</si>
  <si>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</si>
  <si>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</si>
  <si>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</si>
  <si>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</si>
  <si>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</si>
  <si>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</si>
  <si>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</si>
  <si>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</si>
  <si>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</si>
  <si>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</si>
  <si>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</si>
  <si>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</si>
  <si>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</si>
  <si>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</si>
  <si>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</si>
  <si>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</si>
  <si>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</si>
  <si>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</si>
  <si>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</si>
  <si>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</si>
  <si>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</si>
  <si>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</si>
  <si>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</si>
  <si>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</si>
  <si>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</si>
  <si>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</si>
  <si>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</si>
  <si>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</si>
  <si>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</si>
  <si>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</si>
  <si>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</si>
  <si>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</si>
  <si>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</si>
  <si>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</si>
  <si>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</si>
  <si>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</si>
  <si>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</si>
  <si>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</si>
  <si>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</si>
  <si>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</si>
  <si>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</si>
  <si>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</si>
  <si>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</si>
  <si>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</si>
  <si>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</si>
  <si>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</si>
  <si>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</si>
  <si>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</si>
  <si>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</si>
  <si>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</si>
  <si>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</si>
  <si>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</si>
  <si>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</si>
  <si>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</si>
  <si>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</si>
  <si>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</si>
  <si>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</si>
  <si>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</si>
  <si>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</si>
  <si>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</si>
  <si>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</si>
  <si>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</si>
  <si>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</si>
  <si>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</si>
  <si>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</si>
  <si>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</si>
  <si>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</si>
  <si>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</si>
  <si>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</si>
  <si>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</si>
  <si>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</si>
  <si>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</si>
  <si>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</si>
  <si>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</si>
  <si>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</si>
  <si>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</si>
  <si>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</si>
  <si>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</si>
  <si>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</si>
  <si>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</si>
  <si>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</si>
  <si>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</si>
  <si>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</si>
  <si>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</si>
  <si>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</si>
  <si>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</si>
  <si>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</si>
  <si>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</si>
  <si>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</si>
  <si>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</si>
  <si>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</si>
  <si>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</si>
  <si>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</si>
  <si>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</si>
  <si>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</si>
  <si>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</si>
  <si>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</si>
  <si>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</si>
  <si>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</si>
  <si>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</si>
  <si>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</si>
  <si>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</si>
  <si>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</si>
  <si>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</si>
  <si>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</si>
  <si>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</si>
  <si>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</si>
  <si>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</si>
  <si>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</si>
  <si>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</si>
  <si>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</si>
  <si>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</si>
  <si>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</si>
  <si>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</si>
  <si>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</si>
  <si>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</si>
  <si>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</si>
  <si>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</si>
  <si>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</si>
  <si>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</si>
  <si>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</si>
  <si>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</si>
  <si>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</si>
  <si>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</si>
  <si>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</si>
  <si>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</si>
  <si>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</si>
  <si>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</si>
  <si>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</si>
  <si>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</si>
  <si>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</si>
  <si>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</si>
  <si>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</si>
  <si>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</si>
  <si>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</si>
  <si>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</si>
  <si>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</si>
  <si>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</si>
  <si>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</si>
  <si>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</si>
  <si>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</si>
  <si>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</si>
  <si>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</si>
  <si>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</si>
  <si>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</si>
  <si>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</si>
  <si>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</si>
  <si>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</si>
  <si>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</si>
  <si>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</si>
  <si>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</si>
  <si>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</si>
  <si>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</si>
  <si>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</si>
  <si>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</si>
  <si>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</si>
  <si>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</si>
  <si>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</si>
  <si>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</si>
  <si>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</si>
  <si>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</si>
  <si>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</si>
  <si>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</si>
  <si>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</si>
  <si>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</si>
  <si>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</si>
  <si>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</si>
  <si>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</si>
  <si>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</si>
  <si>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</si>
  <si>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</si>
  <si>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</si>
  <si>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</si>
  <si>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</si>
  <si>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</si>
  <si>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</si>
  <si>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</si>
  <si>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</si>
  <si>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McHenry</t>
  </si>
  <si>
    <t>2990 Raffel Road</t>
  </si>
  <si>
    <t xml:space="preserve">Woodstock   </t>
  </si>
  <si>
    <t>x</t>
  </si>
  <si>
    <t>Evans, Marshall and Pease, PC</t>
  </si>
  <si>
    <t>Jeffery M. Rollefson, CPA</t>
  </si>
  <si>
    <t>1875 Hicks Road</t>
  </si>
  <si>
    <t>Rolling Meadows</t>
  </si>
  <si>
    <t>IL</t>
  </si>
  <si>
    <t>847-221-5700</t>
  </si>
  <si>
    <t>847-221-5701</t>
  </si>
  <si>
    <t>060-003973</t>
  </si>
  <si>
    <t>jeff@empcpa.com</t>
  </si>
  <si>
    <r>
      <t>Of the federal expenditures presented in the schedule, Woodstock CUSD No. 200</t>
    </r>
    <r>
      <rPr>
        <sz val="9"/>
        <rFont val="Calibri"/>
        <family val="2"/>
        <scheme val="minor"/>
      </rPr>
      <t xml:space="preserve"> provided federal awards to subrecipients as follows:</t>
    </r>
  </si>
  <si>
    <t>none</t>
  </si>
  <si>
    <t>The accompanying Schedule of Expenditures of Federal Awards includes the federal grant activity of Woodstock CUSD No. 200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</si>
  <si>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The following amounts were expended in the form of non-cash assistance by Woodstock CUSD No. 200 and is</t>
    </r>
    <r>
      <rPr>
        <sz val="9"/>
        <rFont val="Calibri"/>
        <family val="2"/>
        <scheme val="minor"/>
      </rPr>
      <t xml:space="preserve"> included in the Schedule of Expenditures of Federal Awards:</t>
    </r>
  </si>
  <si>
    <t>no</t>
  </si>
  <si>
    <t>US DEPARTMENT OF EDUCATION</t>
  </si>
  <si>
    <t>Physical Education Program</t>
  </si>
  <si>
    <t>17-4092-00</t>
  </si>
  <si>
    <t>PASSED THROUGH THE ILLINOIS STATE BOARD OF EDUCATION</t>
  </si>
  <si>
    <t>Title I - Low Income (M)</t>
  </si>
  <si>
    <t>17-4300-00</t>
  </si>
  <si>
    <t>18-4300-00</t>
  </si>
  <si>
    <t>Title II - Teacher quality (M)</t>
  </si>
  <si>
    <t>17-4932-00</t>
  </si>
  <si>
    <t>18-4932-00</t>
  </si>
  <si>
    <t>Title III - Lang inst prog lmt eng</t>
  </si>
  <si>
    <t>17-4909-00</t>
  </si>
  <si>
    <t>18-4909-00</t>
  </si>
  <si>
    <t>Title IV - Student support and enrichment</t>
  </si>
  <si>
    <t>18-4400-00</t>
  </si>
  <si>
    <t>IDEA room and board</t>
  </si>
  <si>
    <t>17-4625-00</t>
  </si>
  <si>
    <t>18-4625-00</t>
  </si>
  <si>
    <t>n/a</t>
  </si>
  <si>
    <t xml:space="preserve">IDEA room and board </t>
  </si>
  <si>
    <t>17-4625-xc</t>
  </si>
  <si>
    <t xml:space="preserve">IDEA Preschool </t>
  </si>
  <si>
    <t>17-4600-00</t>
  </si>
  <si>
    <t>18-4600-00</t>
  </si>
  <si>
    <t>IDEA Flow through</t>
  </si>
  <si>
    <t>17-4620-00</t>
  </si>
  <si>
    <t>18-4620-00</t>
  </si>
  <si>
    <t>PASSED THROUGH THE MCHENRY REGIONAL OFFICE OF EDUCATION</t>
  </si>
  <si>
    <t>Title IIC perkins secondary</t>
  </si>
  <si>
    <t>17-4745-00</t>
  </si>
  <si>
    <t>18-4745-00</t>
  </si>
  <si>
    <t>prog ends 8/31</t>
  </si>
  <si>
    <t>prog end 8/31</t>
  </si>
  <si>
    <t>PASSED THROUGH THE ILLINOIS DEPARTMENT OF HUMAN SERVICES</t>
  </si>
  <si>
    <t>STEP performance</t>
  </si>
  <si>
    <t>18-4995-00</t>
  </si>
  <si>
    <t xml:space="preserve">     US DEPARTMENT OF EDUCATION</t>
  </si>
  <si>
    <t>US DEPARTMENT OF HEALTH AND HUMAN SERVICES</t>
  </si>
  <si>
    <t>PASSED THROUGH THE ILLINOIS DEPT OF HEALTHCARE AND FAMILY SERVICES</t>
  </si>
  <si>
    <t>MEDICAID MATCHING</t>
  </si>
  <si>
    <t>17-4991-00</t>
  </si>
  <si>
    <t>18-4991-00</t>
  </si>
  <si>
    <t xml:space="preserve">     TOTAL US DEPARTMENT OF HEALTH AND HUMAN SERVICES</t>
  </si>
  <si>
    <t>US DEPARTMENT OF AGRICULTURE</t>
  </si>
  <si>
    <t>17-4210-00</t>
  </si>
  <si>
    <t>National school lunch</t>
  </si>
  <si>
    <t>18-4210-00</t>
  </si>
  <si>
    <t>School breakfast program</t>
  </si>
  <si>
    <t>17-4220-00</t>
  </si>
  <si>
    <t>18-4220-00</t>
  </si>
  <si>
    <t>Commodities (non-cash)</t>
  </si>
  <si>
    <t>DoD Fresh fruits and veg (non-cash)</t>
  </si>
  <si>
    <t>fye 18</t>
  </si>
  <si>
    <t xml:space="preserve">     TOTAL US DEPARTMENT OR AGRICULTURE</t>
  </si>
  <si>
    <t xml:space="preserve">          TOTAL FEDERAL AWARDS</t>
  </si>
  <si>
    <t>Unmodifed</t>
  </si>
  <si>
    <t>Unmodified</t>
  </si>
  <si>
    <t>Title I Low Income</t>
  </si>
  <si>
    <t>Title II Teacher quality</t>
  </si>
  <si>
    <t>Capital leases</t>
  </si>
  <si>
    <t>2006B CABS</t>
  </si>
  <si>
    <t>2013 Limited</t>
  </si>
  <si>
    <t>2008B Refunding</t>
  </si>
  <si>
    <t>2010A Build America</t>
  </si>
  <si>
    <t>2010C Refunding</t>
  </si>
  <si>
    <t>2010D Refunding</t>
  </si>
  <si>
    <t>2011 Refunding</t>
  </si>
  <si>
    <t>2012A Refunding</t>
  </si>
  <si>
    <t>2012B Refunding</t>
  </si>
  <si>
    <t>2013 Refunding</t>
  </si>
  <si>
    <t>2014 Refunding</t>
  </si>
  <si>
    <t>2015A Refunding</t>
  </si>
  <si>
    <t>2015B Refunding</t>
  </si>
  <si>
    <t>3,4</t>
  </si>
  <si>
    <t>SD No. 3,12,15,19,26,36,46,47,50,154,155,157,158,165,200,205</t>
  </si>
  <si>
    <t>CLIC</t>
  </si>
  <si>
    <t>PMA</t>
  </si>
  <si>
    <t>KIDS,  MCHENRY ROE</t>
  </si>
  <si>
    <t>Build America Bonds</t>
  </si>
  <si>
    <t>Cash to accrual conversion worksheet - see attached</t>
  </si>
  <si>
    <t>SIPC/COMMUNITIES/STATES OF IL PROCUREMENT/NUPA/NIIPC</t>
  </si>
  <si>
    <t>O&amp;M-Custodial Servs-Scavenger Services</t>
  </si>
  <si>
    <t>20-2542-300</t>
  </si>
  <si>
    <t>Advanced Disposal</t>
  </si>
  <si>
    <t>ED-Speech/Path-Prof Servs</t>
  </si>
  <si>
    <t>10-2150-300</t>
  </si>
  <si>
    <t>Affiliated ENT Physicians</t>
  </si>
  <si>
    <t>ED-Staff Servs-Prof Servs</t>
  </si>
  <si>
    <t>10-2642-300</t>
  </si>
  <si>
    <t>AMS Store &amp; Shred</t>
  </si>
  <si>
    <t>ED-Instruction-Other Servs</t>
  </si>
  <si>
    <t>Aramark Uniforms Services</t>
  </si>
  <si>
    <t>ED-Fiscal Servs-Prof Servs</t>
  </si>
  <si>
    <t>Asset Control Solutions</t>
  </si>
  <si>
    <t>Capital Proj-Construction-Prof Servs</t>
  </si>
  <si>
    <t>Associated Electrical Contractors</t>
  </si>
  <si>
    <t>Blackboard, Inc</t>
  </si>
  <si>
    <t>Brecht's Database Solutions</t>
  </si>
  <si>
    <t>Bug Man, Inc</t>
  </si>
  <si>
    <t>Call One</t>
  </si>
  <si>
    <t>ED-Psych Servs-Prof Servs</t>
  </si>
  <si>
    <t>Camelot Care Centers</t>
  </si>
  <si>
    <t>ED-Impr of Inst-Prof Servs</t>
  </si>
  <si>
    <t>CEC</t>
  </si>
  <si>
    <t>ED-Athletics-Prof Servs</t>
  </si>
  <si>
    <t>Centegra Health System</t>
  </si>
  <si>
    <t>Trans-Pupil Trans Servs-Prof Servs</t>
  </si>
  <si>
    <t>Centegra Occupational Medicine</t>
  </si>
  <si>
    <t>Center for Responsive Schools</t>
  </si>
  <si>
    <t>Cintas</t>
  </si>
  <si>
    <t>Clearbrook of McHenry County</t>
  </si>
  <si>
    <t>Comcast</t>
  </si>
  <si>
    <t>ED-Assessment-Prof Servs</t>
  </si>
  <si>
    <t>ECRA Group</t>
  </si>
  <si>
    <t>Equal Opportunity Schools</t>
  </si>
  <si>
    <t>eSchool Solutions</t>
  </si>
  <si>
    <t>ED-Board of Ed - Prof Servs</t>
  </si>
  <si>
    <t>Evans, Marshall &amp; Pease</t>
  </si>
  <si>
    <t>FastBridge Learning</t>
  </si>
  <si>
    <t>Father Flanagan's Boys Home</t>
  </si>
  <si>
    <t>Forecast 5 Analytics</t>
  </si>
  <si>
    <t>Forest Security Inc</t>
  </si>
  <si>
    <t>Fox Valley Counseling</t>
  </si>
  <si>
    <t>Frontier</t>
  </si>
  <si>
    <t>G&amp; K Services</t>
  </si>
  <si>
    <t>Great Lakes Elevator</t>
  </si>
  <si>
    <t>Harrison &amp; Associates</t>
  </si>
  <si>
    <t>Hastings Asphalt Services</t>
  </si>
  <si>
    <t>ED-Data Processing Servs - Prof Servs</t>
  </si>
  <si>
    <t>Heartland Business Systems</t>
  </si>
  <si>
    <t>ED-Food Servs-Prof Servs</t>
  </si>
  <si>
    <t>Heritage Food Service</t>
  </si>
  <si>
    <t>Hodges, Loizzi, Eisenhammer</t>
  </si>
  <si>
    <t>Honeywell Building Solutions</t>
  </si>
  <si>
    <t>ISTE</t>
  </si>
  <si>
    <t>Jimmy Z Masonry</t>
  </si>
  <si>
    <t>Langton Snow Solutions</t>
  </si>
  <si>
    <t>Libertyville Tile &amp; Carpet</t>
  </si>
  <si>
    <t>Manusos General Contracting</t>
  </si>
  <si>
    <t>ED-Special Servs-Prof Servs</t>
  </si>
  <si>
    <t>McHenry County College</t>
  </si>
  <si>
    <t xml:space="preserve">McHenry County Regional Office of </t>
  </si>
  <si>
    <t>MG Mechanical Contracting</t>
  </si>
  <si>
    <t>Midwest Track Builders</t>
  </si>
  <si>
    <t>ED-Library/Media Servs-Prof Services</t>
  </si>
  <si>
    <t>Movie Licensing USA</t>
  </si>
  <si>
    <t>ED-Offic of the Principal-Prof Services</t>
  </si>
  <si>
    <t>Pick A Timecom Inc</t>
  </si>
  <si>
    <t>ED-Business Servs-Prof Services</t>
  </si>
  <si>
    <t>Pitney Bowes</t>
  </si>
  <si>
    <t>PMA Financial Network</t>
  </si>
  <si>
    <t>PowerSchool</t>
  </si>
  <si>
    <t>ED-Vocational Services-Prof Servs</t>
  </si>
  <si>
    <t>Project Lead the Way</t>
  </si>
  <si>
    <t>Pyramid Educational Consultants</t>
  </si>
  <si>
    <t>Rebecca Hines</t>
  </si>
  <si>
    <t>Riley CCSD 18</t>
  </si>
  <si>
    <t>Siemens Bldg Technologies Inc</t>
  </si>
  <si>
    <t>solaris Roofing Solutions</t>
  </si>
  <si>
    <t>Soliant Health/VocoVision</t>
  </si>
  <si>
    <t>Stans Office Technologies</t>
  </si>
  <si>
    <t>Teaching Strategies Inc</t>
  </si>
  <si>
    <t>Telcom Innovation Group</t>
  </si>
  <si>
    <t>US Bank</t>
  </si>
  <si>
    <t>University of Washington</t>
  </si>
  <si>
    <t>Utilityhelp.org</t>
  </si>
  <si>
    <t>Verizon Wireless</t>
  </si>
  <si>
    <t>Veterans Floors Inc</t>
  </si>
  <si>
    <t>Village Project Consulting LLC</t>
  </si>
  <si>
    <t>10-2560-300</t>
  </si>
  <si>
    <t>10-1000-300</t>
  </si>
  <si>
    <t>10-2520-300</t>
  </si>
  <si>
    <t>60-2535-300</t>
  </si>
  <si>
    <t>10-1100-300</t>
  </si>
  <si>
    <t>10-2140-300</t>
  </si>
  <si>
    <t>10-2210-300</t>
  </si>
  <si>
    <t>10-1500-300</t>
  </si>
  <si>
    <t>40-2550-300</t>
  </si>
  <si>
    <t>10-2230-300</t>
  </si>
  <si>
    <t>10-2310-300</t>
  </si>
  <si>
    <t>10-2660-300</t>
  </si>
  <si>
    <t>20-2545-300</t>
  </si>
  <si>
    <t>10-1200-300</t>
  </si>
  <si>
    <t>10-2220-300</t>
  </si>
  <si>
    <t>10-2410-300</t>
  </si>
  <si>
    <t>10-1400-300</t>
  </si>
  <si>
    <t>Evans, Marshall &amp; Pease, P.C.</t>
  </si>
  <si>
    <t>Woodstock CUSD 200</t>
  </si>
  <si>
    <t>20-2540-300</t>
  </si>
  <si>
    <t>10-2200-300</t>
  </si>
  <si>
    <t>10-2300-300</t>
  </si>
  <si>
    <t>60-2530-300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</si>
</sst>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protection locked="0"/>
    </xf>
    <xf numFmtId="3" fontId="71"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3" fontId="85" fillId="0" borderId="22" xfId="3" applyNumberFormat="1" applyFont="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3" fontId="85" fillId="0" borderId="22" xfId="3" applyNumberFormat="1" applyFont="1" applyFill="1" applyBorder="1" applyAlignment="1" applyProtection="1">
      <alignment horizontal="center"/>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Fill="1" applyBorder="1" applyProtection="1">
      <protection locked="0"/>
    </xf>
    <xf numFmtId="6" fontId="60" fillId="0" borderId="151" xfId="3" applyNumberFormat="1" applyFont="1" applyFill="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304800</xdr:colOff>
          <xdr:row>7</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xdr:row>
          <xdr:rowOff>152400</xdr:rowOff>
        </xdr:from>
        <xdr:to>
          <xdr:col>7</xdr:col>
          <xdr:colOff>228600</xdr:colOff>
          <xdr:row>7</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xdr:row>
          <xdr:rowOff>142875</xdr:rowOff>
        </xdr:from>
        <xdr:to>
          <xdr:col>9</xdr:col>
          <xdr:colOff>266700</xdr:colOff>
          <xdr:row>7</xdr:row>
          <xdr:rowOff>19050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xdr:row>
          <xdr:rowOff>9525</xdr:rowOff>
        </xdr:from>
        <xdr:to>
          <xdr:col>3</xdr:col>
          <xdr:colOff>352425</xdr:colOff>
          <xdr:row>7</xdr:row>
          <xdr:rowOff>47625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40" t="s">
        <v>424</v>
      </c>
      <c r="J1" s="2041"/>
      <c r="K1" s="2041"/>
      <c r="L1" s="2041"/>
      <c r="M1" s="2041"/>
      <c r="N1" s="2041"/>
      <c r="O1" s="2041"/>
      <c r="P1" s="2041"/>
      <c r="Q1" s="2041"/>
      <c r="R1" s="2041"/>
      <c r="S1" s="2041"/>
    </row>
    <row r="2" spans="1:28" ht="12" customHeight="1" x14ac:dyDescent="0.2">
      <c r="A2" s="47" t="s">
        <v>1683</v>
      </c>
      <c r="D2" s="48"/>
      <c r="I2" s="2042" t="s">
        <v>1035</v>
      </c>
      <c r="J2" s="2041"/>
      <c r="K2" s="2041"/>
      <c r="L2" s="2041"/>
      <c r="M2" s="2041"/>
      <c r="N2" s="2041"/>
      <c r="O2" s="2041"/>
      <c r="P2" s="2041"/>
      <c r="Q2" s="2041"/>
      <c r="R2" s="2041"/>
      <c r="S2" s="2041"/>
    </row>
    <row r="3" spans="1:28" ht="12" customHeight="1" x14ac:dyDescent="0.2">
      <c r="A3" s="155" t="s">
        <v>1684</v>
      </c>
      <c r="B3" s="156"/>
      <c r="C3" s="156"/>
      <c r="D3" s="157"/>
      <c r="I3" s="2042" t="s">
        <v>54</v>
      </c>
      <c r="J3" s="2041"/>
      <c r="K3" s="2041"/>
      <c r="L3" s="2041"/>
      <c r="M3" s="2041"/>
      <c r="N3" s="2041"/>
      <c r="O3" s="2041"/>
      <c r="P3" s="2041"/>
      <c r="Q3" s="2041"/>
      <c r="R3" s="2041"/>
      <c r="S3" s="2041"/>
    </row>
    <row r="4" spans="1:28" ht="12" customHeight="1" x14ac:dyDescent="0.2">
      <c r="A4" s="37"/>
      <c r="I4" s="2042" t="s">
        <v>544</v>
      </c>
      <c r="J4" s="2041"/>
      <c r="K4" s="2041"/>
      <c r="L4" s="2041"/>
      <c r="M4" s="2041"/>
      <c r="N4" s="2041"/>
      <c r="O4" s="2041"/>
      <c r="P4" s="2041"/>
      <c r="Q4" s="2041"/>
      <c r="R4" s="2041"/>
      <c r="S4" s="2041"/>
    </row>
    <row r="5" spans="1:28" ht="14.1" customHeight="1" x14ac:dyDescent="0.2">
      <c r="B5" s="104" t="s">
        <v>2073</v>
      </c>
      <c r="C5" s="26" t="s">
        <v>965</v>
      </c>
      <c r="D5" s="84"/>
      <c r="E5" s="84"/>
      <c r="H5" s="38"/>
      <c r="I5" s="2049" t="s">
        <v>700</v>
      </c>
      <c r="J5" s="1994"/>
      <c r="K5" s="1994"/>
      <c r="L5" s="1994"/>
      <c r="M5" s="1994"/>
      <c r="N5" s="1994"/>
      <c r="O5" s="1994"/>
      <c r="P5" s="1994"/>
      <c r="Q5" s="1994"/>
      <c r="R5" s="1994"/>
      <c r="S5" s="1994"/>
    </row>
    <row r="6" spans="1:28" ht="14.1" customHeight="1" x14ac:dyDescent="0.2">
      <c r="B6" s="104"/>
      <c r="C6" s="26" t="s">
        <v>966</v>
      </c>
      <c r="D6" s="84"/>
      <c r="E6" s="84"/>
      <c r="I6" s="2048" t="s">
        <v>937</v>
      </c>
      <c r="J6" s="1994"/>
      <c r="K6" s="1994"/>
      <c r="L6" s="1994"/>
      <c r="M6" s="1994"/>
      <c r="N6" s="1994"/>
      <c r="O6" s="1994"/>
      <c r="P6" s="1994"/>
      <c r="Q6" s="1994"/>
      <c r="R6" s="1994"/>
      <c r="S6" s="1994"/>
    </row>
    <row r="7" spans="1:28" ht="12.2" customHeight="1" x14ac:dyDescent="0.2">
      <c r="I7" s="2043">
        <v>43281</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694</v>
      </c>
      <c r="J9" s="2046"/>
      <c r="K9" s="2046"/>
      <c r="L9" s="2046"/>
      <c r="M9" s="2046"/>
      <c r="N9" s="2046"/>
      <c r="O9" s="2046"/>
      <c r="P9" s="2046"/>
      <c r="Q9" s="2046"/>
      <c r="R9" s="2046"/>
      <c r="S9" s="2047"/>
      <c r="T9" s="1990" t="s">
        <v>553</v>
      </c>
      <c r="U9" s="1991"/>
      <c r="V9" s="1991"/>
      <c r="W9" s="1991"/>
      <c r="X9" s="1991"/>
      <c r="Y9" s="1991"/>
      <c r="Z9" s="1991"/>
      <c r="AA9" s="1992"/>
    </row>
    <row r="10" spans="1:28" ht="13.5" customHeight="1" x14ac:dyDescent="0.2">
      <c r="A10" s="1999" t="s">
        <v>695</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1011</v>
      </c>
      <c r="B11" s="2003"/>
      <c r="C11" s="2003"/>
      <c r="D11" s="2003"/>
      <c r="E11" s="2003"/>
      <c r="F11" s="2003"/>
      <c r="G11" s="2003"/>
      <c r="H11" s="2004"/>
      <c r="I11" s="27"/>
      <c r="J11" s="74"/>
      <c r="K11" s="27"/>
      <c r="O11" s="148" t="s">
        <v>2073</v>
      </c>
      <c r="P11" s="100" t="s">
        <v>210</v>
      </c>
      <c r="Q11" s="30"/>
      <c r="R11" s="28"/>
      <c r="S11" s="27"/>
      <c r="T11" s="1996"/>
      <c r="U11" s="1997"/>
      <c r="V11" s="1997"/>
      <c r="W11" s="1997"/>
      <c r="X11" s="1997"/>
      <c r="Y11" s="1997"/>
      <c r="Z11" s="1997"/>
      <c r="AA11" s="199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10">
        <v>44063200026</v>
      </c>
      <c r="B13" s="2011"/>
      <c r="C13" s="2011"/>
      <c r="D13" s="2011"/>
      <c r="E13" s="2011"/>
      <c r="F13" s="2011"/>
      <c r="G13" s="2011"/>
      <c r="H13" s="2012"/>
      <c r="I13" s="31"/>
      <c r="J13" s="30"/>
      <c r="K13" s="28"/>
      <c r="L13" s="30"/>
      <c r="M13" s="30"/>
      <c r="N13" s="30"/>
      <c r="O13" s="30"/>
      <c r="P13" s="30"/>
      <c r="Q13" s="30"/>
      <c r="R13" s="30"/>
      <c r="S13" s="30"/>
      <c r="T13" s="2015" t="s">
        <v>2078</v>
      </c>
      <c r="U13" s="2016"/>
      <c r="V13" s="2016"/>
      <c r="W13" s="2016"/>
      <c r="X13" s="2016"/>
      <c r="Y13" s="2017"/>
      <c r="Z13" s="2017"/>
      <c r="AA13" s="201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8" t="s">
        <v>2074</v>
      </c>
      <c r="B15" s="2013"/>
      <c r="C15" s="2013"/>
      <c r="D15" s="2013"/>
      <c r="E15" s="2013"/>
      <c r="F15" s="2013"/>
      <c r="G15" s="2013"/>
      <c r="H15" s="2014"/>
      <c r="T15" s="1976" t="s">
        <v>2079</v>
      </c>
      <c r="U15" s="1977"/>
      <c r="V15" s="1977"/>
      <c r="W15" s="1977"/>
      <c r="X15" s="1977"/>
      <c r="Y15" s="2019"/>
      <c r="Z15" s="2019"/>
      <c r="AA15" s="202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8" t="s">
        <v>2279</v>
      </c>
      <c r="B17" s="2038"/>
      <c r="C17" s="2038"/>
      <c r="D17" s="2038"/>
      <c r="E17" s="2038"/>
      <c r="F17" s="2038"/>
      <c r="G17" s="2038"/>
      <c r="H17" s="2039"/>
      <c r="T17" s="2025" t="s">
        <v>2080</v>
      </c>
      <c r="U17" s="2026"/>
      <c r="V17" s="2026"/>
      <c r="W17" s="2026"/>
      <c r="X17" s="2026"/>
      <c r="Y17" s="2026"/>
      <c r="Z17" s="2026"/>
      <c r="AA17" s="2027"/>
    </row>
    <row r="18" spans="1:27" ht="13.5" customHeight="1" x14ac:dyDescent="0.2">
      <c r="A18" s="85" t="s">
        <v>550</v>
      </c>
      <c r="B18" s="76"/>
      <c r="C18" s="72"/>
      <c r="D18" s="76"/>
      <c r="E18" s="76"/>
      <c r="F18" s="76"/>
      <c r="G18" s="76"/>
      <c r="H18" s="56"/>
      <c r="I18" s="2035" t="s">
        <v>696</v>
      </c>
      <c r="J18" s="2036"/>
      <c r="K18" s="2036"/>
      <c r="L18" s="2036"/>
      <c r="M18" s="2036"/>
      <c r="N18" s="2036"/>
      <c r="O18" s="2036"/>
      <c r="P18" s="2036"/>
      <c r="Q18" s="2036"/>
      <c r="R18" s="2036"/>
      <c r="S18" s="2037"/>
      <c r="T18" s="85" t="s">
        <v>734</v>
      </c>
      <c r="U18" s="51"/>
      <c r="V18" s="72"/>
      <c r="W18" s="50"/>
      <c r="X18" s="85" t="s">
        <v>283</v>
      </c>
      <c r="Y18" s="81"/>
      <c r="Z18" s="159" t="s">
        <v>697</v>
      </c>
      <c r="AA18" s="46"/>
    </row>
    <row r="19" spans="1:27" ht="13.5" customHeight="1" x14ac:dyDescent="0.2">
      <c r="A19" s="2008" t="s">
        <v>2075</v>
      </c>
      <c r="B19" s="2009"/>
      <c r="C19" s="2009"/>
      <c r="D19" s="2009"/>
      <c r="E19" s="2009"/>
      <c r="F19" s="2009"/>
      <c r="G19" s="2009"/>
      <c r="H19" s="2007"/>
      <c r="I19" s="30"/>
      <c r="J19" s="99"/>
      <c r="K19" s="40"/>
      <c r="L19" s="38"/>
      <c r="M19" s="112" t="s">
        <v>332</v>
      </c>
      <c r="P19" s="27"/>
      <c r="Q19" s="27"/>
      <c r="R19" s="27"/>
      <c r="S19" s="31"/>
      <c r="T19" s="2008" t="s">
        <v>2081</v>
      </c>
      <c r="U19" s="2006"/>
      <c r="V19" s="2006"/>
      <c r="W19" s="2007"/>
      <c r="X19" s="2023" t="s">
        <v>2082</v>
      </c>
      <c r="Y19" s="2024"/>
      <c r="Z19" s="2021">
        <v>60008</v>
      </c>
      <c r="AA19" s="202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5" t="s">
        <v>2076</v>
      </c>
      <c r="B21" s="2006"/>
      <c r="C21" s="2006"/>
      <c r="D21" s="2006"/>
      <c r="E21" s="2006"/>
      <c r="F21" s="2006"/>
      <c r="G21" s="2006"/>
      <c r="H21" s="2007"/>
      <c r="I21" s="2031" t="s">
        <v>698</v>
      </c>
      <c r="J21" s="1994"/>
      <c r="K21" s="1994"/>
      <c r="L21" s="1994"/>
      <c r="M21" s="1994"/>
      <c r="N21" s="1994"/>
      <c r="O21" s="1994"/>
      <c r="P21" s="1994"/>
      <c r="Q21" s="1994"/>
      <c r="R21" s="1994"/>
      <c r="S21" s="1995"/>
      <c r="T21" s="1973" t="s">
        <v>2083</v>
      </c>
      <c r="U21" s="1974"/>
      <c r="V21" s="1974"/>
      <c r="W21" s="1974"/>
      <c r="X21" s="1987" t="s">
        <v>2084</v>
      </c>
      <c r="Y21" s="1988"/>
      <c r="Z21" s="1988"/>
      <c r="AA21" s="1989"/>
    </row>
    <row r="22" spans="1:27" ht="13.5" customHeight="1" x14ac:dyDescent="0.2">
      <c r="A22" s="87" t="s">
        <v>551</v>
      </c>
      <c r="B22" s="59"/>
      <c r="C22" s="59"/>
      <c r="D22" s="59"/>
      <c r="E22" s="59"/>
      <c r="F22" s="59"/>
      <c r="G22" s="59"/>
      <c r="H22" s="60"/>
      <c r="I22" s="2032" t="s">
        <v>1503</v>
      </c>
      <c r="J22" s="2033"/>
      <c r="K22" s="2033"/>
      <c r="L22" s="2033"/>
      <c r="M22" s="2033"/>
      <c r="N22" s="2033"/>
      <c r="O22" s="2033"/>
      <c r="P22" s="2033"/>
      <c r="Q22" s="2033"/>
      <c r="R22" s="2033"/>
      <c r="S22" s="2034"/>
      <c r="T22" s="85" t="s">
        <v>1595</v>
      </c>
      <c r="U22" s="51"/>
      <c r="V22" s="72"/>
      <c r="W22" s="51"/>
      <c r="X22" s="160" t="s">
        <v>1384</v>
      </c>
      <c r="Z22" s="45"/>
      <c r="AA22" s="46"/>
    </row>
    <row r="23" spans="1:27" ht="13.5" customHeight="1" x14ac:dyDescent="0.2">
      <c r="A23" s="2028"/>
      <c r="B23" s="2029"/>
      <c r="C23" s="2029"/>
      <c r="D23" s="2029"/>
      <c r="E23" s="2029"/>
      <c r="F23" s="2029"/>
      <c r="G23" s="2029"/>
      <c r="H23" s="2030"/>
      <c r="T23" s="1968" t="s">
        <v>2085</v>
      </c>
      <c r="U23" s="1969"/>
      <c r="V23" s="1969"/>
      <c r="W23" s="1969"/>
      <c r="X23" s="1984">
        <v>43466</v>
      </c>
      <c r="Y23" s="1985"/>
      <c r="Z23" s="1985"/>
      <c r="AA23" s="1986"/>
    </row>
    <row r="24" spans="1:27" ht="14.1" customHeight="1" x14ac:dyDescent="0.2">
      <c r="A24" s="88" t="s">
        <v>697</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551</v>
      </c>
      <c r="U24" s="106"/>
      <c r="V24" s="106"/>
      <c r="W24" s="106"/>
      <c r="X24" s="107"/>
      <c r="Y24" s="107"/>
      <c r="Z24" s="107"/>
      <c r="AA24" s="108"/>
    </row>
    <row r="25" spans="1:27" ht="14.1" customHeight="1" x14ac:dyDescent="0.2">
      <c r="A25" s="2005">
        <v>60098</v>
      </c>
      <c r="B25" s="2006"/>
      <c r="C25" s="2006"/>
      <c r="D25" s="2006"/>
      <c r="E25" s="2006"/>
      <c r="F25" s="2006"/>
      <c r="G25" s="2006"/>
      <c r="H25" s="2007"/>
      <c r="I25" s="113"/>
      <c r="J25" s="2072"/>
      <c r="K25" s="2072"/>
      <c r="L25" s="2072"/>
      <c r="M25" s="2072"/>
      <c r="N25" s="2072"/>
      <c r="O25" s="2072"/>
      <c r="P25" s="2072"/>
      <c r="Q25" s="2072"/>
      <c r="R25" s="2072"/>
      <c r="S25" s="2073"/>
      <c r="T25" s="1965" t="s">
        <v>2086</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3" t="s">
        <v>1590</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2073</v>
      </c>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8"/>
      <c r="B38" s="2038"/>
      <c r="C38" s="2038"/>
      <c r="D38" s="2038"/>
      <c r="E38" s="2038"/>
      <c r="F38" s="2006"/>
      <c r="G38" s="2006"/>
      <c r="H38" s="2007"/>
      <c r="I38" s="2057"/>
      <c r="J38" s="1977"/>
      <c r="K38" s="1977"/>
      <c r="L38" s="1977"/>
      <c r="M38" s="1977"/>
      <c r="N38" s="1977"/>
      <c r="O38" s="1977"/>
      <c r="P38" s="1978"/>
      <c r="Q38" s="1978"/>
      <c r="R38" s="1978"/>
      <c r="S38" s="1979"/>
      <c r="T38" s="1976"/>
      <c r="U38" s="1977"/>
      <c r="V38" s="1977"/>
      <c r="W38" s="1977"/>
      <c r="X38" s="1978"/>
      <c r="Y38" s="1978"/>
      <c r="Z38" s="1978"/>
      <c r="AA38" s="1979"/>
    </row>
    <row r="39" spans="1:27" ht="12" customHeight="1" x14ac:dyDescent="0.2">
      <c r="A39" s="2061" t="s">
        <v>551</v>
      </c>
      <c r="B39" s="2062"/>
      <c r="C39" s="72"/>
      <c r="D39" s="69"/>
      <c r="E39" s="69"/>
      <c r="F39" s="79"/>
      <c r="G39" s="69"/>
      <c r="H39" s="56"/>
      <c r="I39" s="2061" t="s">
        <v>551</v>
      </c>
      <c r="J39" s="2062"/>
      <c r="K39" s="2062"/>
      <c r="L39" s="2062"/>
      <c r="M39" s="2062"/>
      <c r="N39" s="67"/>
      <c r="O39" s="72"/>
      <c r="P39" s="72"/>
      <c r="Q39" s="78"/>
      <c r="R39" s="72"/>
      <c r="S39" s="56"/>
      <c r="T39" s="72" t="s">
        <v>551</v>
      </c>
      <c r="U39" s="51"/>
      <c r="V39" s="72"/>
      <c r="W39" s="50"/>
      <c r="X39" s="78"/>
      <c r="Y39" s="45"/>
      <c r="Z39" s="45"/>
      <c r="AA39" s="46"/>
    </row>
    <row r="40" spans="1:27" ht="13.5" customHeight="1" x14ac:dyDescent="0.2">
      <c r="A40" s="2064"/>
      <c r="B40" s="2065"/>
      <c r="C40" s="2066"/>
      <c r="D40" s="2066"/>
      <c r="E40" s="2066"/>
      <c r="F40" s="2067"/>
      <c r="G40" s="2067"/>
      <c r="H40" s="2068"/>
      <c r="I40" s="1980"/>
      <c r="J40" s="1982"/>
      <c r="K40" s="1982"/>
      <c r="L40" s="1982"/>
      <c r="M40" s="1982"/>
      <c r="N40" s="1982"/>
      <c r="O40" s="1982"/>
      <c r="P40" s="1982"/>
      <c r="Q40" s="1982"/>
      <c r="R40" s="1982"/>
      <c r="S40" s="1983"/>
      <c r="T40" s="1980"/>
      <c r="U40" s="1981"/>
      <c r="V40" s="1982"/>
      <c r="W40" s="1982"/>
      <c r="X40" s="1982"/>
      <c r="Y40" s="1982"/>
      <c r="Z40" s="1982"/>
      <c r="AA40" s="198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4"/>
      <c r="B42" s="2055"/>
      <c r="C42" s="2056"/>
      <c r="D42" s="2069"/>
      <c r="E42" s="2055"/>
      <c r="F42" s="2055"/>
      <c r="G42" s="2055"/>
      <c r="H42" s="2056"/>
      <c r="I42" s="1975"/>
      <c r="J42" s="1971"/>
      <c r="K42" s="1971"/>
      <c r="L42" s="1971"/>
      <c r="M42" s="1971"/>
      <c r="N42" s="1971"/>
      <c r="O42" s="1972"/>
      <c r="P42" s="1970"/>
      <c r="Q42" s="1971"/>
      <c r="R42" s="1971"/>
      <c r="S42" s="1972"/>
      <c r="T42" s="1975"/>
      <c r="U42" s="1971"/>
      <c r="V42" s="1971"/>
      <c r="W42" s="1972"/>
      <c r="X42" s="1970"/>
      <c r="Y42" s="1971"/>
      <c r="Z42" s="1971"/>
      <c r="AA42" s="197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7" t="s">
        <v>1124</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714</v>
      </c>
      <c r="B40" s="2074"/>
      <c r="C40" s="2074"/>
      <c r="D40" s="2074"/>
      <c r="E40" s="2074"/>
    </row>
    <row r="41" spans="1:5" x14ac:dyDescent="0.2">
      <c r="A41" s="2075" t="s">
        <v>1705</v>
      </c>
      <c r="B41" s="2075"/>
      <c r="C41" s="2075"/>
      <c r="D41" s="2075"/>
      <c r="E41" s="2075"/>
    </row>
    <row r="42" spans="1:5" ht="12.75" customHeight="1" x14ac:dyDescent="0.2">
      <c r="A42" s="2076" t="s">
        <v>1079</v>
      </c>
      <c r="B42" s="2076"/>
      <c r="C42" s="2076"/>
      <c r="D42" s="2076"/>
      <c r="E42" s="2076"/>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1229</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2" t="s">
        <v>1730</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330</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1389</v>
      </c>
      <c r="B70" s="2095"/>
      <c r="C70" s="2095"/>
      <c r="D70" s="2095"/>
      <c r="E70" s="2096"/>
      <c r="F70" s="2096"/>
      <c r="G70" s="2096"/>
      <c r="H70" s="2096"/>
      <c r="I70" s="2096"/>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1386</v>
      </c>
      <c r="B83" s="2097"/>
      <c r="C83" s="2097"/>
      <c r="D83" s="2098"/>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2278</v>
      </c>
      <c r="D114" s="208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1396</v>
      </c>
      <c r="D117" s="2090"/>
      <c r="E117" s="2091"/>
      <c r="F117" s="2091"/>
      <c r="G117" s="2091"/>
      <c r="H117" s="2091"/>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403</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803505670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3.6402999999999998E-2</v>
      </c>
      <c r="E10" s="356" t="s">
        <v>1061</v>
      </c>
      <c r="F10" s="355">
        <v>7.3429999999999997E-3</v>
      </c>
      <c r="G10" s="356" t="s">
        <v>1061</v>
      </c>
      <c r="H10" s="355">
        <v>2.1779999999999998E-3</v>
      </c>
      <c r="I10" s="356" t="s">
        <v>1062</v>
      </c>
      <c r="J10" s="1754">
        <f>ROUND(D10+F10+H10,5)</f>
        <v>4.5920000000000002E-2</v>
      </c>
      <c r="K10" s="222"/>
      <c r="L10" s="355">
        <v>4.9799999999999996E-4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85086162</v>
      </c>
      <c r="E16" s="356"/>
      <c r="F16" s="1755">
        <f>SUM('Acct Summary 7-8'!C17,'Acct Summary 7-8'!D17,'Acct Summary 7-8'!F17)</f>
        <v>78474565</v>
      </c>
      <c r="G16" s="356"/>
      <c r="H16" s="1755">
        <f>SUM(D16-F16)</f>
        <v>6611597</v>
      </c>
      <c r="I16" s="222"/>
      <c r="J16" s="1755">
        <f>SUM('Acct Summary 7-8'!C81,'Acct Summary 7-8'!D81,'Acct Summary 7-8'!F81,'Acct Summary 7-8'!I81)</f>
        <v>58087796</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110883782.46000001</v>
      </c>
      <c r="I31" s="368"/>
      <c r="J31" s="222"/>
      <c r="K31" s="222"/>
      <c r="L31" s="222"/>
      <c r="M31" s="222"/>
    </row>
    <row r="32" spans="1:13" ht="13.35" customHeight="1" x14ac:dyDescent="0.2">
      <c r="B32" s="369" t="s">
        <v>2077</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101136940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576</v>
      </c>
      <c r="B2" s="2127"/>
      <c r="C2" s="2127"/>
      <c r="D2" s="2127"/>
      <c r="E2" s="2127"/>
      <c r="F2" s="2127"/>
      <c r="G2" s="2127"/>
      <c r="H2" s="2127"/>
      <c r="I2" s="2127"/>
      <c r="J2" s="2127"/>
      <c r="K2" s="2127"/>
      <c r="L2" s="2127"/>
      <c r="M2" s="2127"/>
      <c r="N2" s="2127"/>
      <c r="O2" s="2127"/>
      <c r="P2" s="2127"/>
      <c r="Q2" s="2127"/>
      <c r="R2" s="2127"/>
    </row>
    <row r="3" spans="1:18" ht="12.75" x14ac:dyDescent="0.2">
      <c r="A3" s="2128" t="s">
        <v>1479</v>
      </c>
      <c r="B3" s="2128"/>
      <c r="C3" s="2128"/>
      <c r="D3" s="2128"/>
      <c r="E3" s="2128"/>
      <c r="F3" s="2128"/>
      <c r="G3" s="2128"/>
      <c r="H3" s="2128"/>
      <c r="I3" s="2128"/>
      <c r="J3" s="2128"/>
      <c r="K3" s="2128"/>
      <c r="L3" s="2128"/>
      <c r="M3" s="2128"/>
      <c r="N3" s="2128"/>
      <c r="O3" s="2128"/>
      <c r="P3" s="2128"/>
      <c r="Q3" s="2128"/>
      <c r="R3" s="2128"/>
    </row>
    <row r="4" spans="1:18" x14ac:dyDescent="0.2">
      <c r="A4" s="2129" t="s">
        <v>1634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Woodstock CUSD 200</v>
      </c>
      <c r="E7" s="391"/>
      <c r="G7" s="252"/>
      <c r="H7" s="387"/>
      <c r="I7" s="387"/>
      <c r="J7" s="387"/>
      <c r="K7" s="387"/>
      <c r="L7" s="329"/>
      <c r="M7" s="329"/>
      <c r="N7" s="329"/>
      <c r="O7" s="329"/>
      <c r="P7" s="329"/>
    </row>
    <row r="8" spans="1:18" ht="12.75" x14ac:dyDescent="0.2">
      <c r="A8" s="329"/>
      <c r="B8" s="329"/>
      <c r="C8" s="389" t="s">
        <v>1186</v>
      </c>
      <c r="D8" s="392">
        <f>COVER!A13</f>
        <v>44063200026</v>
      </c>
      <c r="E8" s="393"/>
      <c r="G8" s="329"/>
      <c r="H8" s="329"/>
      <c r="I8" s="329"/>
      <c r="J8" s="329"/>
      <c r="K8" s="329"/>
      <c r="L8" s="329"/>
      <c r="M8" s="329"/>
      <c r="N8" s="329"/>
      <c r="O8" s="329"/>
      <c r="P8" s="329"/>
    </row>
    <row r="9" spans="1:18" ht="12.75" x14ac:dyDescent="0.2">
      <c r="A9" s="329"/>
      <c r="B9" s="329"/>
      <c r="C9" s="389" t="s">
        <v>736</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58087796</v>
      </c>
      <c r="I12" s="404"/>
      <c r="J12" s="404"/>
      <c r="K12" s="405">
        <f>TRUNC((H12/H13*100000),5)/100000</f>
        <v>0.6831189929</v>
      </c>
      <c r="L12" s="406"/>
      <c r="M12" s="360" t="s">
        <v>1205</v>
      </c>
      <c r="N12" s="360"/>
      <c r="O12" s="407">
        <v>0.35</v>
      </c>
      <c r="P12" s="218"/>
      <c r="Q12" s="218"/>
    </row>
    <row r="13" spans="1:18" s="408" customFormat="1" ht="12.75" x14ac:dyDescent="0.2">
      <c r="A13" s="218"/>
      <c r="B13" s="401"/>
      <c r="C13" s="2125" t="s">
        <v>1390</v>
      </c>
      <c r="D13" s="2126"/>
      <c r="E13" s="218"/>
      <c r="F13" s="409" t="s">
        <v>825</v>
      </c>
      <c r="G13" s="402"/>
      <c r="H13" s="403">
        <f>SUM('Acct Summary 7-8'!C8+'Acct Summary 7-8'!D8+'Acct Summary 7-8'!F8+'Acct Summary 7-8'!I8)+H14</f>
        <v>85033203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-52959</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78474565</v>
      </c>
      <c r="I17" s="404"/>
      <c r="J17" s="416"/>
      <c r="K17" s="405">
        <f>TRUNC((H17/H18*100000),5)/100000</f>
        <v>0.92286968179999995</v>
      </c>
      <c r="L17" s="406"/>
      <c r="M17" s="417" t="s">
        <v>1232</v>
      </c>
      <c r="O17" s="418" t="str">
        <f>IF(AND(O16="2", J20 &gt; 2),"1",IF(AND(O16 = "1", J20 &gt; 2),"2",IF(AND(O16="1", J20 &gt;1),"1","0")))</f>
        <v>0</v>
      </c>
      <c r="P17" s="218"/>
    </row>
    <row r="18" spans="1:18" s="408" customFormat="1" ht="11.25" x14ac:dyDescent="0.2">
      <c r="A18" s="218"/>
      <c r="B18" s="401"/>
      <c r="C18" s="2125" t="s">
        <v>1383</v>
      </c>
      <c r="D18" s="2126"/>
      <c r="E18" s="218"/>
      <c r="F18" s="419" t="s">
        <v>826</v>
      </c>
      <c r="G18" s="402"/>
      <c r="H18" s="403">
        <f>SUM('Acct Summary 7-8'!C8+'Acct Summary 7-8'!D8+'Acct Summary 7-8'!F8+'Acct Summary 7-8'!I8)+H19</f>
        <v>85033203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-52959</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2" t="s">
        <v>1478</v>
      </c>
      <c r="D24" s="2122"/>
      <c r="E24" s="218"/>
      <c r="F24" s="218" t="s">
        <v>464</v>
      </c>
      <c r="G24" s="402"/>
      <c r="H24" s="403">
        <f>SUM('Assets-Liab 5-6'!C4+'Assets-Liab 5-6'!D4+'Assets-Liab 5-6'!F4+'Assets-Liab 5-6'!I4+'Assets-Liab 5-6'!C5+'Assets-Liab 5-6'!D5+'Assets-Liab 5-6'!F5+'Assets-Liab 5-6'!I5)</f>
        <v>57921048</v>
      </c>
      <c r="I24" s="422"/>
      <c r="J24" s="422"/>
      <c r="K24" s="423">
        <f>TRUNC(((H24/H25*100000)/100000),2)</f>
        <v>265.70999999999998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217984.90278</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31362433.311439998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101136940</v>
      </c>
      <c r="I32" s="420"/>
      <c r="J32" s="420"/>
      <c r="K32" s="423">
        <f>TRUNC(100-((((H32/H33*100))*100)/100),2)</f>
        <v>8.7899999999999991</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110883782.46000001</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5"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2" t="s">
        <v>1029</v>
      </c>
      <c r="B3" s="2133"/>
      <c r="C3" s="1581"/>
      <c r="D3" s="1582"/>
      <c r="E3" s="1582"/>
      <c r="F3" s="1582"/>
      <c r="G3" s="1582"/>
      <c r="H3" s="1582"/>
      <c r="I3" s="1582"/>
      <c r="J3" s="1582"/>
      <c r="K3" s="1582"/>
      <c r="L3" s="1582"/>
      <c r="M3" s="1583"/>
      <c r="N3" s="1584"/>
    </row>
    <row r="4" spans="1:14" ht="13.5" customHeight="1" x14ac:dyDescent="0.2">
      <c r="A4" s="463" t="s">
        <v>1749</v>
      </c>
      <c r="B4" s="464"/>
      <c r="C4" s="465">
        <v>1677899</v>
      </c>
      <c r="D4" s="466"/>
      <c r="E4" s="466"/>
      <c r="F4" s="466"/>
      <c r="G4" s="466"/>
      <c r="H4" s="466"/>
      <c r="I4" s="466"/>
      <c r="J4" s="467"/>
      <c r="K4" s="466"/>
      <c r="L4" s="466"/>
      <c r="M4" s="468"/>
      <c r="N4" s="469"/>
    </row>
    <row r="5" spans="1:14" x14ac:dyDescent="0.2">
      <c r="A5" s="463" t="s">
        <v>1048</v>
      </c>
      <c r="B5" s="470">
        <v>120</v>
      </c>
      <c r="C5" s="465">
        <v>43653122</v>
      </c>
      <c r="D5" s="466">
        <v>4417342</v>
      </c>
      <c r="E5" s="466">
        <v>5369670</v>
      </c>
      <c r="F5" s="466">
        <v>4868426</v>
      </c>
      <c r="G5" s="466">
        <v>2067655</v>
      </c>
      <c r="H5" s="466">
        <v>313779</v>
      </c>
      <c r="I5" s="466">
        <v>3304259</v>
      </c>
      <c r="J5" s="467">
        <v>860223</v>
      </c>
      <c r="K5" s="471">
        <v>383380</v>
      </c>
      <c r="L5" s="472">
        <v>920830</v>
      </c>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v>166748</v>
      </c>
      <c r="D12" s="466"/>
      <c r="E12" s="466"/>
      <c r="F12" s="466"/>
      <c r="G12" s="466"/>
      <c r="H12" s="466"/>
      <c r="I12" s="466"/>
      <c r="J12" s="467"/>
      <c r="K12" s="466"/>
      <c r="L12" s="466"/>
      <c r="M12" s="469"/>
      <c r="N12" s="469"/>
    </row>
    <row r="13" spans="1:14" ht="13.5" customHeight="1" thickBot="1" x14ac:dyDescent="0.25">
      <c r="A13" s="1758" t="s">
        <v>664</v>
      </c>
      <c r="B13" s="1731"/>
      <c r="C13" s="1759">
        <f>SUM(C4:C12)</f>
        <v>45497769</v>
      </c>
      <c r="D13" s="1759">
        <f t="shared" ref="D13:L13" si="0">SUM(D4:D12)</f>
        <v>4417342</v>
      </c>
      <c r="E13" s="1759">
        <f t="shared" si="0"/>
        <v>5369670</v>
      </c>
      <c r="F13" s="1759">
        <f t="shared" si="0"/>
        <v>4868426</v>
      </c>
      <c r="G13" s="1759">
        <f t="shared" si="0"/>
        <v>2067655</v>
      </c>
      <c r="H13" s="1759">
        <f t="shared" si="0"/>
        <v>313779</v>
      </c>
      <c r="I13" s="1759">
        <f t="shared" si="0"/>
        <v>3304259</v>
      </c>
      <c r="J13" s="1759">
        <f t="shared" si="0"/>
        <v>860223</v>
      </c>
      <c r="K13" s="1759">
        <f t="shared" si="0"/>
        <v>383380</v>
      </c>
      <c r="L13" s="1759">
        <f t="shared" si="0"/>
        <v>920830</v>
      </c>
      <c r="M13" s="468"/>
      <c r="N13" s="469"/>
    </row>
    <row r="14" spans="1:14" ht="18" customHeight="1" thickTop="1" x14ac:dyDescent="0.2">
      <c r="A14" s="2134" t="s">
        <v>149</v>
      </c>
      <c r="B14" s="2135"/>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6009087</v>
      </c>
      <c r="N16" s="484"/>
    </row>
    <row r="17" spans="1:14" s="485" customFormat="1" ht="12.75" customHeight="1" x14ac:dyDescent="0.2">
      <c r="A17" s="482" t="s">
        <v>1469</v>
      </c>
      <c r="B17" s="483">
        <v>230</v>
      </c>
      <c r="C17" s="477"/>
      <c r="D17" s="477"/>
      <c r="E17" s="477"/>
      <c r="F17" s="477"/>
      <c r="G17" s="477"/>
      <c r="H17" s="477"/>
      <c r="I17" s="477"/>
      <c r="J17" s="477"/>
      <c r="K17" s="477"/>
      <c r="L17" s="477"/>
      <c r="M17" s="467">
        <v>154899676</v>
      </c>
      <c r="N17" s="484"/>
    </row>
    <row r="18" spans="1:14" s="485" customFormat="1" ht="12.75" customHeight="1" x14ac:dyDescent="0.2">
      <c r="A18" s="482" t="s">
        <v>1470</v>
      </c>
      <c r="B18" s="483">
        <v>240</v>
      </c>
      <c r="C18" s="477"/>
      <c r="D18" s="477"/>
      <c r="E18" s="477"/>
      <c r="F18" s="477"/>
      <c r="G18" s="477"/>
      <c r="H18" s="477"/>
      <c r="I18" s="477"/>
      <c r="J18" s="477"/>
      <c r="K18" s="477"/>
      <c r="L18" s="477"/>
      <c r="M18" s="467">
        <v>10231021</v>
      </c>
      <c r="N18" s="484"/>
    </row>
    <row r="19" spans="1:14" s="485" customFormat="1" ht="12.75" customHeight="1" x14ac:dyDescent="0.2">
      <c r="A19" s="482" t="s">
        <v>1471</v>
      </c>
      <c r="B19" s="483">
        <v>250</v>
      </c>
      <c r="C19" s="477"/>
      <c r="D19" s="477"/>
      <c r="E19" s="477"/>
      <c r="F19" s="477"/>
      <c r="G19" s="477"/>
      <c r="H19" s="477"/>
      <c r="I19" s="477"/>
      <c r="J19" s="477"/>
      <c r="K19" s="477"/>
      <c r="L19" s="477"/>
      <c r="M19" s="467">
        <f>13899729+6684700</f>
        <v>20584429</v>
      </c>
      <c r="N19" s="484"/>
    </row>
    <row r="20" spans="1:14" s="485" customFormat="1" ht="12.75" customHeight="1" x14ac:dyDescent="0.2">
      <c r="A20" s="482" t="s">
        <v>1472</v>
      </c>
      <c r="B20" s="483">
        <v>260</v>
      </c>
      <c r="C20" s="477"/>
      <c r="D20" s="477"/>
      <c r="E20" s="477"/>
      <c r="F20" s="477"/>
      <c r="G20" s="477"/>
      <c r="H20" s="477"/>
      <c r="I20" s="477"/>
      <c r="J20" s="477"/>
      <c r="K20" s="477"/>
      <c r="L20" s="477"/>
      <c r="M20" s="467">
        <v>92846</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5369670</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95767270</v>
      </c>
    </row>
    <row r="23" spans="1:14" ht="13.5" customHeight="1" thickBot="1" x14ac:dyDescent="0.25">
      <c r="A23" s="1758" t="s">
        <v>663</v>
      </c>
      <c r="B23" s="1763"/>
      <c r="C23" s="468"/>
      <c r="D23" s="468"/>
      <c r="E23" s="468"/>
      <c r="F23" s="468"/>
      <c r="G23" s="468"/>
      <c r="H23" s="468"/>
      <c r="I23" s="468"/>
      <c r="J23" s="468"/>
      <c r="K23" s="468"/>
      <c r="L23" s="468"/>
      <c r="M23" s="1710">
        <f>SUM(M15:M22)</f>
        <v>191817059</v>
      </c>
      <c r="N23" s="1710">
        <f>SUM(N21:N22)</f>
        <v>101136940</v>
      </c>
    </row>
    <row r="24" spans="1:14" ht="18" customHeight="1" thickTop="1" x14ac:dyDescent="0.2">
      <c r="A24" s="2136" t="s">
        <v>618</v>
      </c>
      <c r="B24" s="2137"/>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920830</v>
      </c>
      <c r="M33" s="468"/>
      <c r="N33" s="469"/>
    </row>
    <row r="34" spans="1:14" ht="13.5" customHeight="1" thickBot="1" x14ac:dyDescent="0.25">
      <c r="A34" s="1760" t="s">
        <v>674</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920830</v>
      </c>
      <c r="M34" s="468"/>
      <c r="N34" s="480"/>
    </row>
    <row r="35" spans="1:14" ht="18" customHeight="1" thickTop="1" x14ac:dyDescent="0.2">
      <c r="A35" s="2138" t="s">
        <v>549</v>
      </c>
      <c r="B35" s="213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101136940</v>
      </c>
    </row>
    <row r="37" spans="1:14" ht="13.5" thickBot="1" x14ac:dyDescent="0.25">
      <c r="A37" s="1758" t="s">
        <v>673</v>
      </c>
      <c r="B37" s="1763"/>
      <c r="C37" s="477"/>
      <c r="D37" s="477"/>
      <c r="E37" s="477"/>
      <c r="F37" s="477"/>
      <c r="G37" s="477"/>
      <c r="H37" s="477"/>
      <c r="I37" s="477"/>
      <c r="J37" s="477"/>
      <c r="K37" s="477"/>
      <c r="L37" s="480"/>
      <c r="M37" s="468"/>
      <c r="N37" s="1710">
        <f>SUM(N36:N36)</f>
        <v>101136940</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45497769</v>
      </c>
      <c r="D39" s="466">
        <v>4417342</v>
      </c>
      <c r="E39" s="466">
        <v>5369670</v>
      </c>
      <c r="F39" s="466">
        <v>4868426</v>
      </c>
      <c r="G39" s="466">
        <v>2067655</v>
      </c>
      <c r="H39" s="466">
        <v>313779</v>
      </c>
      <c r="I39" s="466">
        <v>3304259</v>
      </c>
      <c r="J39" s="467">
        <v>860223</v>
      </c>
      <c r="K39" s="466">
        <v>383380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191817059</v>
      </c>
      <c r="N40" s="497"/>
    </row>
    <row r="41" spans="1:14" ht="13.5" customHeight="1" thickBot="1" x14ac:dyDescent="0.25">
      <c r="A41" s="1758" t="s">
        <v>675</v>
      </c>
      <c r="B41" s="1728"/>
      <c r="C41" s="1710">
        <f>(SUM(C34,C37,C38,C39))</f>
        <v>45497769</v>
      </c>
      <c r="D41" s="1710">
        <f t="shared" ref="D41:L41" si="2">SUM(D34,D37,D38:D39)</f>
        <v>4417342</v>
      </c>
      <c r="E41" s="1710">
        <f t="shared" si="2"/>
        <v>5369670</v>
      </c>
      <c r="F41" s="1710">
        <f t="shared" si="2"/>
        <v>4868426</v>
      </c>
      <c r="G41" s="1710">
        <f t="shared" si="2"/>
        <v>2067655</v>
      </c>
      <c r="H41" s="1710">
        <f t="shared" si="2"/>
        <v>313779</v>
      </c>
      <c r="I41" s="1710">
        <f t="shared" si="2"/>
        <v>3304259</v>
      </c>
      <c r="J41" s="1710">
        <f t="shared" si="2"/>
        <v>860223</v>
      </c>
      <c r="K41" s="1710">
        <f t="shared" si="2"/>
        <v>383380</v>
      </c>
      <c r="L41" s="1710">
        <f t="shared" si="2"/>
        <v>920830</v>
      </c>
      <c r="M41" s="1710">
        <f>SUM(M40)</f>
        <v>191817059</v>
      </c>
      <c r="N41" s="1710">
        <f>SUM(N37)</f>
        <v>101136940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8" activePane="bottomLeft" state="frozenSplit"/>
      <selection activeCell="A47" sqref="A47"/>
      <selection pane="bottomLeft" activeCell="H75" sqref="H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0" t="s">
        <v>1236</v>
      </c>
      <c r="B3" s="2161"/>
      <c r="C3" s="1595"/>
      <c r="D3" s="1596"/>
      <c r="E3" s="1596"/>
      <c r="F3" s="1596"/>
      <c r="G3" s="1596"/>
      <c r="H3" s="1596"/>
      <c r="I3" s="1596"/>
      <c r="J3" s="1596"/>
      <c r="K3" s="1597"/>
      <c r="L3" s="506"/>
    </row>
    <row r="4" spans="1:13" ht="15.75" customHeight="1" x14ac:dyDescent="0.2">
      <c r="A4" s="1954" t="s">
        <v>1578</v>
      </c>
      <c r="B4" s="1955">
        <v>1000</v>
      </c>
      <c r="C4" s="1764">
        <f>'Revenues 9-14'!C109</f>
        <v>43783464</v>
      </c>
      <c r="D4" s="1764">
        <f>'Revenues 9-14'!D109</f>
        <v>6333734</v>
      </c>
      <c r="E4" s="1764">
        <f>'Revenues 9-14'!E109</f>
        <v>9304333</v>
      </c>
      <c r="F4" s="1764">
        <f>'Revenues 9-14'!F109</f>
        <v>1861627</v>
      </c>
      <c r="G4" s="1764">
        <f>'Revenues 9-14'!G109</f>
        <v>3108267</v>
      </c>
      <c r="H4" s="1764">
        <f>'Revenues 9-14'!H109</f>
        <v>85123</v>
      </c>
      <c r="I4" s="1764">
        <f>'Revenues 9-14'!I109</f>
        <v>437309</v>
      </c>
      <c r="J4" s="1764">
        <f>'Revenues 9-14'!J109</f>
        <v>1251075</v>
      </c>
      <c r="K4" s="1764">
        <f>'Revenues 9-14'!K109</f>
        <v>800180</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23854237</v>
      </c>
      <c r="D6" s="1765">
        <f>'Revenues 9-14'!D173</f>
        <v>875000</v>
      </c>
      <c r="E6" s="1765">
        <f>'Revenues 9-14'!E173</f>
        <v>0</v>
      </c>
      <c r="F6" s="1765">
        <f>'Revenues 9-14'!F173</f>
        <v>3463698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4477093</v>
      </c>
      <c r="D7" s="1765">
        <f>'Revenues 9-14'!D274</f>
        <v>0</v>
      </c>
      <c r="E7" s="1765">
        <f>'Revenues 9-14'!E274</f>
        <v>200938</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72114794</v>
      </c>
      <c r="D8" s="1710">
        <f t="shared" ref="D8:K8" si="0">SUM(D4:D7)</f>
        <v>7208734</v>
      </c>
      <c r="E8" s="1710">
        <f t="shared" si="0"/>
        <v>9505271</v>
      </c>
      <c r="F8" s="1710">
        <f t="shared" si="0"/>
        <v>5325325</v>
      </c>
      <c r="G8" s="1710">
        <f t="shared" si="0"/>
        <v>3108267</v>
      </c>
      <c r="H8" s="1710">
        <f t="shared" si="0"/>
        <v>85123</v>
      </c>
      <c r="I8" s="1710">
        <f t="shared" si="0"/>
        <v>437309</v>
      </c>
      <c r="J8" s="1710">
        <f t="shared" si="0"/>
        <v>1251075</v>
      </c>
      <c r="K8" s="1710">
        <f t="shared" si="0"/>
        <v>800180</v>
      </c>
      <c r="L8" s="347"/>
    </row>
    <row r="9" spans="1:13" ht="15.75" thickTop="1" x14ac:dyDescent="0.2">
      <c r="A9" s="514" t="s">
        <v>1751</v>
      </c>
      <c r="B9" s="515">
        <v>3998</v>
      </c>
      <c r="C9" s="481">
        <v>27997254</v>
      </c>
      <c r="D9" s="516"/>
      <c r="E9" s="481"/>
      <c r="F9" s="481"/>
      <c r="G9" s="517"/>
      <c r="H9" s="481"/>
      <c r="I9" s="509" t="s">
        <v>1230</v>
      </c>
      <c r="J9" s="478"/>
      <c r="K9" s="481"/>
      <c r="L9" s="347"/>
    </row>
    <row r="10" spans="1:13" s="519" customFormat="1" ht="13.5" thickBot="1" x14ac:dyDescent="0.25">
      <c r="A10" s="1758" t="s">
        <v>1234</v>
      </c>
      <c r="B10" s="1731"/>
      <c r="C10" s="1710">
        <f>SUM(C8:C9)</f>
        <v>100112048</v>
      </c>
      <c r="D10" s="1710">
        <f t="shared" ref="D10:K10" si="1">SUM(D8:D9)</f>
        <v>7208734</v>
      </c>
      <c r="E10" s="1710">
        <f t="shared" si="1"/>
        <v>9505271</v>
      </c>
      <c r="F10" s="1710">
        <f t="shared" si="1"/>
        <v>5325325</v>
      </c>
      <c r="G10" s="1710">
        <f t="shared" si="1"/>
        <v>3108267</v>
      </c>
      <c r="H10" s="1710">
        <f t="shared" si="1"/>
        <v>85123</v>
      </c>
      <c r="I10" s="1710">
        <f t="shared" si="1"/>
        <v>437309</v>
      </c>
      <c r="J10" s="1710">
        <f t="shared" si="1"/>
        <v>1251075</v>
      </c>
      <c r="K10" s="1710">
        <f t="shared" si="1"/>
        <v>800180</v>
      </c>
      <c r="L10" s="518"/>
    </row>
    <row r="11" spans="1:13" s="519" customFormat="1" ht="16.7" customHeight="1" thickTop="1" x14ac:dyDescent="0.2">
      <c r="A11" s="2134" t="s">
        <v>1237</v>
      </c>
      <c r="B11" s="2135"/>
      <c r="C11" s="1592"/>
      <c r="D11" s="1593"/>
      <c r="E11" s="1593"/>
      <c r="F11" s="1593"/>
      <c r="G11" s="1593"/>
      <c r="H11" s="1593"/>
      <c r="I11" s="1593"/>
      <c r="J11" s="1593"/>
      <c r="K11" s="1594"/>
      <c r="L11" s="518"/>
    </row>
    <row r="12" spans="1:13" ht="15.75" customHeight="1" x14ac:dyDescent="0.2">
      <c r="A12" s="1598" t="s">
        <v>475</v>
      </c>
      <c r="B12" s="1600">
        <v>1000</v>
      </c>
      <c r="C12" s="1764">
        <f>'Expenditures 15-22'!K33</f>
        <v>44421904</v>
      </c>
      <c r="D12" s="520" t="s">
        <v>1230</v>
      </c>
      <c r="E12" s="468" t="s">
        <v>1230</v>
      </c>
      <c r="F12" s="468" t="s">
        <v>1230</v>
      </c>
      <c r="G12" s="1764">
        <f>'Expenditures 15-22'!K229</f>
        <v>799615</v>
      </c>
      <c r="H12" s="521"/>
      <c r="I12" s="468" t="s">
        <v>1230</v>
      </c>
      <c r="J12" s="468" t="s">
        <v>1230</v>
      </c>
      <c r="K12" s="521" t="s">
        <v>1230</v>
      </c>
      <c r="L12" s="347"/>
    </row>
    <row r="13" spans="1:13" ht="15.75" customHeight="1" x14ac:dyDescent="0.2">
      <c r="A13" s="1598" t="s">
        <v>476</v>
      </c>
      <c r="B13" s="1600">
        <v>2000</v>
      </c>
      <c r="C13" s="1765">
        <f>'Expenditures 15-22'!K74</f>
        <v>21659263</v>
      </c>
      <c r="D13" s="1765">
        <f>'Expenditures 15-22'!K129</f>
        <v>6798768</v>
      </c>
      <c r="E13" s="469" t="s">
        <v>1230</v>
      </c>
      <c r="F13" s="1765">
        <f>'Expenditures 15-22'!K184</f>
        <v>4924855</v>
      </c>
      <c r="G13" s="1765">
        <f>'Expenditures 15-22'!K279</f>
        <v>2080848</v>
      </c>
      <c r="H13" s="1765">
        <f>'Expenditures 15-22'!K303</f>
        <v>39075</v>
      </c>
      <c r="I13" s="468" t="s">
        <v>1230</v>
      </c>
      <c r="J13" s="1765">
        <f>'Expenditures 15-22'!K330</f>
        <v>830979</v>
      </c>
      <c r="K13" s="1769">
        <f>'Expenditures 15-22'!K352</f>
        <v>409999</v>
      </c>
      <c r="L13" s="347"/>
    </row>
    <row r="14" spans="1:13" ht="15.75" customHeight="1" x14ac:dyDescent="0.2">
      <c r="A14" s="1598" t="s">
        <v>468</v>
      </c>
      <c r="B14" s="1600">
        <v>3000</v>
      </c>
      <c r="C14" s="1765">
        <f>'Expenditures 15-22'!K75</f>
        <v>651038</v>
      </c>
      <c r="D14" s="1765">
        <f>'Expenditures 15-22'!K130</f>
        <v>0</v>
      </c>
      <c r="E14" s="520" t="s">
        <v>1230</v>
      </c>
      <c r="F14" s="1765">
        <f>'Expenditures 15-22'!K185</f>
        <v>0</v>
      </c>
      <c r="G14" s="1765">
        <f>'Expenditures 15-22'!K280</f>
        <v>80</v>
      </c>
      <c r="H14" s="512"/>
      <c r="I14" s="468" t="s">
        <v>1230</v>
      </c>
      <c r="J14" s="468" t="s">
        <v>1230</v>
      </c>
      <c r="K14" s="512" t="s">
        <v>1230</v>
      </c>
      <c r="L14" s="347"/>
    </row>
    <row r="15" spans="1:13" ht="15.75" customHeight="1" x14ac:dyDescent="0.2">
      <c r="A15" s="1598" t="s">
        <v>109</v>
      </c>
      <c r="B15" s="1600">
        <v>4000</v>
      </c>
      <c r="C15" s="1765">
        <f>'Expenditures 15-22'!K102</f>
        <v>18737</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9925262</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66750942</v>
      </c>
      <c r="D17" s="1710">
        <f t="shared" si="2"/>
        <v>6798768</v>
      </c>
      <c r="E17" s="1710">
        <f t="shared" si="2"/>
        <v>9925262</v>
      </c>
      <c r="F17" s="1710">
        <f t="shared" si="2"/>
        <v>4924855</v>
      </c>
      <c r="G17" s="1710">
        <f t="shared" si="2"/>
        <v>2880543</v>
      </c>
      <c r="H17" s="1710">
        <f t="shared" si="2"/>
        <v>39075</v>
      </c>
      <c r="I17" s="468"/>
      <c r="J17" s="1710">
        <f>SUM(J12:J16)</f>
        <v>830979</v>
      </c>
      <c r="K17" s="1710">
        <f>SUM(K12:K16)</f>
        <v>409999</v>
      </c>
      <c r="L17" s="347"/>
    </row>
    <row r="18" spans="1:12" ht="15" customHeight="1" thickTop="1" x14ac:dyDescent="0.2">
      <c r="A18" s="1766" t="s">
        <v>1752</v>
      </c>
      <c r="B18" s="1767">
        <v>4180</v>
      </c>
      <c r="C18" s="1764">
        <f t="shared" ref="C18:H18" si="3">C9</f>
        <v>27997254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94748196</v>
      </c>
      <c r="D19" s="1710">
        <f t="shared" si="4"/>
        <v>6798768</v>
      </c>
      <c r="E19" s="1710">
        <f t="shared" si="4"/>
        <v>9925262</v>
      </c>
      <c r="F19" s="1710">
        <f t="shared" si="4"/>
        <v>4924855</v>
      </c>
      <c r="G19" s="1710">
        <f t="shared" si="4"/>
        <v>2880543</v>
      </c>
      <c r="H19" s="1710">
        <f t="shared" si="4"/>
        <v>39075</v>
      </c>
      <c r="I19" s="468"/>
      <c r="J19" s="1710">
        <f>SUM(J17:J18)</f>
        <v>830979</v>
      </c>
      <c r="K19" s="1710">
        <f>SUM(K17:K18)</f>
        <v>409999</v>
      </c>
      <c r="L19" s="347"/>
    </row>
    <row r="20" spans="1:12" ht="16.5" thickTop="1" thickBot="1" x14ac:dyDescent="0.25">
      <c r="A20" s="2150" t="s">
        <v>1753</v>
      </c>
      <c r="B20" s="2151"/>
      <c r="C20" s="1768">
        <f>C8-C17</f>
        <v>5363852</v>
      </c>
      <c r="D20" s="1768">
        <f t="shared" ref="D20:K20" si="5">D8-D17</f>
        <v>409966</v>
      </c>
      <c r="E20" s="1768">
        <f t="shared" si="5"/>
        <v>-419991</v>
      </c>
      <c r="F20" s="1768">
        <f t="shared" si="5"/>
        <v>400470</v>
      </c>
      <c r="G20" s="1768">
        <f t="shared" si="5"/>
        <v>227724</v>
      </c>
      <c r="H20" s="1768">
        <f t="shared" si="5"/>
        <v>46048</v>
      </c>
      <c r="I20" s="1768">
        <f t="shared" si="5"/>
        <v>437309</v>
      </c>
      <c r="J20" s="1768">
        <f t="shared" si="5"/>
        <v>420096</v>
      </c>
      <c r="K20" s="1768">
        <f t="shared" si="5"/>
        <v>390181</v>
      </c>
      <c r="L20" s="347"/>
    </row>
    <row r="21" spans="1:12" ht="16.7" customHeight="1" thickTop="1" x14ac:dyDescent="0.2">
      <c r="A21" s="2162" t="s">
        <v>615</v>
      </c>
      <c r="B21" s="2163"/>
      <c r="C21" s="1592"/>
      <c r="D21" s="1593"/>
      <c r="E21" s="1593"/>
      <c r="F21" s="1593"/>
      <c r="G21" s="1593"/>
      <c r="H21" s="1593"/>
      <c r="I21" s="1593"/>
      <c r="J21" s="1593"/>
      <c r="K21" s="1594"/>
      <c r="L21" s="524"/>
    </row>
    <row r="22" spans="1:12" ht="15.75" customHeight="1" collapsed="1" x14ac:dyDescent="0.2">
      <c r="A22" s="2158" t="s">
        <v>616</v>
      </c>
      <c r="B22" s="2159"/>
      <c r="C22" s="477"/>
      <c r="D22" s="477"/>
      <c r="E22" s="477"/>
      <c r="F22" s="477"/>
      <c r="G22" s="477"/>
      <c r="H22" s="477"/>
      <c r="I22" s="477"/>
      <c r="J22" s="477"/>
      <c r="K22" s="477"/>
      <c r="L22" s="347"/>
    </row>
    <row r="23" spans="1:12" s="485" customFormat="1" ht="15.75" customHeight="1" x14ac:dyDescent="0.2">
      <c r="A23" s="2154" t="s">
        <v>310</v>
      </c>
      <c r="B23" s="2155"/>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56" t="s">
        <v>1037</v>
      </c>
      <c r="B32" s="2157"/>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52435</v>
      </c>
      <c r="F37" s="475"/>
      <c r="G37" s="475"/>
      <c r="H37" s="475"/>
      <c r="I37" s="477"/>
      <c r="J37" s="475"/>
      <c r="K37" s="475"/>
      <c r="L37" s="524"/>
    </row>
    <row r="38" spans="1:12" s="485" customFormat="1" x14ac:dyDescent="0.2">
      <c r="A38" s="1511" t="s">
        <v>461</v>
      </c>
      <c r="B38" s="525">
        <v>7500</v>
      </c>
      <c r="C38" s="477"/>
      <c r="D38" s="477"/>
      <c r="E38" s="1765">
        <f>SUM(C58:D61,H58:H61)</f>
        <v>524</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v>612631</v>
      </c>
      <c r="F43" s="467"/>
      <c r="G43" s="467"/>
      <c r="H43" s="467"/>
      <c r="I43" s="467"/>
      <c r="J43" s="467"/>
      <c r="K43" s="467"/>
      <c r="L43" s="524"/>
    </row>
    <row r="44" spans="1:12" s="485" customFormat="1" ht="13.5" customHeight="1" thickBot="1" x14ac:dyDescent="0.25">
      <c r="A44" s="2164" t="s">
        <v>391</v>
      </c>
      <c r="B44" s="2165"/>
      <c r="C44" s="1725">
        <f>SUM(C24:C43)</f>
        <v>0</v>
      </c>
      <c r="D44" s="1725">
        <f t="shared" ref="D44:K44" si="6">SUM(D24:D43)</f>
        <v>0</v>
      </c>
      <c r="E44" s="1725">
        <f t="shared" si="6"/>
        <v>665590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v>52435</v>
      </c>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v>524</v>
      </c>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v>612631</v>
      </c>
      <c r="I75" s="530"/>
      <c r="J75" s="530"/>
      <c r="K75" s="532"/>
      <c r="L75" s="524"/>
    </row>
    <row r="76" spans="1:12" s="485" customFormat="1" ht="14.25" thickTop="1" thickBot="1" x14ac:dyDescent="0.25">
      <c r="A76" s="2140" t="s">
        <v>459</v>
      </c>
      <c r="B76" s="2141"/>
      <c r="C76" s="1725">
        <f t="shared" ref="C76:K76" si="7">SUM(C47:C75)</f>
        <v>52959</v>
      </c>
      <c r="D76" s="1725">
        <f t="shared" si="7"/>
        <v>0</v>
      </c>
      <c r="E76" s="1725">
        <f t="shared" si="7"/>
        <v>0</v>
      </c>
      <c r="F76" s="1725">
        <f t="shared" si="7"/>
        <v>0</v>
      </c>
      <c r="G76" s="1725">
        <f t="shared" si="7"/>
        <v>0</v>
      </c>
      <c r="H76" s="1725">
        <f t="shared" si="7"/>
        <v>612631</v>
      </c>
      <c r="I76" s="1725">
        <f t="shared" si="7"/>
        <v>0</v>
      </c>
      <c r="J76" s="1725">
        <f t="shared" si="7"/>
        <v>0</v>
      </c>
      <c r="K76" s="1725">
        <f t="shared" si="7"/>
        <v>0</v>
      </c>
      <c r="L76" s="524"/>
    </row>
    <row r="77" spans="1:12" ht="14.25" thickTop="1" thickBot="1" x14ac:dyDescent="0.25">
      <c r="A77" s="2142" t="s">
        <v>1238</v>
      </c>
      <c r="B77" s="2143"/>
      <c r="C77" s="1725">
        <f t="shared" ref="C77:K77" si="8">C44-C76</f>
        <v>-52959</v>
      </c>
      <c r="D77" s="1725">
        <f t="shared" si="8"/>
        <v>0</v>
      </c>
      <c r="E77" s="1725">
        <f t="shared" si="8"/>
        <v>665590</v>
      </c>
      <c r="F77" s="1725">
        <f t="shared" si="8"/>
        <v>0</v>
      </c>
      <c r="G77" s="1725">
        <f t="shared" si="8"/>
        <v>0</v>
      </c>
      <c r="H77" s="1725">
        <f t="shared" si="8"/>
        <v>-612631</v>
      </c>
      <c r="I77" s="1725">
        <f t="shared" si="8"/>
        <v>0</v>
      </c>
      <c r="J77" s="1725">
        <f t="shared" si="8"/>
        <v>0</v>
      </c>
      <c r="K77" s="1725">
        <f t="shared" si="8"/>
        <v>0</v>
      </c>
      <c r="L77" s="347"/>
    </row>
    <row r="78" spans="1:12" ht="21.75" customHeight="1" thickTop="1" thickBot="1" x14ac:dyDescent="0.25">
      <c r="A78" s="2146" t="s">
        <v>617</v>
      </c>
      <c r="B78" s="2147"/>
      <c r="C78" s="1724">
        <f t="shared" ref="C78:K78" si="9">C20+C77</f>
        <v>5310893</v>
      </c>
      <c r="D78" s="1724">
        <f t="shared" si="9"/>
        <v>409966</v>
      </c>
      <c r="E78" s="1724">
        <f t="shared" si="9"/>
        <v>245599</v>
      </c>
      <c r="F78" s="1724">
        <f t="shared" si="9"/>
        <v>400470</v>
      </c>
      <c r="G78" s="1724">
        <f t="shared" si="9"/>
        <v>227724</v>
      </c>
      <c r="H78" s="1724">
        <f t="shared" si="9"/>
        <v>-566583</v>
      </c>
      <c r="I78" s="1724">
        <f t="shared" si="9"/>
        <v>437309</v>
      </c>
      <c r="J78" s="1724">
        <f t="shared" si="9"/>
        <v>420096</v>
      </c>
      <c r="K78" s="1724">
        <f t="shared" si="9"/>
        <v>390181</v>
      </c>
      <c r="L78" s="533"/>
    </row>
    <row r="79" spans="1:12" ht="13.5" thickTop="1" x14ac:dyDescent="0.2">
      <c r="A79" s="1516" t="s">
        <v>2069</v>
      </c>
      <c r="B79" s="534"/>
      <c r="C79" s="478">
        <v>40186876</v>
      </c>
      <c r="D79" s="535">
        <v>4007376</v>
      </c>
      <c r="E79" s="535">
        <v>5124071</v>
      </c>
      <c r="F79" s="535">
        <v>4467956</v>
      </c>
      <c r="G79" s="535">
        <v>1839931</v>
      </c>
      <c r="H79" s="535">
        <v>880362</v>
      </c>
      <c r="I79" s="535">
        <v>2866950</v>
      </c>
      <c r="J79" s="535">
        <v>440127</v>
      </c>
      <c r="K79" s="535">
        <v>-6801</v>
      </c>
      <c r="L79" s="347"/>
    </row>
    <row r="80" spans="1:12" x14ac:dyDescent="0.2">
      <c r="A80" s="2152" t="s">
        <v>1894</v>
      </c>
      <c r="B80" s="2153"/>
      <c r="C80" s="467"/>
      <c r="D80" s="467"/>
      <c r="E80" s="467"/>
      <c r="F80" s="467"/>
      <c r="G80" s="467"/>
      <c r="H80" s="467"/>
      <c r="I80" s="467"/>
      <c r="J80" s="467"/>
      <c r="K80" s="467"/>
      <c r="L80" s="347"/>
    </row>
    <row r="81" spans="1:12" ht="13.5" thickBot="1" x14ac:dyDescent="0.25">
      <c r="A81" s="2144" t="s">
        <v>2070</v>
      </c>
      <c r="B81" s="2145"/>
      <c r="C81" s="1710">
        <f>(SUM(C78:C80))</f>
        <v>45497769</v>
      </c>
      <c r="D81" s="1710">
        <f>SUM(D78:D80)</f>
        <v>4417342</v>
      </c>
      <c r="E81" s="1710">
        <f t="shared" ref="E81:K81" si="10">SUM(E78:E80)</f>
        <v>5369670</v>
      </c>
      <c r="F81" s="1710">
        <f t="shared" si="10"/>
        <v>4868426</v>
      </c>
      <c r="G81" s="1710">
        <f t="shared" si="10"/>
        <v>2067655</v>
      </c>
      <c r="H81" s="1710">
        <f t="shared" si="10"/>
        <v>313779</v>
      </c>
      <c r="I81" s="1710">
        <f t="shared" si="10"/>
        <v>3304259</v>
      </c>
      <c r="J81" s="1710">
        <f t="shared" si="10"/>
        <v>860223</v>
      </c>
      <c r="K81" s="1710">
        <f t="shared" si="10"/>
        <v>383380</v>
      </c>
      <c r="L81" s="347"/>
    </row>
    <row r="82" spans="1:12" ht="0.75" customHeight="1" thickTop="1" thickBot="1" x14ac:dyDescent="0.25">
      <c r="A82" s="536" t="s">
        <v>360</v>
      </c>
      <c r="B82" s="537"/>
      <c r="C82" s="538">
        <f>(C81-C79)</f>
        <v>5310893</v>
      </c>
      <c r="D82" s="538">
        <f t="shared" ref="D82:K82" si="11">(D81-D79)</f>
        <v>409966</v>
      </c>
      <c r="E82" s="538">
        <f t="shared" si="11"/>
        <v>245599</v>
      </c>
      <c r="F82" s="538">
        <f t="shared" si="11"/>
        <v>400470</v>
      </c>
      <c r="G82" s="538">
        <f t="shared" si="11"/>
        <v>227724</v>
      </c>
      <c r="H82" s="538">
        <f t="shared" si="11"/>
        <v>-566583</v>
      </c>
      <c r="I82" s="538">
        <f t="shared" si="11"/>
        <v>437309</v>
      </c>
      <c r="J82" s="538">
        <f t="shared" si="11"/>
        <v>420096</v>
      </c>
      <c r="K82" s="538">
        <f t="shared" si="11"/>
        <v>390181</v>
      </c>
    </row>
    <row r="83" spans="1:12" ht="14.25" hidden="1" thickTop="1" thickBot="1" x14ac:dyDescent="0.25">
      <c r="A83" s="539" t="s">
        <v>361</v>
      </c>
      <c r="B83" s="464"/>
      <c r="C83" s="540">
        <f>C82/C81</f>
        <v>0.11672864662880503</v>
      </c>
      <c r="D83" s="540">
        <f t="shared" ref="D83:K83" si="12">D82/D81</f>
        <v>9.280829965169099E-2</v>
      </c>
      <c r="E83" s="540">
        <f t="shared" si="12"/>
        <v>4.5738192477377565E-2</v>
      </c>
      <c r="F83" s="540">
        <f t="shared" si="12"/>
        <v>8.2258619110160039E-2</v>
      </c>
      <c r="G83" s="540">
        <f t="shared" si="12"/>
        <v>0.11013636220742822</v>
      </c>
      <c r="H83" s="540">
        <f t="shared" si="12"/>
        <v>-1.8056753320011856</v>
      </c>
      <c r="I83" s="540">
        <f t="shared" si="12"/>
        <v>0.1323470708561284</v>
      </c>
      <c r="J83" s="540">
        <f t="shared" si="12"/>
        <v>0.48835708880139217</v>
      </c>
      <c r="K83" s="540">
        <f t="shared" si="12"/>
        <v>1.0177395795294486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1901</v>
      </c>
      <c r="B1" s="452"/>
      <c r="C1" s="453" t="s">
        <v>444</v>
      </c>
      <c r="D1" s="453" t="s">
        <v>445</v>
      </c>
      <c r="E1" s="453" t="s">
        <v>446</v>
      </c>
      <c r="F1" s="453" t="s">
        <v>447</v>
      </c>
      <c r="G1" s="453" t="s">
        <v>448</v>
      </c>
      <c r="H1" s="453" t="s">
        <v>449</v>
      </c>
      <c r="I1" s="453" t="s">
        <v>450</v>
      </c>
      <c r="J1" s="453" t="s">
        <v>451</v>
      </c>
      <c r="K1" s="453" t="s">
        <v>779</v>
      </c>
    </row>
    <row r="2" spans="1:12" ht="36" x14ac:dyDescent="0.2">
      <c r="A2" s="214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30405700</v>
      </c>
      <c r="D5" s="481">
        <v>5924661</v>
      </c>
      <c r="E5" s="466">
        <v>8781164</v>
      </c>
      <c r="F5" s="548">
        <v>1691593</v>
      </c>
      <c r="G5" s="466">
        <v>1503309</v>
      </c>
      <c r="H5" s="466"/>
      <c r="I5" s="466">
        <v>399093</v>
      </c>
      <c r="J5" s="467">
        <v>1225837</v>
      </c>
      <c r="K5" s="466">
        <v>799016</v>
      </c>
    </row>
    <row r="6" spans="1:12" ht="15" x14ac:dyDescent="0.2">
      <c r="A6" s="463" t="s">
        <v>1760</v>
      </c>
      <c r="B6" s="470">
        <v>1130</v>
      </c>
      <c r="C6" s="466"/>
      <c r="D6" s="466"/>
      <c r="E6" s="475"/>
      <c r="F6" s="475"/>
      <c r="G6" s="468"/>
      <c r="H6" s="468"/>
      <c r="I6" s="468"/>
      <c r="J6" s="468"/>
      <c r="K6" s="468"/>
    </row>
    <row r="7" spans="1:12" x14ac:dyDescent="0.2">
      <c r="A7" s="463" t="s">
        <v>112</v>
      </c>
      <c r="B7" s="549">
        <v>1140</v>
      </c>
      <c r="C7" s="466">
        <v>6182631</v>
      </c>
      <c r="D7" s="466"/>
      <c r="E7" s="468"/>
      <c r="F7" s="467"/>
      <c r="G7" s="467"/>
      <c r="H7" s="467"/>
      <c r="I7" s="468"/>
      <c r="J7" s="468"/>
      <c r="K7" s="468"/>
    </row>
    <row r="8" spans="1:12" x14ac:dyDescent="0.2">
      <c r="A8" s="463" t="s">
        <v>432</v>
      </c>
      <c r="B8" s="470">
        <v>1150</v>
      </c>
      <c r="C8" s="475"/>
      <c r="D8" s="475"/>
      <c r="E8" s="477"/>
      <c r="F8" s="477"/>
      <c r="G8" s="481">
        <v>1503309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36588331</v>
      </c>
      <c r="D12" s="1729">
        <f t="shared" si="0"/>
        <v>5924661</v>
      </c>
      <c r="E12" s="1729">
        <f t="shared" si="0"/>
        <v>8781164</v>
      </c>
      <c r="F12" s="1729">
        <f t="shared" si="0"/>
        <v>1691593</v>
      </c>
      <c r="G12" s="1729">
        <f t="shared" si="0"/>
        <v>3006618</v>
      </c>
      <c r="H12" s="1729">
        <f t="shared" si="0"/>
        <v>0</v>
      </c>
      <c r="I12" s="1729">
        <f t="shared" si="0"/>
        <v>399093</v>
      </c>
      <c r="J12" s="1729">
        <f t="shared" si="0"/>
        <v>1225837</v>
      </c>
      <c r="K12" s="1710">
        <f t="shared" si="0"/>
        <v>799016</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v>184931</v>
      </c>
      <c r="E16" s="466">
        <v>474261</v>
      </c>
      <c r="F16" s="466"/>
      <c r="G16" s="466">
        <v>78739</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0</v>
      </c>
      <c r="D18" s="1732">
        <f t="shared" ref="D18:K18" si="1">SUM(D14:D17)</f>
        <v>184931</v>
      </c>
      <c r="E18" s="1732">
        <f t="shared" si="1"/>
        <v>474261</v>
      </c>
      <c r="F18" s="1732">
        <f t="shared" si="1"/>
        <v>0</v>
      </c>
      <c r="G18" s="1732">
        <f t="shared" si="1"/>
        <v>78739</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v>134815</v>
      </c>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32643</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3673012</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3840470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v>52080</v>
      </c>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37306</v>
      </c>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89386</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437243</v>
      </c>
      <c r="D65" s="466">
        <v>44324</v>
      </c>
      <c r="E65" s="466">
        <v>48908</v>
      </c>
      <c r="F65" s="467">
        <v>55634</v>
      </c>
      <c r="G65" s="466">
        <v>22910</v>
      </c>
      <c r="H65" s="466">
        <v>7422</v>
      </c>
      <c r="I65" s="466">
        <v>38216</v>
      </c>
      <c r="J65" s="467">
        <v>3531</v>
      </c>
      <c r="K65" s="466">
        <v>1164</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437243</v>
      </c>
      <c r="D67" s="1710">
        <f t="shared" ref="D67:K67" si="2">SUM(D65:D66)</f>
        <v>44324</v>
      </c>
      <c r="E67" s="1710">
        <f t="shared" si="2"/>
        <v>48908</v>
      </c>
      <c r="F67" s="1710">
        <f t="shared" si="2"/>
        <v>55634</v>
      </c>
      <c r="G67" s="1710">
        <f t="shared" si="2"/>
        <v>22910</v>
      </c>
      <c r="H67" s="1710">
        <f t="shared" si="2"/>
        <v>7422</v>
      </c>
      <c r="I67" s="1710">
        <f t="shared" si="2"/>
        <v>38216</v>
      </c>
      <c r="J67" s="1710">
        <f t="shared" si="2"/>
        <v>3531</v>
      </c>
      <c r="K67" s="1710">
        <f t="shared" si="2"/>
        <v>1164</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f>22618+442649</f>
        <v>465267</v>
      </c>
      <c r="D69" s="468"/>
      <c r="E69" s="468"/>
      <c r="F69" s="468"/>
      <c r="G69" s="468"/>
      <c r="H69" s="468"/>
      <c r="I69" s="468"/>
      <c r="J69" s="468"/>
      <c r="K69" s="468"/>
    </row>
    <row r="70" spans="1:11" ht="12.75" customHeight="1" x14ac:dyDescent="0.2">
      <c r="A70" s="463" t="s">
        <v>1053</v>
      </c>
      <c r="B70" s="470">
        <v>1612</v>
      </c>
      <c r="C70" s="551">
        <v>29837</v>
      </c>
      <c r="D70" s="468"/>
      <c r="E70" s="468"/>
      <c r="F70" s="468"/>
      <c r="G70" s="468"/>
      <c r="H70" s="468"/>
      <c r="I70" s="468"/>
      <c r="J70" s="468"/>
      <c r="K70" s="468"/>
    </row>
    <row r="71" spans="1:11" ht="12.75" customHeight="1" x14ac:dyDescent="0.2">
      <c r="A71" s="463" t="s">
        <v>290</v>
      </c>
      <c r="B71" s="470">
        <v>1613</v>
      </c>
      <c r="C71" s="551">
        <v>121018</v>
      </c>
      <c r="D71" s="468"/>
      <c r="E71" s="468"/>
      <c r="F71" s="468"/>
      <c r="G71" s="468"/>
      <c r="H71" s="468"/>
      <c r="I71" s="468"/>
      <c r="J71" s="468"/>
      <c r="K71" s="468"/>
    </row>
    <row r="72" spans="1:11" ht="12.75" customHeight="1" x14ac:dyDescent="0.2">
      <c r="A72" s="463" t="s">
        <v>24</v>
      </c>
      <c r="B72" s="470">
        <v>1614</v>
      </c>
      <c r="C72" s="551">
        <v>13933</v>
      </c>
      <c r="D72" s="468"/>
      <c r="E72" s="468"/>
      <c r="F72" s="468"/>
      <c r="G72" s="468"/>
      <c r="H72" s="468"/>
      <c r="I72" s="468"/>
      <c r="J72" s="468"/>
      <c r="K72" s="468"/>
    </row>
    <row r="73" spans="1:11" ht="12.75" customHeight="1" x14ac:dyDescent="0.2">
      <c r="A73" s="463" t="s">
        <v>1054</v>
      </c>
      <c r="B73" s="470">
        <v>1620</v>
      </c>
      <c r="C73" s="551">
        <v>23590</v>
      </c>
      <c r="D73" s="468"/>
      <c r="E73" s="468"/>
      <c r="F73" s="468"/>
      <c r="G73" s="468"/>
      <c r="H73" s="468"/>
      <c r="I73" s="468"/>
      <c r="J73" s="468"/>
      <c r="K73" s="468"/>
    </row>
    <row r="74" spans="1:11" ht="12.75" customHeight="1" x14ac:dyDescent="0.2">
      <c r="A74" s="463" t="s">
        <v>25</v>
      </c>
      <c r="B74" s="470">
        <v>1690</v>
      </c>
      <c r="C74" s="551">
        <v>91356</v>
      </c>
      <c r="D74" s="468"/>
      <c r="E74" s="468"/>
      <c r="F74" s="468"/>
      <c r="G74" s="468"/>
      <c r="H74" s="468"/>
      <c r="I74" s="468"/>
      <c r="J74" s="468"/>
      <c r="K74" s="468"/>
    </row>
    <row r="75" spans="1:11" ht="12.75" customHeight="1" thickBot="1" x14ac:dyDescent="0.25">
      <c r="A75" s="1730" t="s">
        <v>568</v>
      </c>
      <c r="B75" s="1731"/>
      <c r="C75" s="1710">
        <f>SUM(C69:C74)</f>
        <v>745001</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195599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96095</v>
      </c>
      <c r="D79" s="466">
        <v>34045</v>
      </c>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291694</v>
      </c>
      <c r="D82" s="1710">
        <f>SUM(D77:D81)</f>
        <v>34045</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753271</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753271</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v>36148</v>
      </c>
      <c r="E95" s="521"/>
      <c r="F95" s="521"/>
      <c r="G95" s="521"/>
      <c r="H95" s="521"/>
      <c r="I95" s="521"/>
      <c r="J95" s="521"/>
      <c r="K95" s="521"/>
    </row>
    <row r="96" spans="1:11" ht="12.75" customHeight="1" x14ac:dyDescent="0.2">
      <c r="A96" s="463" t="s">
        <v>408</v>
      </c>
      <c r="B96" s="470">
        <v>1920</v>
      </c>
      <c r="C96" s="551">
        <v>598412</v>
      </c>
      <c r="D96" s="551"/>
      <c r="E96" s="479"/>
      <c r="F96" s="478"/>
      <c r="G96" s="478"/>
      <c r="H96" s="478"/>
      <c r="I96" s="478"/>
      <c r="J96" s="478"/>
      <c r="K96" s="478"/>
    </row>
    <row r="97" spans="1:12" ht="12.75" customHeight="1" x14ac:dyDescent="0.2">
      <c r="A97" s="1517" t="s">
        <v>262</v>
      </c>
      <c r="B97" s="559">
        <v>1930</v>
      </c>
      <c r="C97" s="489"/>
      <c r="D97" s="467"/>
      <c r="E97" s="474"/>
      <c r="F97" s="467"/>
      <c r="G97" s="467"/>
      <c r="H97" s="467">
        <v>53201</v>
      </c>
      <c r="I97" s="467"/>
      <c r="J97" s="467"/>
      <c r="K97" s="467"/>
    </row>
    <row r="98" spans="1:12" ht="12.75" customHeight="1" x14ac:dyDescent="0.2">
      <c r="A98" s="463" t="s">
        <v>198</v>
      </c>
      <c r="B98" s="470">
        <v>1940</v>
      </c>
      <c r="C98" s="489"/>
      <c r="D98" s="466">
        <v>58682</v>
      </c>
      <c r="E98" s="512"/>
      <c r="F98" s="466"/>
      <c r="G98" s="512"/>
      <c r="H98" s="512"/>
      <c r="I98" s="510"/>
      <c r="J98" s="512"/>
      <c r="K98" s="512"/>
    </row>
    <row r="99" spans="1:12" ht="12.75" customHeight="1" x14ac:dyDescent="0.2">
      <c r="A99" s="463" t="s">
        <v>874</v>
      </c>
      <c r="B99" s="470">
        <v>1950</v>
      </c>
      <c r="C99" s="489">
        <v>20390</v>
      </c>
      <c r="D99" s="466">
        <v>1480</v>
      </c>
      <c r="E99" s="466"/>
      <c r="F99" s="466"/>
      <c r="G99" s="466"/>
      <c r="H99" s="466"/>
      <c r="I99" s="468"/>
      <c r="J99" s="467">
        <v>21707</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74674</v>
      </c>
      <c r="D101" s="526"/>
      <c r="E101" s="480"/>
      <c r="F101" s="526"/>
      <c r="G101" s="475"/>
      <c r="H101" s="526"/>
      <c r="I101" s="468"/>
      <c r="J101" s="475"/>
      <c r="K101" s="475"/>
    </row>
    <row r="102" spans="1:12" ht="12.75" customHeight="1" x14ac:dyDescent="0.2">
      <c r="A102" s="463" t="s">
        <v>265</v>
      </c>
      <c r="B102" s="470">
        <v>1980</v>
      </c>
      <c r="C102" s="489">
        <v>43624</v>
      </c>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v>-8953</v>
      </c>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399307</v>
      </c>
      <c r="D107" s="466">
        <v>49463</v>
      </c>
      <c r="E107" s="466"/>
      <c r="F107" s="466">
        <v>25014</v>
      </c>
      <c r="G107" s="466"/>
      <c r="H107" s="466">
        <v>24500</v>
      </c>
      <c r="I107" s="466"/>
      <c r="J107" s="467"/>
      <c r="K107" s="466"/>
    </row>
    <row r="108" spans="1:12" ht="12.75" customHeight="1" thickBot="1" x14ac:dyDescent="0.25">
      <c r="A108" s="1730" t="s">
        <v>507</v>
      </c>
      <c r="B108" s="1734"/>
      <c r="C108" s="1729">
        <f>SUM(C95:C107)</f>
        <v>1127454</v>
      </c>
      <c r="D108" s="1729">
        <f t="shared" ref="D108:K108" si="3">SUM(D95:D107)</f>
        <v>145773</v>
      </c>
      <c r="E108" s="1729">
        <f t="shared" si="3"/>
        <v>0</v>
      </c>
      <c r="F108" s="1729">
        <f t="shared" si="3"/>
        <v>25014</v>
      </c>
      <c r="G108" s="1729">
        <f t="shared" si="3"/>
        <v>0</v>
      </c>
      <c r="H108" s="1729">
        <f t="shared" si="3"/>
        <v>77701</v>
      </c>
      <c r="I108" s="1729">
        <f t="shared" si="3"/>
        <v>0</v>
      </c>
      <c r="J108" s="1729">
        <f t="shared" si="3"/>
        <v>21707</v>
      </c>
      <c r="K108" s="1710">
        <f t="shared" si="3"/>
        <v>0</v>
      </c>
    </row>
    <row r="109" spans="1:12" ht="14.25" thickTop="1" thickBot="1" x14ac:dyDescent="0.25">
      <c r="A109" s="1735" t="s">
        <v>266</v>
      </c>
      <c r="B109" s="1736" t="s">
        <v>590</v>
      </c>
      <c r="C109" s="1737">
        <f t="shared" ref="C109:K109" si="4">SUM(C12,C18,C40,C63,C67,C75,C82,C93,C108,)</f>
        <v>43783464</v>
      </c>
      <c r="D109" s="1737">
        <f t="shared" si="4"/>
        <v>6333734</v>
      </c>
      <c r="E109" s="1737">
        <f t="shared" si="4"/>
        <v>9304333</v>
      </c>
      <c r="F109" s="1737">
        <f t="shared" si="4"/>
        <v>1861627</v>
      </c>
      <c r="G109" s="1737">
        <f t="shared" si="4"/>
        <v>3108267</v>
      </c>
      <c r="H109" s="1737">
        <f t="shared" si="4"/>
        <v>85123</v>
      </c>
      <c r="I109" s="1737">
        <f t="shared" si="4"/>
        <v>437309</v>
      </c>
      <c r="J109" s="1737">
        <f t="shared" si="4"/>
        <v>1251075</v>
      </c>
      <c r="K109" s="1724">
        <f t="shared" si="4"/>
        <v>800180</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18709025</v>
      </c>
      <c r="D117" s="481">
        <v>800000</v>
      </c>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18709025</v>
      </c>
      <c r="D121" s="1729">
        <f t="shared" si="5"/>
        <v>800000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128413</v>
      </c>
      <c r="D124" s="561"/>
      <c r="E124" s="468"/>
      <c r="F124" s="548"/>
      <c r="G124" s="468"/>
      <c r="H124" s="468"/>
      <c r="I124" s="468"/>
      <c r="J124" s="468"/>
      <c r="K124" s="468"/>
    </row>
    <row r="125" spans="1:11" ht="12.75" customHeight="1" x14ac:dyDescent="0.2">
      <c r="A125" s="463" t="s">
        <v>1520</v>
      </c>
      <c r="B125" s="562">
        <v>3105</v>
      </c>
      <c r="C125" s="466">
        <v>417586</v>
      </c>
      <c r="D125" s="561"/>
      <c r="E125" s="468"/>
      <c r="F125" s="466"/>
      <c r="G125" s="468"/>
      <c r="H125" s="468"/>
      <c r="I125" s="468"/>
      <c r="J125" s="468"/>
      <c r="K125" s="468"/>
    </row>
    <row r="126" spans="1:11" ht="12.75" customHeight="1" x14ac:dyDescent="0.2">
      <c r="A126" s="463" t="s">
        <v>921</v>
      </c>
      <c r="B126" s="562">
        <v>3110</v>
      </c>
      <c r="C126" s="551">
        <v>921396</v>
      </c>
      <c r="D126" s="466"/>
      <c r="E126" s="468"/>
      <c r="F126" s="466"/>
      <c r="G126" s="468"/>
      <c r="H126" s="468"/>
      <c r="I126" s="468"/>
      <c r="J126" s="468"/>
      <c r="K126" s="468"/>
    </row>
    <row r="127" spans="1:11" ht="12.75" customHeight="1" x14ac:dyDescent="0.2">
      <c r="A127" s="463" t="s">
        <v>107</v>
      </c>
      <c r="B127" s="562">
        <v>3120</v>
      </c>
      <c r="C127" s="466">
        <v>59644</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36791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1563830</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71343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71343</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492347</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492347</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17958</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67254</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v>65000</v>
      </c>
      <c r="E151" s="561"/>
      <c r="F151" s="466">
        <v>2884187</v>
      </c>
      <c r="G151" s="467"/>
      <c r="H151" s="468"/>
      <c r="I151" s="468"/>
      <c r="J151" s="468"/>
      <c r="K151" s="468"/>
    </row>
    <row r="152" spans="1:11" ht="12.75" customHeight="1" x14ac:dyDescent="0.2">
      <c r="A152" s="463" t="s">
        <v>1116</v>
      </c>
      <c r="B152" s="562">
        <v>3510</v>
      </c>
      <c r="C152" s="551"/>
      <c r="D152" s="466">
        <v>10000</v>
      </c>
      <c r="E152" s="561"/>
      <c r="F152" s="466">
        <v>579511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75000</v>
      </c>
      <c r="E154" s="561"/>
      <c r="F154" s="1729">
        <f>SUM(F151:F153)</f>
        <v>3463698</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2735008</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197472</v>
      </c>
      <c r="D171" s="580"/>
      <c r="E171" s="580"/>
      <c r="F171" s="580"/>
      <c r="G171" s="581"/>
      <c r="H171" s="582"/>
      <c r="I171" s="581"/>
      <c r="J171" s="581"/>
      <c r="K171" s="582"/>
    </row>
    <row r="172" spans="1:11" ht="12.75" customHeight="1" thickTop="1" thickBot="1" x14ac:dyDescent="0.25">
      <c r="A172" s="2168" t="s">
        <v>417</v>
      </c>
      <c r="B172" s="2169"/>
      <c r="C172" s="1744">
        <f t="shared" ref="C172:K172" si="6">SUM(C131,C140,C144,C145:C149,C154,C155:C170,C171)</f>
        <v>5145212</v>
      </c>
      <c r="D172" s="1744">
        <f t="shared" si="6"/>
        <v>75000</v>
      </c>
      <c r="E172" s="1744">
        <f t="shared" si="6"/>
        <v>0</v>
      </c>
      <c r="F172" s="1744">
        <f t="shared" si="6"/>
        <v>3463698</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23854237</v>
      </c>
      <c r="D173" s="1737">
        <f>SUM(D121,D172)</f>
        <v>875000</v>
      </c>
      <c r="E173" s="1737">
        <f>SUM(E121,E172)</f>
        <v>0</v>
      </c>
      <c r="F173" s="1737">
        <f t="shared" ref="F173:K173" si="7">SUM(F121,F172)</f>
        <v>3463698</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70" t="s">
        <v>1571</v>
      </c>
      <c r="B175" s="2171"/>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4" t="s">
        <v>1763</v>
      </c>
      <c r="B178" s="2175"/>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8" t="s">
        <v>1762</v>
      </c>
      <c r="B179" s="2179"/>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6" t="s">
        <v>817</v>
      </c>
      <c r="B184" s="2177"/>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2" t="s">
        <v>1902</v>
      </c>
      <c r="B185" s="2173"/>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1001791</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187496</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1189287</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619317</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619317</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1190</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1190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64843</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1225089</v>
      </c>
      <c r="D220" s="466"/>
      <c r="E220" s="468"/>
      <c r="F220" s="466"/>
      <c r="G220" s="466"/>
      <c r="H220" s="468"/>
      <c r="I220" s="468"/>
      <c r="J220" s="468"/>
      <c r="K220" s="468"/>
    </row>
    <row r="221" spans="1:11" ht="12.75" customHeight="1" x14ac:dyDescent="0.2">
      <c r="A221" s="463" t="s">
        <v>1113</v>
      </c>
      <c r="B221" s="470">
        <v>4625</v>
      </c>
      <c r="C221" s="551">
        <v>351918</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1641850</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51816</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51816</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v>200938</v>
      </c>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200938</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v>155342</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216139</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251340</v>
      </c>
      <c r="D270" s="576"/>
      <c r="E270" s="468"/>
      <c r="F270" s="576"/>
      <c r="G270" s="576"/>
      <c r="H270" s="468"/>
      <c r="I270" s="468"/>
      <c r="J270" s="468"/>
      <c r="K270" s="468"/>
    </row>
    <row r="271" spans="1:11" ht="12.75" customHeight="1" thickTop="1" thickBot="1" x14ac:dyDescent="0.25">
      <c r="A271" s="463" t="s">
        <v>394</v>
      </c>
      <c r="B271" s="470">
        <v>4992</v>
      </c>
      <c r="C271" s="575">
        <v>317075</v>
      </c>
      <c r="D271" s="576"/>
      <c r="E271" s="468"/>
      <c r="F271" s="576"/>
      <c r="G271" s="576"/>
      <c r="H271" s="468"/>
      <c r="I271" s="468"/>
      <c r="J271" s="468"/>
      <c r="K271" s="468"/>
    </row>
    <row r="272" spans="1:11" s="594" customFormat="1" ht="12.75" customHeight="1" thickTop="1" thickBot="1" x14ac:dyDescent="0.25">
      <c r="A272" s="563" t="s">
        <v>77</v>
      </c>
      <c r="B272" s="557">
        <v>4999</v>
      </c>
      <c r="C272" s="575">
        <v>33737</v>
      </c>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4477093</v>
      </c>
      <c r="D273" s="1737">
        <f t="shared" si="10"/>
        <v>0</v>
      </c>
      <c r="E273" s="1737">
        <f t="shared" si="10"/>
        <v>200938</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4477093</v>
      </c>
      <c r="D274" s="1737">
        <f>SUM(D178,D184,D273)</f>
        <v>0</v>
      </c>
      <c r="E274" s="1737">
        <f>SUM(E178,E273)</f>
        <v>200938</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72114794</v>
      </c>
      <c r="D275" s="1737">
        <f t="shared" si="12"/>
        <v>7208734</v>
      </c>
      <c r="E275" s="1737">
        <f t="shared" si="12"/>
        <v>9505271</v>
      </c>
      <c r="F275" s="1737">
        <f t="shared" si="12"/>
        <v>5325325</v>
      </c>
      <c r="G275" s="1737">
        <f t="shared" si="12"/>
        <v>3108267</v>
      </c>
      <c r="H275" s="1737">
        <f t="shared" si="12"/>
        <v>85123</v>
      </c>
      <c r="I275" s="1737">
        <f t="shared" si="12"/>
        <v>437309</v>
      </c>
      <c r="J275" s="1737">
        <f t="shared" si="12"/>
        <v>1251075</v>
      </c>
      <c r="K275" s="1724">
        <f t="shared" si="12"/>
        <v>800180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41" activePane="bottomLeft" state="frozen"/>
      <selection activeCell="A47" sqref="A47"/>
      <selection pane="bottomLef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6" t="s">
        <v>314</v>
      </c>
      <c r="B3" s="2187"/>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16469356</v>
      </c>
      <c r="D5" s="466">
        <v>5298496</v>
      </c>
      <c r="E5" s="466">
        <v>399880</v>
      </c>
      <c r="F5" s="466">
        <v>463717</v>
      </c>
      <c r="G5" s="466">
        <v>62623</v>
      </c>
      <c r="H5" s="466">
        <v>61161</v>
      </c>
      <c r="I5" s="467">
        <v>6886</v>
      </c>
      <c r="J5" s="467">
        <v>54061</v>
      </c>
      <c r="K5" s="1693">
        <f>SUM(C5:J5)</f>
        <v>22816180</v>
      </c>
      <c r="L5" s="466">
        <f>23366576+93500</f>
        <v>23460076</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v>798949</v>
      </c>
      <c r="D7" s="467">
        <v>239317</v>
      </c>
      <c r="E7" s="467">
        <v>7393</v>
      </c>
      <c r="F7" s="467">
        <v>64019</v>
      </c>
      <c r="G7" s="467">
        <v>49052</v>
      </c>
      <c r="H7" s="467"/>
      <c r="I7" s="467"/>
      <c r="J7" s="467"/>
      <c r="K7" s="1693">
        <f t="shared" ref="K7:K32" si="0">SUM(C7:J7)</f>
        <v>1158730</v>
      </c>
      <c r="L7" s="466">
        <f>1207357+47489</f>
        <v>1254846</v>
      </c>
    </row>
    <row r="8" spans="1:14" x14ac:dyDescent="0.2">
      <c r="A8" s="1526" t="s">
        <v>166</v>
      </c>
      <c r="B8" s="615">
        <v>1200</v>
      </c>
      <c r="C8" s="466">
        <v>7435565</v>
      </c>
      <c r="D8" s="466">
        <v>2006273</v>
      </c>
      <c r="E8" s="466">
        <v>52447</v>
      </c>
      <c r="F8" s="466">
        <v>75102</v>
      </c>
      <c r="G8" s="466">
        <v>7363</v>
      </c>
      <c r="H8" s="466">
        <v>358816</v>
      </c>
      <c r="I8" s="467"/>
      <c r="J8" s="467"/>
      <c r="K8" s="1693">
        <f t="shared" si="0"/>
        <v>9935566</v>
      </c>
      <c r="L8" s="466">
        <f>10060763+2000</f>
        <v>10062763</v>
      </c>
    </row>
    <row r="9" spans="1:14" x14ac:dyDescent="0.2">
      <c r="A9" s="1526" t="s">
        <v>744</v>
      </c>
      <c r="B9" s="615" t="s">
        <v>1024</v>
      </c>
      <c r="C9" s="467">
        <v>153963</v>
      </c>
      <c r="D9" s="467">
        <v>36765</v>
      </c>
      <c r="E9" s="467"/>
      <c r="F9" s="467">
        <v>69</v>
      </c>
      <c r="G9" s="467"/>
      <c r="H9" s="467"/>
      <c r="I9" s="467"/>
      <c r="J9" s="467"/>
      <c r="K9" s="1693">
        <f t="shared" si="0"/>
        <v>190797</v>
      </c>
      <c r="L9" s="466">
        <v>178321</v>
      </c>
    </row>
    <row r="10" spans="1:14" x14ac:dyDescent="0.2">
      <c r="A10" s="1526" t="s">
        <v>745</v>
      </c>
      <c r="B10" s="615">
        <v>1250</v>
      </c>
      <c r="C10" s="466">
        <v>182274</v>
      </c>
      <c r="D10" s="466">
        <v>42136</v>
      </c>
      <c r="E10" s="466">
        <v>139719</v>
      </c>
      <c r="F10" s="466">
        <v>507516</v>
      </c>
      <c r="G10" s="466"/>
      <c r="H10" s="466"/>
      <c r="I10" s="467"/>
      <c r="J10" s="467"/>
      <c r="K10" s="1693">
        <f t="shared" si="0"/>
        <v>871645</v>
      </c>
      <c r="L10" s="466">
        <v>687568</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971204</v>
      </c>
      <c r="D13" s="466">
        <v>269995</v>
      </c>
      <c r="E13" s="466">
        <v>5281</v>
      </c>
      <c r="F13" s="466">
        <v>31357</v>
      </c>
      <c r="G13" s="466">
        <v>1800</v>
      </c>
      <c r="H13" s="466"/>
      <c r="I13" s="467">
        <v>4355</v>
      </c>
      <c r="J13" s="467"/>
      <c r="K13" s="1693">
        <f t="shared" si="0"/>
        <v>1283992</v>
      </c>
      <c r="L13" s="466">
        <f>1285458+12716</f>
        <v>1298174</v>
      </c>
    </row>
    <row r="14" spans="1:14" x14ac:dyDescent="0.2">
      <c r="A14" s="1526" t="s">
        <v>1019</v>
      </c>
      <c r="B14" s="615">
        <v>1500</v>
      </c>
      <c r="C14" s="466">
        <v>1569087</v>
      </c>
      <c r="D14" s="466">
        <v>133477</v>
      </c>
      <c r="E14" s="466">
        <v>165595</v>
      </c>
      <c r="F14" s="466">
        <v>5732</v>
      </c>
      <c r="G14" s="466"/>
      <c r="H14" s="466">
        <v>41384</v>
      </c>
      <c r="I14" s="467"/>
      <c r="J14" s="467"/>
      <c r="K14" s="1693">
        <f t="shared" si="0"/>
        <v>1915275</v>
      </c>
      <c r="L14" s="466">
        <f>2007780+1000</f>
        <v>2008780</v>
      </c>
    </row>
    <row r="15" spans="1:14" x14ac:dyDescent="0.2">
      <c r="A15" s="1526" t="s">
        <v>1020</v>
      </c>
      <c r="B15" s="615">
        <v>1600</v>
      </c>
      <c r="C15" s="466">
        <v>262931</v>
      </c>
      <c r="D15" s="466">
        <v>6418</v>
      </c>
      <c r="E15" s="466">
        <v>113</v>
      </c>
      <c r="F15" s="466">
        <v>3117</v>
      </c>
      <c r="G15" s="466"/>
      <c r="H15" s="466"/>
      <c r="I15" s="467"/>
      <c r="J15" s="467"/>
      <c r="K15" s="1693">
        <f t="shared" si="0"/>
        <v>272579</v>
      </c>
      <c r="L15" s="466">
        <v>338676</v>
      </c>
    </row>
    <row r="16" spans="1:14" x14ac:dyDescent="0.2">
      <c r="A16" s="1526" t="s">
        <v>1043</v>
      </c>
      <c r="B16" s="615" t="s">
        <v>443</v>
      </c>
      <c r="C16" s="466">
        <v>230948</v>
      </c>
      <c r="D16" s="466">
        <v>87029</v>
      </c>
      <c r="E16" s="466">
        <v>3665</v>
      </c>
      <c r="F16" s="466">
        <v>4669</v>
      </c>
      <c r="G16" s="466"/>
      <c r="H16" s="466"/>
      <c r="I16" s="467"/>
      <c r="J16" s="467"/>
      <c r="K16" s="1693">
        <f t="shared" si="0"/>
        <v>326311</v>
      </c>
      <c r="L16" s="466">
        <v>326931</v>
      </c>
    </row>
    <row r="17" spans="1:12" x14ac:dyDescent="0.2">
      <c r="A17" s="1526" t="s">
        <v>747</v>
      </c>
      <c r="B17" s="615" t="s">
        <v>164</v>
      </c>
      <c r="C17" s="467">
        <v>120456</v>
      </c>
      <c r="D17" s="467">
        <v>20134</v>
      </c>
      <c r="E17" s="467">
        <v>3375</v>
      </c>
      <c r="F17" s="467">
        <v>2152</v>
      </c>
      <c r="G17" s="467"/>
      <c r="H17" s="467">
        <v>40</v>
      </c>
      <c r="I17" s="467"/>
      <c r="J17" s="467"/>
      <c r="K17" s="1693">
        <f t="shared" si="0"/>
        <v>146157</v>
      </c>
      <c r="L17" s="466">
        <v>177738</v>
      </c>
    </row>
    <row r="18" spans="1:12" x14ac:dyDescent="0.2">
      <c r="A18" s="1526" t="s">
        <v>1147</v>
      </c>
      <c r="B18" s="615">
        <v>1800</v>
      </c>
      <c r="C18" s="466">
        <v>3912500</v>
      </c>
      <c r="D18" s="466">
        <v>1243551</v>
      </c>
      <c r="E18" s="466">
        <v>2974</v>
      </c>
      <c r="F18" s="466">
        <v>76495</v>
      </c>
      <c r="G18" s="466"/>
      <c r="H18" s="466"/>
      <c r="I18" s="467"/>
      <c r="J18" s="467"/>
      <c r="K18" s="1693">
        <f t="shared" si="0"/>
        <v>5235520</v>
      </c>
      <c r="L18" s="466">
        <v>5906548</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v>269152</v>
      </c>
      <c r="I22" s="617"/>
      <c r="J22" s="477"/>
      <c r="K22" s="1693">
        <f t="shared" si="0"/>
        <v>269152</v>
      </c>
      <c r="L22" s="471">
        <v>200000</v>
      </c>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32107233</v>
      </c>
      <c r="D33" s="1692">
        <f t="shared" ref="D33:L33" si="1">SUM(D5:D32)</f>
        <v>9383591</v>
      </c>
      <c r="E33" s="1692">
        <f t="shared" si="1"/>
        <v>780442</v>
      </c>
      <c r="F33" s="1692">
        <f t="shared" si="1"/>
        <v>1233945</v>
      </c>
      <c r="G33" s="1692">
        <f t="shared" si="1"/>
        <v>120838</v>
      </c>
      <c r="H33" s="1692">
        <f t="shared" si="1"/>
        <v>730553</v>
      </c>
      <c r="I33" s="1692">
        <f t="shared" si="1"/>
        <v>11241</v>
      </c>
      <c r="J33" s="1692">
        <f t="shared" si="1"/>
        <v>54061</v>
      </c>
      <c r="K33" s="1692">
        <f t="shared" si="1"/>
        <v>44421904</v>
      </c>
      <c r="L33" s="1692">
        <f t="shared" si="1"/>
        <v>45900421</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929953</v>
      </c>
      <c r="D36" s="481">
        <v>267443</v>
      </c>
      <c r="E36" s="481">
        <v>504</v>
      </c>
      <c r="F36" s="481">
        <v>403</v>
      </c>
      <c r="G36" s="481"/>
      <c r="H36" s="481"/>
      <c r="I36" s="467"/>
      <c r="J36" s="467"/>
      <c r="K36" s="1693">
        <f t="shared" ref="K36:K41" si="2">SUM(C36:J36)</f>
        <v>1198303</v>
      </c>
      <c r="L36" s="466">
        <v>1204938</v>
      </c>
    </row>
    <row r="37" spans="1:14" x14ac:dyDescent="0.2">
      <c r="A37" s="1526" t="s">
        <v>1150</v>
      </c>
      <c r="B37" s="615">
        <v>2120</v>
      </c>
      <c r="C37" s="466">
        <v>700959</v>
      </c>
      <c r="D37" s="466">
        <v>176593</v>
      </c>
      <c r="E37" s="466"/>
      <c r="F37" s="466">
        <v>847</v>
      </c>
      <c r="G37" s="466"/>
      <c r="H37" s="466"/>
      <c r="I37" s="467"/>
      <c r="J37" s="467"/>
      <c r="K37" s="1693">
        <f t="shared" si="2"/>
        <v>878399</v>
      </c>
      <c r="L37" s="466">
        <v>839154</v>
      </c>
    </row>
    <row r="38" spans="1:14" x14ac:dyDescent="0.2">
      <c r="A38" s="1526" t="s">
        <v>207</v>
      </c>
      <c r="B38" s="615">
        <v>2130</v>
      </c>
      <c r="C38" s="466">
        <v>1633508</v>
      </c>
      <c r="D38" s="466">
        <v>332084</v>
      </c>
      <c r="E38" s="466">
        <v>4598</v>
      </c>
      <c r="F38" s="466">
        <v>20293</v>
      </c>
      <c r="G38" s="466">
        <v>43314</v>
      </c>
      <c r="H38" s="466">
        <v>30273</v>
      </c>
      <c r="I38" s="467">
        <v>950</v>
      </c>
      <c r="J38" s="467"/>
      <c r="K38" s="1693">
        <f t="shared" si="2"/>
        <v>2065020</v>
      </c>
      <c r="L38" s="466">
        <f>2127783+19000</f>
        <v>2146783</v>
      </c>
    </row>
    <row r="39" spans="1:14" x14ac:dyDescent="0.2">
      <c r="A39" s="1526" t="s">
        <v>208</v>
      </c>
      <c r="B39" s="615">
        <v>2140</v>
      </c>
      <c r="C39" s="466">
        <v>404721</v>
      </c>
      <c r="D39" s="466">
        <v>115711</v>
      </c>
      <c r="E39" s="466">
        <v>6375</v>
      </c>
      <c r="F39" s="466">
        <v>12388</v>
      </c>
      <c r="G39" s="466"/>
      <c r="H39" s="466"/>
      <c r="I39" s="467"/>
      <c r="J39" s="467"/>
      <c r="K39" s="1693">
        <f t="shared" si="2"/>
        <v>539195</v>
      </c>
      <c r="L39" s="466">
        <v>635968</v>
      </c>
    </row>
    <row r="40" spans="1:14" x14ac:dyDescent="0.2">
      <c r="A40" s="1526" t="s">
        <v>209</v>
      </c>
      <c r="B40" s="615">
        <v>2150</v>
      </c>
      <c r="C40" s="466">
        <v>1203688</v>
      </c>
      <c r="D40" s="466">
        <v>389578</v>
      </c>
      <c r="E40" s="466">
        <v>48783</v>
      </c>
      <c r="F40" s="466">
        <v>12394</v>
      </c>
      <c r="G40" s="466"/>
      <c r="H40" s="466"/>
      <c r="I40" s="467">
        <v>3200</v>
      </c>
      <c r="J40" s="467"/>
      <c r="K40" s="1693">
        <f t="shared" si="2"/>
        <v>1657643</v>
      </c>
      <c r="L40" s="466">
        <v>1646465</v>
      </c>
    </row>
    <row r="41" spans="1:14" x14ac:dyDescent="0.2">
      <c r="A41" s="1526" t="s">
        <v>1767</v>
      </c>
      <c r="B41" s="615">
        <v>2190</v>
      </c>
      <c r="C41" s="466">
        <v>45584</v>
      </c>
      <c r="D41" s="466">
        <v>1235</v>
      </c>
      <c r="E41" s="466"/>
      <c r="F41" s="466"/>
      <c r="G41" s="466"/>
      <c r="H41" s="466"/>
      <c r="I41" s="467"/>
      <c r="J41" s="467"/>
      <c r="K41" s="1693">
        <f t="shared" si="2"/>
        <v>46819</v>
      </c>
      <c r="L41" s="466">
        <v>45517</v>
      </c>
    </row>
    <row r="42" spans="1:14" ht="12.75" customHeight="1" thickBot="1" x14ac:dyDescent="0.25">
      <c r="A42" s="1690" t="s">
        <v>580</v>
      </c>
      <c r="B42" s="1691" t="s">
        <v>739</v>
      </c>
      <c r="C42" s="1692">
        <f>SUM(C36:C41)</f>
        <v>4918413</v>
      </c>
      <c r="D42" s="1692">
        <f t="shared" ref="D42:L42" si="3">SUM(D36:D41)</f>
        <v>1282644</v>
      </c>
      <c r="E42" s="1692">
        <f t="shared" si="3"/>
        <v>60260</v>
      </c>
      <c r="F42" s="1692">
        <f t="shared" si="3"/>
        <v>46325</v>
      </c>
      <c r="G42" s="1692">
        <f t="shared" si="3"/>
        <v>43314</v>
      </c>
      <c r="H42" s="1692">
        <f t="shared" si="3"/>
        <v>30273</v>
      </c>
      <c r="I42" s="1692">
        <f t="shared" si="3"/>
        <v>4150</v>
      </c>
      <c r="J42" s="1692">
        <f t="shared" si="3"/>
        <v>0</v>
      </c>
      <c r="K42" s="1692">
        <f t="shared" si="3"/>
        <v>6385379</v>
      </c>
      <c r="L42" s="1692">
        <f t="shared" si="3"/>
        <v>6518825</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1248586</v>
      </c>
      <c r="D44" s="481">
        <v>434804</v>
      </c>
      <c r="E44" s="481">
        <v>189464</v>
      </c>
      <c r="F44" s="481">
        <v>28392</v>
      </c>
      <c r="G44" s="481">
        <v>2597</v>
      </c>
      <c r="H44" s="481">
        <v>3268</v>
      </c>
      <c r="I44" s="467">
        <v>3830</v>
      </c>
      <c r="J44" s="467"/>
      <c r="K44" s="1694">
        <f>SUM(C44:J44)</f>
        <v>1910941</v>
      </c>
      <c r="L44" s="481">
        <f>2056400+2650</f>
        <v>2059050</v>
      </c>
    </row>
    <row r="45" spans="1:14" x14ac:dyDescent="0.2">
      <c r="A45" s="1526" t="s">
        <v>868</v>
      </c>
      <c r="B45" s="615">
        <v>2220</v>
      </c>
      <c r="C45" s="466">
        <v>781072</v>
      </c>
      <c r="D45" s="466">
        <v>293495</v>
      </c>
      <c r="E45" s="466">
        <v>5036</v>
      </c>
      <c r="F45" s="466">
        <v>36070</v>
      </c>
      <c r="G45" s="466"/>
      <c r="H45" s="466"/>
      <c r="I45" s="467"/>
      <c r="J45" s="467"/>
      <c r="K45" s="1694">
        <f>SUM(C45:J45)</f>
        <v>1115673</v>
      </c>
      <c r="L45" s="466">
        <f>1192350+3500</f>
        <v>1195850</v>
      </c>
    </row>
    <row r="46" spans="1:14" x14ac:dyDescent="0.2">
      <c r="A46" s="1526" t="s">
        <v>869</v>
      </c>
      <c r="B46" s="615">
        <v>2230</v>
      </c>
      <c r="C46" s="466">
        <v>62714</v>
      </c>
      <c r="D46" s="466">
        <v>13350</v>
      </c>
      <c r="E46" s="466">
        <v>61002</v>
      </c>
      <c r="F46" s="466">
        <v>20390</v>
      </c>
      <c r="G46" s="466"/>
      <c r="H46" s="466"/>
      <c r="I46" s="467"/>
      <c r="J46" s="467"/>
      <c r="K46" s="1694">
        <f>SUM(C46:J46)</f>
        <v>157456</v>
      </c>
      <c r="L46" s="466">
        <v>303754</v>
      </c>
    </row>
    <row r="47" spans="1:14" ht="12.75" customHeight="1" thickBot="1" x14ac:dyDescent="0.25">
      <c r="A47" s="1690" t="s">
        <v>581</v>
      </c>
      <c r="B47" s="1691" t="s">
        <v>32</v>
      </c>
      <c r="C47" s="1692">
        <f>SUM(C44:C46)</f>
        <v>2092372</v>
      </c>
      <c r="D47" s="1692">
        <f t="shared" ref="D47:K47" si="4">SUM(D44:D46)</f>
        <v>741649</v>
      </c>
      <c r="E47" s="1692">
        <f t="shared" si="4"/>
        <v>255502</v>
      </c>
      <c r="F47" s="1692">
        <f t="shared" si="4"/>
        <v>84852</v>
      </c>
      <c r="G47" s="1692">
        <f t="shared" si="4"/>
        <v>2597</v>
      </c>
      <c r="H47" s="1692">
        <f t="shared" si="4"/>
        <v>3268</v>
      </c>
      <c r="I47" s="1692">
        <f t="shared" si="4"/>
        <v>3830</v>
      </c>
      <c r="J47" s="1692">
        <f t="shared" si="4"/>
        <v>0</v>
      </c>
      <c r="K47" s="1692">
        <f t="shared" si="4"/>
        <v>3184070</v>
      </c>
      <c r="L47" s="1692">
        <f>SUM(L44:L46)</f>
        <v>3558654</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172013</v>
      </c>
      <c r="D49" s="481">
        <v>43759</v>
      </c>
      <c r="E49" s="481">
        <v>163192</v>
      </c>
      <c r="F49" s="481">
        <v>19629</v>
      </c>
      <c r="G49" s="481">
        <v>2180</v>
      </c>
      <c r="H49" s="481">
        <v>1500</v>
      </c>
      <c r="I49" s="467"/>
      <c r="J49" s="467"/>
      <c r="K49" s="1694">
        <f>SUM(C49:J49)</f>
        <v>402273</v>
      </c>
      <c r="L49" s="481">
        <v>445943</v>
      </c>
    </row>
    <row r="50" spans="1:14" x14ac:dyDescent="0.2">
      <c r="A50" s="1526" t="s">
        <v>871</v>
      </c>
      <c r="B50" s="615">
        <v>2320</v>
      </c>
      <c r="C50" s="466">
        <v>253744</v>
      </c>
      <c r="D50" s="466">
        <v>63836</v>
      </c>
      <c r="E50" s="466">
        <v>5061</v>
      </c>
      <c r="F50" s="466">
        <v>3361</v>
      </c>
      <c r="G50" s="466"/>
      <c r="H50" s="466">
        <v>4621</v>
      </c>
      <c r="I50" s="467"/>
      <c r="J50" s="467"/>
      <c r="K50" s="1694">
        <f>SUM(C50:J50)</f>
        <v>330623</v>
      </c>
      <c r="L50" s="466">
        <v>334199</v>
      </c>
    </row>
    <row r="51" spans="1:14" x14ac:dyDescent="0.2">
      <c r="A51" s="1526" t="s">
        <v>44</v>
      </c>
      <c r="B51" s="615">
        <v>2330</v>
      </c>
      <c r="C51" s="466">
        <v>22826</v>
      </c>
      <c r="D51" s="466">
        <v>4741</v>
      </c>
      <c r="E51" s="466">
        <v>3117</v>
      </c>
      <c r="F51" s="466">
        <v>921</v>
      </c>
      <c r="G51" s="466"/>
      <c r="H51" s="466"/>
      <c r="I51" s="467"/>
      <c r="J51" s="467"/>
      <c r="K51" s="1694">
        <f>SUM(C51:J51)</f>
        <v>31605</v>
      </c>
      <c r="L51" s="466">
        <v>38250</v>
      </c>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448583</v>
      </c>
      <c r="D53" s="1692">
        <f t="shared" ref="D53:L53" si="5">SUM(D49:D52)</f>
        <v>112336</v>
      </c>
      <c r="E53" s="1692">
        <f t="shared" si="5"/>
        <v>171370</v>
      </c>
      <c r="F53" s="1692">
        <f t="shared" si="5"/>
        <v>23911</v>
      </c>
      <c r="G53" s="1692">
        <f t="shared" si="5"/>
        <v>2180</v>
      </c>
      <c r="H53" s="1692">
        <f t="shared" si="5"/>
        <v>6121</v>
      </c>
      <c r="I53" s="1692">
        <f t="shared" si="5"/>
        <v>0</v>
      </c>
      <c r="J53" s="1692">
        <f t="shared" si="5"/>
        <v>0</v>
      </c>
      <c r="K53" s="1692">
        <f t="shared" si="5"/>
        <v>764501</v>
      </c>
      <c r="L53" s="1692">
        <f t="shared" si="5"/>
        <v>818392</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3119807</v>
      </c>
      <c r="D55" s="481">
        <v>911951</v>
      </c>
      <c r="E55" s="481">
        <v>7947</v>
      </c>
      <c r="F55" s="481">
        <v>38379</v>
      </c>
      <c r="G55" s="481">
        <v>2939</v>
      </c>
      <c r="H55" s="481">
        <v>3817</v>
      </c>
      <c r="I55" s="467">
        <v>1899</v>
      </c>
      <c r="J55" s="467"/>
      <c r="K55" s="1694">
        <f>SUM(C55:J55)</f>
        <v>4086739</v>
      </c>
      <c r="L55" s="481">
        <f>4154416+6101</f>
        <v>4160517</v>
      </c>
    </row>
    <row r="56" spans="1:14" ht="12.75" customHeight="1" x14ac:dyDescent="0.2">
      <c r="A56" s="1530" t="s">
        <v>393</v>
      </c>
      <c r="B56" s="629">
        <v>2490</v>
      </c>
      <c r="C56" s="466">
        <v>101034</v>
      </c>
      <c r="D56" s="466">
        <v>34302</v>
      </c>
      <c r="E56" s="466"/>
      <c r="F56" s="466"/>
      <c r="G56" s="466"/>
      <c r="H56" s="466"/>
      <c r="I56" s="467"/>
      <c r="J56" s="467"/>
      <c r="K56" s="1694">
        <f>SUM(C56:J56)</f>
        <v>135336</v>
      </c>
      <c r="L56" s="466">
        <v>162986</v>
      </c>
    </row>
    <row r="57" spans="1:14" s="343" customFormat="1" ht="12.75" customHeight="1" thickBot="1" x14ac:dyDescent="0.25">
      <c r="A57" s="1690" t="s">
        <v>281</v>
      </c>
      <c r="B57" s="1695" t="s">
        <v>34</v>
      </c>
      <c r="C57" s="1696">
        <f>SUM(C55:C56)</f>
        <v>3220841</v>
      </c>
      <c r="D57" s="1696">
        <f t="shared" ref="D57:K57" si="6">SUM(D55:D56)</f>
        <v>946253</v>
      </c>
      <c r="E57" s="1696">
        <f t="shared" si="6"/>
        <v>7947</v>
      </c>
      <c r="F57" s="1696">
        <f t="shared" si="6"/>
        <v>38379</v>
      </c>
      <c r="G57" s="1696">
        <f t="shared" si="6"/>
        <v>2939</v>
      </c>
      <c r="H57" s="1696">
        <f t="shared" si="6"/>
        <v>3817</v>
      </c>
      <c r="I57" s="1696">
        <f t="shared" si="6"/>
        <v>1899</v>
      </c>
      <c r="J57" s="1696">
        <f t="shared" si="6"/>
        <v>0</v>
      </c>
      <c r="K57" s="1696">
        <f t="shared" si="6"/>
        <v>4222075</v>
      </c>
      <c r="L57" s="1692">
        <f>SUM(L55:L56)</f>
        <v>4323503</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154443</v>
      </c>
      <c r="D59" s="481">
        <v>32305</v>
      </c>
      <c r="E59" s="481">
        <v>1819</v>
      </c>
      <c r="F59" s="481"/>
      <c r="G59" s="481"/>
      <c r="H59" s="481">
        <v>225</v>
      </c>
      <c r="I59" s="467"/>
      <c r="J59" s="467"/>
      <c r="K59" s="1694">
        <f t="shared" ref="K59:K64" si="7">SUM(C59:J59)</f>
        <v>188792</v>
      </c>
      <c r="L59" s="481">
        <v>194800</v>
      </c>
      <c r="M59" s="610"/>
      <c r="N59" s="610"/>
    </row>
    <row r="60" spans="1:14" s="343" customFormat="1" x14ac:dyDescent="0.2">
      <c r="A60" s="1526" t="s">
        <v>482</v>
      </c>
      <c r="B60" s="615">
        <v>2520</v>
      </c>
      <c r="C60" s="466">
        <v>343622</v>
      </c>
      <c r="D60" s="466">
        <v>103994</v>
      </c>
      <c r="E60" s="466">
        <v>225092</v>
      </c>
      <c r="F60" s="466">
        <v>34762</v>
      </c>
      <c r="G60" s="466"/>
      <c r="H60" s="466">
        <v>1279</v>
      </c>
      <c r="I60" s="467"/>
      <c r="J60" s="467"/>
      <c r="K60" s="1694">
        <f t="shared" si="7"/>
        <v>708749</v>
      </c>
      <c r="L60" s="466">
        <v>647782</v>
      </c>
      <c r="M60" s="610"/>
      <c r="N60" s="610"/>
    </row>
    <row r="61" spans="1:14" s="343" customFormat="1" x14ac:dyDescent="0.2">
      <c r="A61" s="1526" t="s">
        <v>206</v>
      </c>
      <c r="B61" s="615">
        <v>2540</v>
      </c>
      <c r="C61" s="466">
        <v>49160</v>
      </c>
      <c r="D61" s="466">
        <v>26041</v>
      </c>
      <c r="E61" s="466">
        <v>4255</v>
      </c>
      <c r="F61" s="466">
        <v>8235</v>
      </c>
      <c r="G61" s="466">
        <v>113545</v>
      </c>
      <c r="H61" s="466"/>
      <c r="I61" s="467"/>
      <c r="J61" s="467"/>
      <c r="K61" s="1694">
        <f t="shared" si="7"/>
        <v>201236</v>
      </c>
      <c r="L61" s="466">
        <f>84167+116740</f>
        <v>200907</v>
      </c>
      <c r="M61" s="610"/>
      <c r="N61" s="610"/>
    </row>
    <row r="62" spans="1:14" s="343" customFormat="1" x14ac:dyDescent="0.2">
      <c r="A62" s="1526" t="s">
        <v>1009</v>
      </c>
      <c r="B62" s="615">
        <v>2550</v>
      </c>
      <c r="C62" s="466">
        <v>36521</v>
      </c>
      <c r="D62" s="466">
        <v>3295</v>
      </c>
      <c r="E62" s="466">
        <v>54180</v>
      </c>
      <c r="F62" s="466">
        <v>-345</v>
      </c>
      <c r="G62" s="466"/>
      <c r="H62" s="466"/>
      <c r="I62" s="467"/>
      <c r="J62" s="467"/>
      <c r="K62" s="1694">
        <f t="shared" si="7"/>
        <v>93651</v>
      </c>
      <c r="L62" s="466">
        <f>101279+2700</f>
        <v>103979</v>
      </c>
      <c r="M62" s="610"/>
      <c r="N62" s="610"/>
    </row>
    <row r="63" spans="1:14" s="610" customFormat="1" x14ac:dyDescent="0.2">
      <c r="A63" s="1526" t="s">
        <v>102</v>
      </c>
      <c r="B63" s="615">
        <v>2560</v>
      </c>
      <c r="C63" s="466">
        <v>1126440</v>
      </c>
      <c r="D63" s="466">
        <v>325118</v>
      </c>
      <c r="E63" s="466">
        <v>21062</v>
      </c>
      <c r="F63" s="466">
        <v>859825</v>
      </c>
      <c r="G63" s="466"/>
      <c r="H63" s="466">
        <v>3941</v>
      </c>
      <c r="I63" s="467"/>
      <c r="J63" s="467"/>
      <c r="K63" s="1694">
        <f t="shared" si="7"/>
        <v>2336386</v>
      </c>
      <c r="L63" s="466">
        <f>2455466+8230</f>
        <v>2463696</v>
      </c>
    </row>
    <row r="64" spans="1:14" s="610" customFormat="1" x14ac:dyDescent="0.2">
      <c r="A64" s="1531" t="s">
        <v>103</v>
      </c>
      <c r="B64" s="631">
        <v>2570</v>
      </c>
      <c r="C64" s="481"/>
      <c r="D64" s="481"/>
      <c r="E64" s="481">
        <v>175</v>
      </c>
      <c r="F64" s="481"/>
      <c r="G64" s="481"/>
      <c r="H64" s="481"/>
      <c r="I64" s="467"/>
      <c r="J64" s="467"/>
      <c r="K64" s="1694">
        <f t="shared" si="7"/>
        <v>175</v>
      </c>
      <c r="L64" s="481">
        <v>2500</v>
      </c>
    </row>
    <row r="65" spans="1:14" s="343" customFormat="1" ht="12.75" customHeight="1" thickBot="1" x14ac:dyDescent="0.25">
      <c r="A65" s="1690" t="s">
        <v>742</v>
      </c>
      <c r="B65" s="1691" t="s">
        <v>35</v>
      </c>
      <c r="C65" s="1692">
        <f>SUM(C59:C64)</f>
        <v>1710186</v>
      </c>
      <c r="D65" s="1692">
        <f t="shared" ref="D65:L65" si="8">SUM(D59:D64)</f>
        <v>490753</v>
      </c>
      <c r="E65" s="1692">
        <f t="shared" si="8"/>
        <v>306583</v>
      </c>
      <c r="F65" s="1692">
        <f t="shared" si="8"/>
        <v>902477</v>
      </c>
      <c r="G65" s="1692">
        <f t="shared" si="8"/>
        <v>113545</v>
      </c>
      <c r="H65" s="1692">
        <f t="shared" si="8"/>
        <v>5445</v>
      </c>
      <c r="I65" s="1692">
        <f t="shared" si="8"/>
        <v>0</v>
      </c>
      <c r="J65" s="1692">
        <f t="shared" si="8"/>
        <v>0</v>
      </c>
      <c r="K65" s="1692">
        <f t="shared" si="8"/>
        <v>3528989</v>
      </c>
      <c r="L65" s="1692">
        <f t="shared" si="8"/>
        <v>3613664</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v>156042</v>
      </c>
      <c r="D69" s="466">
        <v>18316</v>
      </c>
      <c r="E69" s="466">
        <v>14529</v>
      </c>
      <c r="F69" s="466">
        <v>976</v>
      </c>
      <c r="G69" s="466"/>
      <c r="H69" s="466">
        <v>515</v>
      </c>
      <c r="I69" s="467"/>
      <c r="J69" s="467"/>
      <c r="K69" s="1694">
        <f>SUM(C69:J69)</f>
        <v>190378</v>
      </c>
      <c r="L69" s="466">
        <v>188388</v>
      </c>
      <c r="M69" s="610"/>
      <c r="N69" s="610"/>
    </row>
    <row r="70" spans="1:14" s="343" customFormat="1" x14ac:dyDescent="0.2">
      <c r="A70" s="1526" t="s">
        <v>422</v>
      </c>
      <c r="B70" s="615">
        <v>2640</v>
      </c>
      <c r="C70" s="466">
        <v>463871</v>
      </c>
      <c r="D70" s="466">
        <v>101952</v>
      </c>
      <c r="E70" s="466">
        <v>27522</v>
      </c>
      <c r="F70" s="466">
        <v>3227</v>
      </c>
      <c r="G70" s="466"/>
      <c r="H70" s="466">
        <v>500</v>
      </c>
      <c r="I70" s="467"/>
      <c r="J70" s="467"/>
      <c r="K70" s="1694">
        <f>SUM(C70:J70)</f>
        <v>597072</v>
      </c>
      <c r="L70" s="466">
        <v>547846</v>
      </c>
      <c r="M70" s="610"/>
      <c r="N70" s="610"/>
    </row>
    <row r="71" spans="1:14" s="343" customFormat="1" x14ac:dyDescent="0.2">
      <c r="A71" s="1526" t="s">
        <v>423</v>
      </c>
      <c r="B71" s="615">
        <v>2660</v>
      </c>
      <c r="C71" s="466">
        <v>573659</v>
      </c>
      <c r="D71" s="466">
        <v>100959</v>
      </c>
      <c r="E71" s="466">
        <v>18725</v>
      </c>
      <c r="F71" s="466">
        <v>1446854</v>
      </c>
      <c r="G71" s="466">
        <v>108910</v>
      </c>
      <c r="H71" s="466">
        <v>403263</v>
      </c>
      <c r="I71" s="467">
        <v>134429</v>
      </c>
      <c r="J71" s="467"/>
      <c r="K71" s="1694">
        <f>SUM(C71:J71)</f>
        <v>2786799</v>
      </c>
      <c r="L71" s="466">
        <f>1459315+80000</f>
        <v>1539315</v>
      </c>
      <c r="M71" s="610"/>
      <c r="N71" s="610"/>
    </row>
    <row r="72" spans="1:14" s="343" customFormat="1" ht="12.75" customHeight="1" thickBot="1" x14ac:dyDescent="0.25">
      <c r="A72" s="1690" t="s">
        <v>37</v>
      </c>
      <c r="B72" s="1697" t="s">
        <v>36</v>
      </c>
      <c r="C72" s="1692">
        <f>SUM(C67:C71)</f>
        <v>1193572</v>
      </c>
      <c r="D72" s="1692">
        <f t="shared" ref="D72:K72" si="9">SUM(D67:D71)</f>
        <v>221227</v>
      </c>
      <c r="E72" s="1692">
        <f t="shared" si="9"/>
        <v>60776</v>
      </c>
      <c r="F72" s="1692">
        <f t="shared" si="9"/>
        <v>1451057</v>
      </c>
      <c r="G72" s="1692">
        <f t="shared" si="9"/>
        <v>108910</v>
      </c>
      <c r="H72" s="1692">
        <f t="shared" si="9"/>
        <v>404278</v>
      </c>
      <c r="I72" s="1692">
        <f t="shared" si="9"/>
        <v>134429</v>
      </c>
      <c r="J72" s="1692">
        <f t="shared" si="9"/>
        <v>0</v>
      </c>
      <c r="K72" s="1692">
        <f t="shared" si="9"/>
        <v>3574249</v>
      </c>
      <c r="L72" s="1692">
        <f>SUM(L67:L71)</f>
        <v>2275549</v>
      </c>
      <c r="M72" s="610"/>
      <c r="N72" s="610"/>
    </row>
    <row r="73" spans="1:14" s="343" customFormat="1" ht="14.25" thickTop="1" thickBot="1" x14ac:dyDescent="0.25">
      <c r="A73" s="1532" t="s">
        <v>1036</v>
      </c>
      <c r="B73" s="633" t="s">
        <v>594</v>
      </c>
      <c r="C73" s="573"/>
      <c r="D73" s="573"/>
      <c r="E73" s="573"/>
      <c r="F73" s="573"/>
      <c r="G73" s="573"/>
      <c r="H73" s="573"/>
      <c r="I73" s="531"/>
      <c r="J73" s="531"/>
      <c r="K73" s="1692">
        <f>SUM(C73:J73)</f>
        <v>0</v>
      </c>
      <c r="L73" s="576">
        <v>1244</v>
      </c>
      <c r="M73" s="610"/>
      <c r="N73" s="610"/>
    </row>
    <row r="74" spans="1:14" ht="12.75" customHeight="1" thickTop="1" thickBot="1" x14ac:dyDescent="0.25">
      <c r="A74" s="1690" t="s">
        <v>864</v>
      </c>
      <c r="B74" s="1698">
        <v>2000</v>
      </c>
      <c r="C74" s="1699">
        <f>SUM(C42,C47,C53,C57,C65,C72,C73)</f>
        <v>13583967</v>
      </c>
      <c r="D74" s="1699">
        <f t="shared" ref="D74:K74" si="10">SUM(D42,D47,D53,D57,D65,D72,D73)</f>
        <v>3794862</v>
      </c>
      <c r="E74" s="1699">
        <f t="shared" si="10"/>
        <v>862438</v>
      </c>
      <c r="F74" s="1699">
        <f t="shared" si="10"/>
        <v>2547001</v>
      </c>
      <c r="G74" s="1699">
        <f t="shared" si="10"/>
        <v>273485</v>
      </c>
      <c r="H74" s="1699">
        <f t="shared" si="10"/>
        <v>453202</v>
      </c>
      <c r="I74" s="1699">
        <f t="shared" si="10"/>
        <v>144308</v>
      </c>
      <c r="J74" s="1699">
        <f t="shared" si="10"/>
        <v>0</v>
      </c>
      <c r="K74" s="1699">
        <f t="shared" si="10"/>
        <v>21659263</v>
      </c>
      <c r="L74" s="1699">
        <f>SUM(L42,L47,L53,L57,L65,L72,L73)</f>
        <v>21109831</v>
      </c>
    </row>
    <row r="75" spans="1:14" s="259" customFormat="1" ht="15.75" customHeight="1" thickTop="1" thickBot="1" x14ac:dyDescent="0.25">
      <c r="A75" s="1632" t="s">
        <v>49</v>
      </c>
      <c r="B75" s="1633" t="s">
        <v>595</v>
      </c>
      <c r="C75" s="573">
        <v>397542</v>
      </c>
      <c r="D75" s="573">
        <v>138076</v>
      </c>
      <c r="E75" s="573">
        <v>69203</v>
      </c>
      <c r="F75" s="573">
        <v>44719</v>
      </c>
      <c r="G75" s="573"/>
      <c r="H75" s="573"/>
      <c r="I75" s="531">
        <v>1498</v>
      </c>
      <c r="J75" s="531"/>
      <c r="K75" s="1692">
        <f>SUM(C75:J75)</f>
        <v>651038</v>
      </c>
      <c r="L75" s="576">
        <f>745052+345</f>
        <v>745397</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c r="F79" s="617"/>
      <c r="G79" s="617"/>
      <c r="H79" s="466"/>
      <c r="I79" s="477"/>
      <c r="J79" s="477"/>
      <c r="K79" s="1693">
        <f t="shared" si="11"/>
        <v>0</v>
      </c>
      <c r="L79" s="466"/>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v>18737</v>
      </c>
      <c r="I86" s="477"/>
      <c r="J86" s="477"/>
      <c r="K86" s="1699">
        <f t="shared" ref="K86:K98" si="12">H86</f>
        <v>18737</v>
      </c>
      <c r="L86" s="530">
        <v>40000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18737</v>
      </c>
      <c r="I92" s="477"/>
      <c r="J92" s="477"/>
      <c r="K92" s="1699">
        <f t="shared" si="12"/>
        <v>18737</v>
      </c>
      <c r="L92" s="1692">
        <f>SUM(L85:L91)</f>
        <v>40000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18737</v>
      </c>
      <c r="I102" s="477"/>
      <c r="J102" s="477"/>
      <c r="K102" s="1699">
        <f>SUM(K84,K92,K100,K101)</f>
        <v>18737</v>
      </c>
      <c r="L102" s="1699">
        <f>SUM(L84,L92,L100,L101)</f>
        <v>40000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46088742</v>
      </c>
      <c r="D114" s="1692">
        <f t="shared" ref="D114:K114" si="13">SUM(D33,D74,D75,D102,D112,D113)</f>
        <v>13316529</v>
      </c>
      <c r="E114" s="1692">
        <f t="shared" si="13"/>
        <v>1712083</v>
      </c>
      <c r="F114" s="1692">
        <f t="shared" si="13"/>
        <v>3825665</v>
      </c>
      <c r="G114" s="1692">
        <f t="shared" si="13"/>
        <v>394323</v>
      </c>
      <c r="H114" s="1692">
        <f>SUM(H33,H74,H75,H102,H112,H113)</f>
        <v>1202492</v>
      </c>
      <c r="I114" s="1692">
        <f t="shared" si="13"/>
        <v>157047</v>
      </c>
      <c r="J114" s="1692">
        <f t="shared" si="13"/>
        <v>54061</v>
      </c>
      <c r="K114" s="1692">
        <f t="shared" si="13"/>
        <v>66750942</v>
      </c>
      <c r="L114" s="1692">
        <f>SUM(L33,L74,L75,L102,L112,L113)</f>
        <v>67795649</v>
      </c>
    </row>
    <row r="115" spans="1:14" ht="13.5" thickTop="1" x14ac:dyDescent="0.2">
      <c r="A115" s="2205" t="s">
        <v>1052</v>
      </c>
      <c r="B115" s="2206"/>
      <c r="C115" s="619"/>
      <c r="D115" s="619"/>
      <c r="E115" s="619"/>
      <c r="F115" s="619"/>
      <c r="G115" s="619"/>
      <c r="H115" s="619"/>
      <c r="I115" s="619"/>
      <c r="J115" s="619"/>
      <c r="K115" s="1706">
        <f>'Revenues 9-14'!C275-'Expenditures 15-22'!K114</f>
        <v>5363852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313</v>
      </c>
      <c r="B117" s="2184"/>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2864322</v>
      </c>
      <c r="D124" s="466">
        <v>683453</v>
      </c>
      <c r="E124" s="466">
        <v>1127720</v>
      </c>
      <c r="F124" s="466">
        <v>1991187</v>
      </c>
      <c r="G124" s="466">
        <v>126571</v>
      </c>
      <c r="H124" s="466">
        <v>1450</v>
      </c>
      <c r="I124" s="467">
        <v>4065</v>
      </c>
      <c r="J124" s="467"/>
      <c r="K124" s="1692">
        <f>SUM(C124:J124)</f>
        <v>6798768</v>
      </c>
      <c r="L124" s="466">
        <f>6684539+184448</f>
        <v>6868987</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2864322</v>
      </c>
      <c r="D127" s="1692">
        <f t="shared" ref="D127:L127" si="14">SUM(D122:D126)</f>
        <v>683453</v>
      </c>
      <c r="E127" s="1692">
        <f t="shared" si="14"/>
        <v>1127720</v>
      </c>
      <c r="F127" s="1692">
        <f t="shared" si="14"/>
        <v>1991187</v>
      </c>
      <c r="G127" s="1692">
        <f t="shared" si="14"/>
        <v>126571</v>
      </c>
      <c r="H127" s="1692">
        <f t="shared" si="14"/>
        <v>1450</v>
      </c>
      <c r="I127" s="1692">
        <f t="shared" si="14"/>
        <v>4065</v>
      </c>
      <c r="J127" s="1692">
        <f t="shared" si="14"/>
        <v>0</v>
      </c>
      <c r="K127" s="1692">
        <f t="shared" si="14"/>
        <v>6798768</v>
      </c>
      <c r="L127" s="1692">
        <f t="shared" si="14"/>
        <v>6868987</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2864322</v>
      </c>
      <c r="D129" s="1699">
        <f t="shared" ref="D129:L129" si="15">SUM(D120,D127,D128)</f>
        <v>683453</v>
      </c>
      <c r="E129" s="1699">
        <f t="shared" si="15"/>
        <v>1127720</v>
      </c>
      <c r="F129" s="1699">
        <f t="shared" si="15"/>
        <v>1991187</v>
      </c>
      <c r="G129" s="1699">
        <f t="shared" si="15"/>
        <v>126571</v>
      </c>
      <c r="H129" s="1699">
        <f t="shared" si="15"/>
        <v>1450</v>
      </c>
      <c r="I129" s="1699">
        <f t="shared" si="15"/>
        <v>4065</v>
      </c>
      <c r="J129" s="1699">
        <f t="shared" si="15"/>
        <v>0</v>
      </c>
      <c r="K129" s="1699">
        <f t="shared" si="15"/>
        <v>6798768</v>
      </c>
      <c r="L129" s="1699">
        <f t="shared" si="15"/>
        <v>6868987</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5" t="s">
        <v>640</v>
      </c>
      <c r="B151" s="2177"/>
      <c r="C151" s="1692">
        <f>SUM(C129,C130,C139,C149,C150)</f>
        <v>2864322</v>
      </c>
      <c r="D151" s="1692">
        <f t="shared" ref="D151:K151" si="16">SUM(D129,D130,D139,D149,D150)</f>
        <v>683453</v>
      </c>
      <c r="E151" s="1692">
        <f t="shared" si="16"/>
        <v>1127720</v>
      </c>
      <c r="F151" s="1692">
        <f t="shared" si="16"/>
        <v>1991187</v>
      </c>
      <c r="G151" s="1692">
        <f t="shared" si="16"/>
        <v>126571</v>
      </c>
      <c r="H151" s="1692">
        <f t="shared" si="16"/>
        <v>1450</v>
      </c>
      <c r="I151" s="1692">
        <f t="shared" si="16"/>
        <v>4065</v>
      </c>
      <c r="J151" s="1692">
        <f t="shared" si="16"/>
        <v>0</v>
      </c>
      <c r="K151" s="1692">
        <f t="shared" si="16"/>
        <v>6798768</v>
      </c>
      <c r="L151" s="1692">
        <f>SUM(L129,L130,L139,L149,L150)</f>
        <v>6868987</v>
      </c>
    </row>
    <row r="152" spans="1:14" ht="12.75" customHeight="1" thickTop="1" x14ac:dyDescent="0.2">
      <c r="A152" s="2198" t="s">
        <v>1239</v>
      </c>
      <c r="B152" s="2199"/>
      <c r="C152" s="619"/>
      <c r="D152" s="619"/>
      <c r="E152" s="619"/>
      <c r="F152" s="619"/>
      <c r="G152" s="619"/>
      <c r="H152" s="619"/>
      <c r="I152" s="619"/>
      <c r="J152" s="617"/>
      <c r="K152" s="1706">
        <f>'Revenues 9-14'!D275-'Expenditures 15-22'!K151</f>
        <v>409966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641</v>
      </c>
      <c r="B154" s="218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4025944</v>
      </c>
      <c r="I169" s="617"/>
      <c r="J169" s="617"/>
      <c r="K169" s="1693">
        <f>SUM(C169:H169)</f>
        <v>4025944</v>
      </c>
      <c r="L169" s="657">
        <v>4025945</v>
      </c>
    </row>
    <row r="170" spans="1:14" ht="33.75" customHeight="1" x14ac:dyDescent="0.2">
      <c r="A170" s="670" t="s">
        <v>1768</v>
      </c>
      <c r="B170" s="672" t="s">
        <v>31</v>
      </c>
      <c r="C170" s="617"/>
      <c r="D170" s="617"/>
      <c r="E170" s="617"/>
      <c r="F170" s="617"/>
      <c r="G170" s="617"/>
      <c r="H170" s="569">
        <v>5892435</v>
      </c>
      <c r="I170" s="617"/>
      <c r="J170" s="617"/>
      <c r="K170" s="1693">
        <f>SUM(C170:J170)</f>
        <v>5892435</v>
      </c>
      <c r="L170" s="569">
        <v>5892435</v>
      </c>
    </row>
    <row r="171" spans="1:14" ht="15.75" customHeight="1" x14ac:dyDescent="0.2">
      <c r="A171" s="622" t="s">
        <v>789</v>
      </c>
      <c r="B171" s="673" t="s">
        <v>86</v>
      </c>
      <c r="C171" s="617"/>
      <c r="D171" s="617"/>
      <c r="E171" s="466"/>
      <c r="F171" s="617"/>
      <c r="G171" s="617"/>
      <c r="H171" s="569">
        <v>6883</v>
      </c>
      <c r="I171" s="477"/>
      <c r="J171" s="617"/>
      <c r="K171" s="1693">
        <f>SUM(C171:J171)</f>
        <v>6883</v>
      </c>
      <c r="L171" s="569">
        <v>7525</v>
      </c>
    </row>
    <row r="172" spans="1:14" ht="12.75" customHeight="1" thickBot="1" x14ac:dyDescent="0.25">
      <c r="A172" s="1690" t="s">
        <v>658</v>
      </c>
      <c r="B172" s="1691" t="s">
        <v>512</v>
      </c>
      <c r="C172" s="617"/>
      <c r="D172" s="617"/>
      <c r="E172" s="1699">
        <f>SUM(E168,E169,E170,E171)</f>
        <v>0</v>
      </c>
      <c r="F172" s="617"/>
      <c r="G172" s="617"/>
      <c r="H172" s="1699">
        <f>SUM(H168,H169,H170,H171)</f>
        <v>9925262</v>
      </c>
      <c r="I172" s="639"/>
      <c r="J172" s="617"/>
      <c r="K172" s="1699">
        <f>SUM(K168,K169,K170,K171)</f>
        <v>9925262</v>
      </c>
      <c r="L172" s="1699">
        <f>SUM(L168,L169,L170,L171)</f>
        <v>9925905</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9925262</v>
      </c>
      <c r="I174" s="639"/>
      <c r="J174" s="617"/>
      <c r="K174" s="1699">
        <f>SUM(K160,K172,K173)</f>
        <v>9925262</v>
      </c>
      <c r="L174" s="1699">
        <f>SUM(L160,L172,L173)</f>
        <v>9925905</v>
      </c>
    </row>
    <row r="175" spans="1:14" ht="13.5" thickTop="1" x14ac:dyDescent="0.2">
      <c r="A175" s="2205" t="s">
        <v>1052</v>
      </c>
      <c r="B175" s="2206"/>
      <c r="C175" s="617"/>
      <c r="D175" s="617"/>
      <c r="E175" s="617"/>
      <c r="F175" s="617"/>
      <c r="G175" s="617"/>
      <c r="H175" s="619"/>
      <c r="I175" s="617"/>
      <c r="J175" s="617"/>
      <c r="K175" s="1706">
        <f>'Revenues 9-14'!E275-'Expenditures 15-22'!K174</f>
        <v>-419991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2822288</v>
      </c>
      <c r="D182" s="466">
        <v>351135</v>
      </c>
      <c r="E182" s="466">
        <v>166737</v>
      </c>
      <c r="F182" s="466">
        <v>1067359</v>
      </c>
      <c r="G182" s="466">
        <v>516356</v>
      </c>
      <c r="H182" s="466">
        <v>980</v>
      </c>
      <c r="I182" s="467"/>
      <c r="J182" s="467"/>
      <c r="K182" s="1693">
        <f>SUM(C182:J182)</f>
        <v>4924855</v>
      </c>
      <c r="L182" s="466">
        <f>4457611+525000</f>
        <v>4982611</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2822288</v>
      </c>
      <c r="D184" s="1699">
        <f t="shared" ref="D184:J184" si="17">SUM(D180,D182,D183)</f>
        <v>351135</v>
      </c>
      <c r="E184" s="1699">
        <f t="shared" si="17"/>
        <v>166737</v>
      </c>
      <c r="F184" s="1699">
        <f t="shared" si="17"/>
        <v>1067359</v>
      </c>
      <c r="G184" s="1699">
        <f t="shared" si="17"/>
        <v>516356</v>
      </c>
      <c r="H184" s="1699">
        <f t="shared" si="17"/>
        <v>980</v>
      </c>
      <c r="I184" s="1699">
        <f t="shared" si="17"/>
        <v>0</v>
      </c>
      <c r="J184" s="1699">
        <f t="shared" si="17"/>
        <v>0</v>
      </c>
      <c r="K184" s="1699">
        <f>SUM(K180,K182,K183)</f>
        <v>4924855</v>
      </c>
      <c r="L184" s="1699">
        <f>SUM(L180, L182:L183)</f>
        <v>4982611</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2822288</v>
      </c>
      <c r="D210" s="1692">
        <f>SUM(D184,D185)</f>
        <v>351135</v>
      </c>
      <c r="E210" s="1692">
        <f>SUM(E184,E185,E196)</f>
        <v>166737</v>
      </c>
      <c r="F210" s="1692">
        <f>SUM(F184,F185)</f>
        <v>1067359</v>
      </c>
      <c r="G210" s="1692">
        <f>SUM(G184,G185)</f>
        <v>516356</v>
      </c>
      <c r="H210" s="1692">
        <f>SUM(H184,H185,H196,H208,H209)</f>
        <v>980</v>
      </c>
      <c r="I210" s="1692">
        <f>SUM(I184,I185)</f>
        <v>0</v>
      </c>
      <c r="J210" s="1692">
        <f>SUM(J184,J185)</f>
        <v>0</v>
      </c>
      <c r="K210" s="1693">
        <f>SUM(K184,K185,K196,K208,K209)</f>
        <v>4924855</v>
      </c>
      <c r="L210" s="1692">
        <f>SUM(L184,L185,L196,L208,L209)</f>
        <v>4982611</v>
      </c>
    </row>
    <row r="211" spans="1:14" ht="13.5" thickTop="1" x14ac:dyDescent="0.2">
      <c r="A211" s="2205" t="s">
        <v>1052</v>
      </c>
      <c r="B211" s="2206"/>
      <c r="C211" s="619"/>
      <c r="D211" s="619"/>
      <c r="E211" s="619"/>
      <c r="F211" s="619"/>
      <c r="G211" s="619"/>
      <c r="H211" s="619"/>
      <c r="I211" s="617"/>
      <c r="J211" s="617"/>
      <c r="K211" s="1706">
        <f>'Revenues 9-14'!F275-'Expenditures 15-22'!K210</f>
        <v>400470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1021</v>
      </c>
      <c r="B213" s="2201"/>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262222</v>
      </c>
      <c r="E215" s="617"/>
      <c r="F215" s="617"/>
      <c r="G215" s="617"/>
      <c r="H215" s="617"/>
      <c r="I215" s="617"/>
      <c r="J215" s="617"/>
      <c r="K215" s="1693">
        <f>D215</f>
        <v>262222</v>
      </c>
      <c r="L215" s="466">
        <v>247541</v>
      </c>
    </row>
    <row r="216" spans="1:14" x14ac:dyDescent="0.2">
      <c r="A216" s="1526" t="s">
        <v>165</v>
      </c>
      <c r="B216" s="615" t="s">
        <v>1023</v>
      </c>
      <c r="C216" s="617"/>
      <c r="D216" s="467">
        <v>5817</v>
      </c>
      <c r="E216" s="617"/>
      <c r="F216" s="617"/>
      <c r="G216" s="617"/>
      <c r="H216" s="617"/>
      <c r="I216" s="617"/>
      <c r="J216" s="617"/>
      <c r="K216" s="1693">
        <f t="shared" ref="K216:K228" si="19">D216</f>
        <v>5817</v>
      </c>
      <c r="L216" s="466">
        <v>5677</v>
      </c>
    </row>
    <row r="217" spans="1:14" x14ac:dyDescent="0.2">
      <c r="A217" s="1526" t="s">
        <v>166</v>
      </c>
      <c r="B217" s="615">
        <v>1200</v>
      </c>
      <c r="C217" s="617"/>
      <c r="D217" s="466">
        <v>340168</v>
      </c>
      <c r="E217" s="617"/>
      <c r="F217" s="617"/>
      <c r="G217" s="617"/>
      <c r="H217" s="617"/>
      <c r="I217" s="617"/>
      <c r="J217" s="617"/>
      <c r="K217" s="1693">
        <f t="shared" si="19"/>
        <v>340168</v>
      </c>
      <c r="L217" s="466">
        <v>409639</v>
      </c>
    </row>
    <row r="218" spans="1:14" x14ac:dyDescent="0.2">
      <c r="A218" s="1526" t="s">
        <v>295</v>
      </c>
      <c r="B218" s="615" t="s">
        <v>1024</v>
      </c>
      <c r="C218" s="617"/>
      <c r="D218" s="467">
        <v>1428</v>
      </c>
      <c r="E218" s="617"/>
      <c r="F218" s="617"/>
      <c r="G218" s="617"/>
      <c r="H218" s="617"/>
      <c r="I218" s="617"/>
      <c r="J218" s="617"/>
      <c r="K218" s="1693">
        <f t="shared" si="19"/>
        <v>1428</v>
      </c>
      <c r="L218" s="466">
        <v>1369</v>
      </c>
    </row>
    <row r="219" spans="1:14" x14ac:dyDescent="0.2">
      <c r="A219" s="1526" t="s">
        <v>296</v>
      </c>
      <c r="B219" s="615">
        <v>1250</v>
      </c>
      <c r="C219" s="617"/>
      <c r="D219" s="466"/>
      <c r="E219" s="617"/>
      <c r="F219" s="617"/>
      <c r="G219" s="617"/>
      <c r="H219" s="617"/>
      <c r="I219" s="617"/>
      <c r="J219" s="617"/>
      <c r="K219" s="1693">
        <f t="shared" si="19"/>
        <v>0</v>
      </c>
      <c r="L219" s="466"/>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36569</v>
      </c>
      <c r="E222" s="617"/>
      <c r="F222" s="617"/>
      <c r="G222" s="617"/>
      <c r="H222" s="617"/>
      <c r="I222" s="617"/>
      <c r="J222" s="617"/>
      <c r="K222" s="1693">
        <f t="shared" si="19"/>
        <v>36569</v>
      </c>
      <c r="L222" s="466">
        <v>36215</v>
      </c>
    </row>
    <row r="223" spans="1:14" x14ac:dyDescent="0.2">
      <c r="A223" s="1526" t="s">
        <v>1019</v>
      </c>
      <c r="B223" s="615">
        <v>1500</v>
      </c>
      <c r="C223" s="617"/>
      <c r="D223" s="466">
        <v>62422</v>
      </c>
      <c r="E223" s="617"/>
      <c r="F223" s="617"/>
      <c r="G223" s="617"/>
      <c r="H223" s="617"/>
      <c r="I223" s="617"/>
      <c r="J223" s="617"/>
      <c r="K223" s="1693">
        <f t="shared" si="19"/>
        <v>62422</v>
      </c>
      <c r="L223" s="466">
        <v>66030</v>
      </c>
    </row>
    <row r="224" spans="1:14" x14ac:dyDescent="0.2">
      <c r="A224" s="1526" t="s">
        <v>1020</v>
      </c>
      <c r="B224" s="615">
        <v>1600</v>
      </c>
      <c r="C224" s="617"/>
      <c r="D224" s="466">
        <v>20655</v>
      </c>
      <c r="E224" s="617"/>
      <c r="F224" s="617"/>
      <c r="G224" s="617"/>
      <c r="H224" s="617"/>
      <c r="I224" s="617"/>
      <c r="J224" s="617"/>
      <c r="K224" s="1693">
        <f t="shared" si="19"/>
        <v>20655</v>
      </c>
      <c r="L224" s="466">
        <v>35293</v>
      </c>
    </row>
    <row r="225" spans="1:12" x14ac:dyDescent="0.2">
      <c r="A225" s="1526" t="s">
        <v>1043</v>
      </c>
      <c r="B225" s="615">
        <v>1650</v>
      </c>
      <c r="C225" s="617"/>
      <c r="D225" s="466">
        <v>3071</v>
      </c>
      <c r="E225" s="617"/>
      <c r="F225" s="617"/>
      <c r="G225" s="617"/>
      <c r="H225" s="617"/>
      <c r="I225" s="617"/>
      <c r="J225" s="617"/>
      <c r="K225" s="1693">
        <f t="shared" si="19"/>
        <v>3071</v>
      </c>
      <c r="L225" s="466">
        <v>3047</v>
      </c>
    </row>
    <row r="226" spans="1:12" x14ac:dyDescent="0.2">
      <c r="A226" s="1526" t="s">
        <v>747</v>
      </c>
      <c r="B226" s="615" t="s">
        <v>164</v>
      </c>
      <c r="C226" s="617"/>
      <c r="D226" s="467">
        <v>1687</v>
      </c>
      <c r="E226" s="617"/>
      <c r="F226" s="617"/>
      <c r="G226" s="617"/>
      <c r="H226" s="617"/>
      <c r="I226" s="617"/>
      <c r="J226" s="617"/>
      <c r="K226" s="1693">
        <f t="shared" si="19"/>
        <v>1687</v>
      </c>
      <c r="L226" s="466">
        <v>1963</v>
      </c>
    </row>
    <row r="227" spans="1:12" x14ac:dyDescent="0.2">
      <c r="A227" s="1526" t="s">
        <v>1147</v>
      </c>
      <c r="B227" s="615">
        <v>1800</v>
      </c>
      <c r="C227" s="617"/>
      <c r="D227" s="466">
        <v>65576</v>
      </c>
      <c r="E227" s="617"/>
      <c r="F227" s="617"/>
      <c r="G227" s="617"/>
      <c r="H227" s="617"/>
      <c r="I227" s="617"/>
      <c r="J227" s="617"/>
      <c r="K227" s="1693">
        <f t="shared" si="19"/>
        <v>65576</v>
      </c>
      <c r="L227" s="466">
        <v>71588</v>
      </c>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799615</v>
      </c>
      <c r="E229" s="617"/>
      <c r="F229" s="617"/>
      <c r="G229" s="617"/>
      <c r="H229" s="617"/>
      <c r="I229" s="617"/>
      <c r="J229" s="617"/>
      <c r="K229" s="1692">
        <f>SUM(K215:K228)</f>
        <v>799615</v>
      </c>
      <c r="L229" s="1692">
        <f>SUM(L215:L228)</f>
        <v>878362</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42387</v>
      </c>
      <c r="E232" s="617"/>
      <c r="F232" s="617"/>
      <c r="G232" s="617"/>
      <c r="H232" s="617"/>
      <c r="I232" s="617"/>
      <c r="J232" s="617"/>
      <c r="K232" s="1693">
        <f t="shared" ref="K232:K237" si="20">D232</f>
        <v>42387</v>
      </c>
      <c r="L232" s="466">
        <v>44717</v>
      </c>
    </row>
    <row r="233" spans="1:12" x14ac:dyDescent="0.2">
      <c r="A233" s="1526" t="s">
        <v>1150</v>
      </c>
      <c r="B233" s="615">
        <v>2120</v>
      </c>
      <c r="C233" s="617"/>
      <c r="D233" s="466">
        <v>9424</v>
      </c>
      <c r="E233" s="617"/>
      <c r="F233" s="617"/>
      <c r="G233" s="617"/>
      <c r="H233" s="617"/>
      <c r="I233" s="617"/>
      <c r="J233" s="617"/>
      <c r="K233" s="1693">
        <f t="shared" si="20"/>
        <v>9424</v>
      </c>
      <c r="L233" s="466">
        <v>8814</v>
      </c>
    </row>
    <row r="234" spans="1:12" x14ac:dyDescent="0.2">
      <c r="A234" s="1526" t="s">
        <v>207</v>
      </c>
      <c r="B234" s="615">
        <v>2130</v>
      </c>
      <c r="C234" s="617"/>
      <c r="D234" s="466">
        <v>212811</v>
      </c>
      <c r="E234" s="617"/>
      <c r="F234" s="617"/>
      <c r="G234" s="617"/>
      <c r="H234" s="617"/>
      <c r="I234" s="617"/>
      <c r="J234" s="617"/>
      <c r="K234" s="1693">
        <f t="shared" si="20"/>
        <v>212811</v>
      </c>
      <c r="L234" s="466">
        <v>229184</v>
      </c>
    </row>
    <row r="235" spans="1:12" x14ac:dyDescent="0.2">
      <c r="A235" s="1526" t="s">
        <v>208</v>
      </c>
      <c r="B235" s="615">
        <v>2140</v>
      </c>
      <c r="C235" s="617"/>
      <c r="D235" s="466">
        <v>5878</v>
      </c>
      <c r="E235" s="617"/>
      <c r="F235" s="617"/>
      <c r="G235" s="617"/>
      <c r="H235" s="617"/>
      <c r="I235" s="617"/>
      <c r="J235" s="617"/>
      <c r="K235" s="1693">
        <f t="shared" si="20"/>
        <v>5878</v>
      </c>
      <c r="L235" s="466">
        <v>6510</v>
      </c>
    </row>
    <row r="236" spans="1:12" x14ac:dyDescent="0.2">
      <c r="A236" s="1526" t="s">
        <v>209</v>
      </c>
      <c r="B236" s="615">
        <v>2150</v>
      </c>
      <c r="C236" s="617"/>
      <c r="D236" s="466">
        <v>15103</v>
      </c>
      <c r="E236" s="617"/>
      <c r="F236" s="617"/>
      <c r="G236" s="617"/>
      <c r="H236" s="617"/>
      <c r="I236" s="617"/>
      <c r="J236" s="617"/>
      <c r="K236" s="1693">
        <f t="shared" si="20"/>
        <v>15103</v>
      </c>
      <c r="L236" s="466">
        <v>14727</v>
      </c>
    </row>
    <row r="237" spans="1:12" x14ac:dyDescent="0.2">
      <c r="A237" s="1526" t="s">
        <v>167</v>
      </c>
      <c r="B237" s="615">
        <v>2190</v>
      </c>
      <c r="C237" s="617"/>
      <c r="D237" s="466">
        <v>8618</v>
      </c>
      <c r="E237" s="617"/>
      <c r="F237" s="617"/>
      <c r="G237" s="617"/>
      <c r="H237" s="617"/>
      <c r="I237" s="617"/>
      <c r="J237" s="617"/>
      <c r="K237" s="1693">
        <f t="shared" si="20"/>
        <v>8618</v>
      </c>
      <c r="L237" s="466">
        <v>9036</v>
      </c>
    </row>
    <row r="238" spans="1:12" ht="12.75" customHeight="1" thickBot="1" x14ac:dyDescent="0.25">
      <c r="A238" s="1690" t="s">
        <v>580</v>
      </c>
      <c r="B238" s="1697" t="s">
        <v>739</v>
      </c>
      <c r="C238" s="617"/>
      <c r="D238" s="1692">
        <f>SUM(D232:D237)</f>
        <v>294221</v>
      </c>
      <c r="E238" s="617"/>
      <c r="F238" s="617"/>
      <c r="G238" s="617"/>
      <c r="H238" s="617"/>
      <c r="I238" s="617"/>
      <c r="J238" s="617"/>
      <c r="K238" s="1692">
        <f>SUM(K232:K237)</f>
        <v>294221</v>
      </c>
      <c r="L238" s="1692">
        <f>SUM(L232:L237)</f>
        <v>312988</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36002</v>
      </c>
      <c r="E240" s="617"/>
      <c r="F240" s="617"/>
      <c r="G240" s="617"/>
      <c r="H240" s="617"/>
      <c r="I240" s="617"/>
      <c r="J240" s="617"/>
      <c r="K240" s="1694">
        <f>D240</f>
        <v>36002</v>
      </c>
      <c r="L240" s="481">
        <v>43175</v>
      </c>
    </row>
    <row r="241" spans="1:12" x14ac:dyDescent="0.2">
      <c r="A241" s="1526" t="s">
        <v>868</v>
      </c>
      <c r="B241" s="615">
        <v>2220</v>
      </c>
      <c r="C241" s="617"/>
      <c r="D241" s="466">
        <v>24274</v>
      </c>
      <c r="E241" s="617"/>
      <c r="F241" s="617"/>
      <c r="G241" s="617"/>
      <c r="H241" s="617"/>
      <c r="I241" s="617"/>
      <c r="J241" s="617"/>
      <c r="K241" s="1694">
        <f>D241</f>
        <v>24274</v>
      </c>
      <c r="L241" s="466">
        <v>22405</v>
      </c>
    </row>
    <row r="242" spans="1:12" x14ac:dyDescent="0.2">
      <c r="A242" s="1526" t="s">
        <v>869</v>
      </c>
      <c r="B242" s="615">
        <v>2230</v>
      </c>
      <c r="C242" s="617"/>
      <c r="D242" s="466">
        <v>6819</v>
      </c>
      <c r="E242" s="617"/>
      <c r="F242" s="617"/>
      <c r="G242" s="617"/>
      <c r="H242" s="617"/>
      <c r="I242" s="617"/>
      <c r="J242" s="617"/>
      <c r="K242" s="1694">
        <f>D242</f>
        <v>6819</v>
      </c>
      <c r="L242" s="466">
        <v>2</v>
      </c>
    </row>
    <row r="243" spans="1:12" ht="12.75" customHeight="1" thickBot="1" x14ac:dyDescent="0.25">
      <c r="A243" s="1716" t="s">
        <v>581</v>
      </c>
      <c r="B243" s="1717">
        <v>2200</v>
      </c>
      <c r="C243" s="617"/>
      <c r="D243" s="1692">
        <f>SUM(D240:D242)</f>
        <v>67095</v>
      </c>
      <c r="E243" s="617"/>
      <c r="F243" s="617"/>
      <c r="G243" s="617"/>
      <c r="H243" s="617"/>
      <c r="I243" s="617"/>
      <c r="J243" s="617"/>
      <c r="K243" s="1692">
        <f>SUM(K240:K242)</f>
        <v>67095</v>
      </c>
      <c r="L243" s="1692">
        <f>SUM(L240:L242)</f>
        <v>65582</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11299</v>
      </c>
      <c r="E245" s="617"/>
      <c r="F245" s="617"/>
      <c r="G245" s="617"/>
      <c r="H245" s="617"/>
      <c r="I245" s="617"/>
      <c r="J245" s="617"/>
      <c r="K245" s="1694">
        <f>D245</f>
        <v>11299</v>
      </c>
      <c r="L245" s="481">
        <v>11766</v>
      </c>
    </row>
    <row r="246" spans="1:12" x14ac:dyDescent="0.2">
      <c r="A246" s="1526" t="s">
        <v>871</v>
      </c>
      <c r="B246" s="615">
        <v>2320</v>
      </c>
      <c r="C246" s="617"/>
      <c r="D246" s="466">
        <v>13667</v>
      </c>
      <c r="E246" s="617"/>
      <c r="F246" s="617"/>
      <c r="G246" s="617"/>
      <c r="H246" s="617"/>
      <c r="I246" s="617"/>
      <c r="J246" s="617"/>
      <c r="K246" s="1694">
        <f t="shared" ref="K246:K256" si="21">D246</f>
        <v>13667</v>
      </c>
      <c r="L246" s="466">
        <v>14214</v>
      </c>
    </row>
    <row r="247" spans="1:12" x14ac:dyDescent="0.2">
      <c r="A247" s="1526" t="s">
        <v>872</v>
      </c>
      <c r="B247" s="615">
        <v>2330</v>
      </c>
      <c r="C247" s="617"/>
      <c r="D247" s="466"/>
      <c r="E247" s="617"/>
      <c r="F247" s="617"/>
      <c r="G247" s="617"/>
      <c r="H247" s="617"/>
      <c r="I247" s="617"/>
      <c r="J247" s="617"/>
      <c r="K247" s="1694">
        <f t="shared" si="21"/>
        <v>0</v>
      </c>
      <c r="L247" s="466">
        <v>310</v>
      </c>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1904</v>
      </c>
      <c r="B249" s="684" t="s">
        <v>299</v>
      </c>
      <c r="C249" s="617"/>
      <c r="D249" s="474"/>
      <c r="E249" s="617"/>
      <c r="F249" s="617"/>
      <c r="G249" s="617"/>
      <c r="H249" s="617"/>
      <c r="I249" s="617"/>
      <c r="J249" s="617"/>
      <c r="K249" s="1694">
        <f t="shared" si="21"/>
        <v>0</v>
      </c>
      <c r="L249" s="466"/>
    </row>
    <row r="250" spans="1:12" x14ac:dyDescent="0.2">
      <c r="A250" s="1527" t="s">
        <v>1905</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24966</v>
      </c>
      <c r="E257" s="617"/>
      <c r="F257" s="617"/>
      <c r="G257" s="617"/>
      <c r="H257" s="617"/>
      <c r="I257" s="617"/>
      <c r="J257" s="617"/>
      <c r="K257" s="1692">
        <f>SUM(K245:K256)</f>
        <v>24966</v>
      </c>
      <c r="L257" s="1692">
        <f>SUM(L245:L256)</f>
        <v>26290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215382</v>
      </c>
      <c r="E259" s="617"/>
      <c r="F259" s="617"/>
      <c r="G259" s="617"/>
      <c r="H259" s="617"/>
      <c r="I259" s="617"/>
      <c r="J259" s="617"/>
      <c r="K259" s="1694">
        <f>D259</f>
        <v>215382</v>
      </c>
      <c r="L259" s="481">
        <v>223407</v>
      </c>
    </row>
    <row r="260" spans="1:14" s="598" customFormat="1" x14ac:dyDescent="0.2">
      <c r="A260" s="1544" t="s">
        <v>1903</v>
      </c>
      <c r="B260" s="629">
        <v>2490</v>
      </c>
      <c r="C260" s="617"/>
      <c r="D260" s="466">
        <v>18673</v>
      </c>
      <c r="E260" s="617"/>
      <c r="F260" s="617"/>
      <c r="G260" s="617"/>
      <c r="H260" s="617"/>
      <c r="I260" s="617"/>
      <c r="J260" s="617"/>
      <c r="K260" s="1694">
        <f>D260</f>
        <v>18673</v>
      </c>
      <c r="L260" s="466">
        <v>16502</v>
      </c>
      <c r="M260" s="210"/>
      <c r="N260" s="210"/>
    </row>
    <row r="261" spans="1:14" ht="12.75" customHeight="1" thickBot="1" x14ac:dyDescent="0.25">
      <c r="A261" s="1714" t="s">
        <v>281</v>
      </c>
      <c r="B261" s="1719" t="s">
        <v>34</v>
      </c>
      <c r="C261" s="617"/>
      <c r="D261" s="1692">
        <f>SUM(D259:D260)</f>
        <v>234055</v>
      </c>
      <c r="E261" s="617"/>
      <c r="F261" s="617"/>
      <c r="G261" s="617"/>
      <c r="H261" s="617"/>
      <c r="I261" s="617"/>
      <c r="J261" s="617"/>
      <c r="K261" s="1692">
        <f>SUM(K259:K260)</f>
        <v>234055</v>
      </c>
      <c r="L261" s="1692">
        <f>SUM(L259:L260)</f>
        <v>239909</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2200</v>
      </c>
      <c r="E263" s="617"/>
      <c r="F263" s="617"/>
      <c r="G263" s="617"/>
      <c r="H263" s="617"/>
      <c r="I263" s="617"/>
      <c r="J263" s="617"/>
      <c r="K263" s="1694">
        <f>D263</f>
        <v>2200</v>
      </c>
      <c r="L263" s="481">
        <v>2238</v>
      </c>
    </row>
    <row r="264" spans="1:14" x14ac:dyDescent="0.2">
      <c r="A264" s="1526" t="s">
        <v>482</v>
      </c>
      <c r="B264" s="686">
        <v>2520</v>
      </c>
      <c r="C264" s="617"/>
      <c r="D264" s="466">
        <v>63316</v>
      </c>
      <c r="E264" s="617"/>
      <c r="F264" s="617"/>
      <c r="G264" s="617"/>
      <c r="H264" s="617"/>
      <c r="I264" s="617"/>
      <c r="J264" s="617"/>
      <c r="K264" s="1694">
        <f t="shared" ref="K264:K269" si="22">D264</f>
        <v>63316</v>
      </c>
      <c r="L264" s="466">
        <v>62614</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525399</v>
      </c>
      <c r="E266" s="617"/>
      <c r="F266" s="617"/>
      <c r="G266" s="617"/>
      <c r="H266" s="617"/>
      <c r="I266" s="617"/>
      <c r="J266" s="617"/>
      <c r="K266" s="1694">
        <f t="shared" si="22"/>
        <v>525399</v>
      </c>
      <c r="L266" s="466">
        <v>554179</v>
      </c>
    </row>
    <row r="267" spans="1:14" x14ac:dyDescent="0.2">
      <c r="A267" s="1526" t="s">
        <v>1009</v>
      </c>
      <c r="B267" s="615">
        <v>2550</v>
      </c>
      <c r="C267" s="617"/>
      <c r="D267" s="466">
        <v>511722</v>
      </c>
      <c r="E267" s="617"/>
      <c r="F267" s="617"/>
      <c r="G267" s="617"/>
      <c r="H267" s="617"/>
      <c r="I267" s="617"/>
      <c r="J267" s="617"/>
      <c r="K267" s="1694">
        <f t="shared" si="22"/>
        <v>511722</v>
      </c>
      <c r="L267" s="466">
        <v>493863</v>
      </c>
    </row>
    <row r="268" spans="1:14" x14ac:dyDescent="0.2">
      <c r="A268" s="1526" t="s">
        <v>102</v>
      </c>
      <c r="B268" s="615">
        <v>2560</v>
      </c>
      <c r="C268" s="617"/>
      <c r="D268" s="466">
        <v>191804</v>
      </c>
      <c r="E268" s="617"/>
      <c r="F268" s="617"/>
      <c r="G268" s="617"/>
      <c r="H268" s="617"/>
      <c r="I268" s="617"/>
      <c r="J268" s="617"/>
      <c r="K268" s="1694">
        <f t="shared" si="22"/>
        <v>191804</v>
      </c>
      <c r="L268" s="466">
        <v>181623</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1294441</v>
      </c>
      <c r="E270" s="617"/>
      <c r="F270" s="617"/>
      <c r="G270" s="617"/>
      <c r="H270" s="617"/>
      <c r="I270" s="617"/>
      <c r="J270" s="617"/>
      <c r="K270" s="1692">
        <f>SUM(K263:K269)</f>
        <v>1294441</v>
      </c>
      <c r="L270" s="1692">
        <f>SUM(L263:L269)</f>
        <v>1294517</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v>28025</v>
      </c>
      <c r="E274" s="617"/>
      <c r="F274" s="617"/>
      <c r="G274" s="617"/>
      <c r="H274" s="617"/>
      <c r="I274" s="617"/>
      <c r="J274" s="617"/>
      <c r="K274" s="1694">
        <f>D274</f>
        <v>28025</v>
      </c>
      <c r="L274" s="466">
        <v>18722</v>
      </c>
    </row>
    <row r="275" spans="1:12" x14ac:dyDescent="0.2">
      <c r="A275" s="1526" t="s">
        <v>422</v>
      </c>
      <c r="B275" s="615">
        <v>2640</v>
      </c>
      <c r="C275" s="617"/>
      <c r="D275" s="466">
        <v>55815</v>
      </c>
      <c r="E275" s="617"/>
      <c r="F275" s="617"/>
      <c r="G275" s="617"/>
      <c r="H275" s="617"/>
      <c r="I275" s="617"/>
      <c r="J275" s="617"/>
      <c r="K275" s="1694">
        <f>D275</f>
        <v>55815</v>
      </c>
      <c r="L275" s="466">
        <v>53416</v>
      </c>
    </row>
    <row r="276" spans="1:12" x14ac:dyDescent="0.2">
      <c r="A276" s="1526" t="s">
        <v>423</v>
      </c>
      <c r="B276" s="615">
        <v>2660</v>
      </c>
      <c r="C276" s="617"/>
      <c r="D276" s="466">
        <v>82230</v>
      </c>
      <c r="E276" s="617"/>
      <c r="F276" s="617"/>
      <c r="G276" s="617"/>
      <c r="H276" s="617"/>
      <c r="I276" s="617"/>
      <c r="J276" s="617"/>
      <c r="K276" s="1694">
        <f>D276</f>
        <v>82230</v>
      </c>
      <c r="L276" s="466">
        <v>81850</v>
      </c>
    </row>
    <row r="277" spans="1:12" ht="12.75" customHeight="1" thickBot="1" x14ac:dyDescent="0.25">
      <c r="A277" s="1713" t="s">
        <v>37</v>
      </c>
      <c r="B277" s="1691" t="s">
        <v>36</v>
      </c>
      <c r="C277" s="617"/>
      <c r="D277" s="1692">
        <f>SUM(D272:D276)</f>
        <v>166070</v>
      </c>
      <c r="E277" s="617"/>
      <c r="F277" s="617"/>
      <c r="G277" s="617"/>
      <c r="H277" s="617"/>
      <c r="I277" s="617"/>
      <c r="J277" s="617"/>
      <c r="K277" s="1692">
        <f>SUM(K272:K276)</f>
        <v>166070</v>
      </c>
      <c r="L277" s="1692">
        <f>SUM(L272:L276)</f>
        <v>153988</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2080848</v>
      </c>
      <c r="E279" s="617"/>
      <c r="F279" s="617"/>
      <c r="G279" s="617"/>
      <c r="H279" s="617"/>
      <c r="I279" s="617"/>
      <c r="J279" s="617"/>
      <c r="K279" s="1699">
        <f>SUM(K238,K243,K257,K261,K270,K277,K278)</f>
        <v>2080848</v>
      </c>
      <c r="L279" s="1699">
        <f>SUM(L238,L243,L257,L261,L270,L277,L278)</f>
        <v>2093274</v>
      </c>
    </row>
    <row r="280" spans="1:12" ht="15.75" customHeight="1" thickTop="1" thickBot="1" x14ac:dyDescent="0.25">
      <c r="A280" s="1646" t="s">
        <v>929</v>
      </c>
      <c r="B280" s="1635">
        <v>3000</v>
      </c>
      <c r="C280" s="617"/>
      <c r="D280" s="576">
        <v>80</v>
      </c>
      <c r="E280" s="617"/>
      <c r="F280" s="617"/>
      <c r="G280" s="617"/>
      <c r="H280" s="617"/>
      <c r="I280" s="617"/>
      <c r="J280" s="617"/>
      <c r="K280" s="1701">
        <f>D280</f>
        <v>80</v>
      </c>
      <c r="L280" s="576">
        <v>103</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6" t="s">
        <v>525</v>
      </c>
      <c r="B295" s="2197"/>
      <c r="C295" s="617"/>
      <c r="D295" s="1692">
        <f>SUM(D229,D279,D280,D285)</f>
        <v>2880543</v>
      </c>
      <c r="E295" s="617"/>
      <c r="F295" s="617"/>
      <c r="G295" s="617"/>
      <c r="H295" s="1692">
        <f>H293</f>
        <v>0</v>
      </c>
      <c r="I295" s="617"/>
      <c r="J295" s="617"/>
      <c r="K295" s="1692">
        <f>SUM(K229,K279,K280,K285,K293,K294)</f>
        <v>2880543</v>
      </c>
      <c r="L295" s="1692">
        <f>SUM(L229,L279,L280,L285,L293,L294)</f>
        <v>2971739</v>
      </c>
    </row>
    <row r="296" spans="1:14" ht="13.5" thickTop="1" x14ac:dyDescent="0.2">
      <c r="A296" s="2205" t="s">
        <v>1052</v>
      </c>
      <c r="B296" s="2206"/>
      <c r="C296" s="617"/>
      <c r="D296" s="619"/>
      <c r="E296" s="617"/>
      <c r="F296" s="617"/>
      <c r="G296" s="617"/>
      <c r="H296" s="688"/>
      <c r="I296" s="617"/>
      <c r="J296" s="617"/>
      <c r="K296" s="1706">
        <f>'Revenues 9-14'!G275-'Expenditures 15-22'!K295</f>
        <v>227724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11944</v>
      </c>
      <c r="D301" s="466">
        <v>1532</v>
      </c>
      <c r="E301" s="466">
        <v>1325</v>
      </c>
      <c r="F301" s="466">
        <v>13680</v>
      </c>
      <c r="G301" s="466">
        <v>10594</v>
      </c>
      <c r="H301" s="466"/>
      <c r="I301" s="467"/>
      <c r="J301" s="467"/>
      <c r="K301" s="1693">
        <f>SUM(C301:J301)</f>
        <v>39075</v>
      </c>
      <c r="L301" s="467">
        <v>140983</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11944</v>
      </c>
      <c r="D303" s="1699">
        <f t="shared" ref="D303:L303" si="23">SUM(D301:D302)</f>
        <v>1532</v>
      </c>
      <c r="E303" s="1699">
        <f t="shared" si="23"/>
        <v>1325</v>
      </c>
      <c r="F303" s="1699">
        <f t="shared" si="23"/>
        <v>13680</v>
      </c>
      <c r="G303" s="1699">
        <f t="shared" si="23"/>
        <v>10594</v>
      </c>
      <c r="H303" s="1699">
        <f t="shared" si="23"/>
        <v>0</v>
      </c>
      <c r="I303" s="1699">
        <f t="shared" si="23"/>
        <v>0</v>
      </c>
      <c r="J303" s="1699">
        <f t="shared" si="23"/>
        <v>0</v>
      </c>
      <c r="K303" s="1699">
        <f t="shared" si="23"/>
        <v>39075</v>
      </c>
      <c r="L303" s="1699">
        <f t="shared" si="23"/>
        <v>140983</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93" t="s">
        <v>294</v>
      </c>
      <c r="B312" s="2194"/>
      <c r="C312" s="1692">
        <f>SUM(C303)</f>
        <v>11944</v>
      </c>
      <c r="D312" s="1692">
        <f>SUM(D303)</f>
        <v>1532</v>
      </c>
      <c r="E312" s="1692">
        <f>SUM(E303,E310)</f>
        <v>1325</v>
      </c>
      <c r="F312" s="1692">
        <f>SUM(F303)</f>
        <v>13680</v>
      </c>
      <c r="G312" s="1692">
        <f>SUM(G303)</f>
        <v>10594</v>
      </c>
      <c r="H312" s="1692">
        <f>SUM(H303,H310)</f>
        <v>0</v>
      </c>
      <c r="I312" s="1692">
        <f>SUM(I303)</f>
        <v>0</v>
      </c>
      <c r="J312" s="1692">
        <f>SUM(J303)</f>
        <v>0</v>
      </c>
      <c r="K312" s="1692">
        <f>SUM(K303,K310,K311)</f>
        <v>39075</v>
      </c>
      <c r="L312" s="1692">
        <f>SUM(L303,L310,L311)</f>
        <v>140983</v>
      </c>
      <c r="M312" s="666"/>
      <c r="N312" s="666"/>
    </row>
    <row r="313" spans="1:14" ht="13.5" thickTop="1" x14ac:dyDescent="0.2">
      <c r="A313" s="2189" t="s">
        <v>1052</v>
      </c>
      <c r="B313" s="2190"/>
      <c r="C313" s="627"/>
      <c r="D313" s="627"/>
      <c r="E313" s="627"/>
      <c r="F313" s="627"/>
      <c r="G313" s="627"/>
      <c r="H313" s="627"/>
      <c r="I313" s="627"/>
      <c r="J313" s="627"/>
      <c r="K313" s="1707">
        <f>'Revenues 9-14'!H275-'Expenditures 15-22'!K312</f>
        <v>46048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953</v>
      </c>
      <c r="B317" s="2203"/>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1904</v>
      </c>
      <c r="B320" s="699" t="s">
        <v>299</v>
      </c>
      <c r="C320" s="467"/>
      <c r="D320" s="467"/>
      <c r="E320" s="467">
        <v>613358</v>
      </c>
      <c r="F320" s="467"/>
      <c r="G320" s="467"/>
      <c r="H320" s="467"/>
      <c r="I320" s="467"/>
      <c r="J320" s="467"/>
      <c r="K320" s="1693">
        <f t="shared" ref="K320:K327" si="24">SUM(C320:J320)</f>
        <v>613358</v>
      </c>
      <c r="L320" s="467">
        <v>668884</v>
      </c>
      <c r="M320" s="666"/>
      <c r="N320" s="666"/>
    </row>
    <row r="321" spans="1:14" s="675" customFormat="1" x14ac:dyDescent="0.2">
      <c r="A321" s="1541" t="s">
        <v>317</v>
      </c>
      <c r="B321" s="698" t="s">
        <v>300</v>
      </c>
      <c r="C321" s="467"/>
      <c r="D321" s="467"/>
      <c r="E321" s="467">
        <v>17010</v>
      </c>
      <c r="F321" s="467"/>
      <c r="G321" s="467"/>
      <c r="H321" s="467"/>
      <c r="I321" s="467"/>
      <c r="J321" s="467"/>
      <c r="K321" s="1693">
        <f t="shared" si="24"/>
        <v>17010</v>
      </c>
      <c r="L321" s="467">
        <v>65000</v>
      </c>
      <c r="M321" s="666"/>
      <c r="N321" s="666"/>
    </row>
    <row r="322" spans="1:14" s="675" customFormat="1" x14ac:dyDescent="0.2">
      <c r="A322" s="1541" t="s">
        <v>256</v>
      </c>
      <c r="B322" s="698" t="s">
        <v>301</v>
      </c>
      <c r="C322" s="467"/>
      <c r="D322" s="467"/>
      <c r="E322" s="467">
        <v>200611</v>
      </c>
      <c r="F322" s="467"/>
      <c r="G322" s="467"/>
      <c r="H322" s="467"/>
      <c r="I322" s="467"/>
      <c r="J322" s="467"/>
      <c r="K322" s="1693">
        <f t="shared" si="24"/>
        <v>200611</v>
      </c>
      <c r="L322" s="467">
        <v>200000</v>
      </c>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830979</v>
      </c>
      <c r="F330" s="1692">
        <f t="shared" si="25"/>
        <v>0</v>
      </c>
      <c r="G330" s="1692">
        <f t="shared" si="25"/>
        <v>0</v>
      </c>
      <c r="H330" s="1692">
        <f t="shared" si="25"/>
        <v>0</v>
      </c>
      <c r="I330" s="1692">
        <f t="shared" si="25"/>
        <v>0</v>
      </c>
      <c r="J330" s="1692">
        <f t="shared" si="25"/>
        <v>0</v>
      </c>
      <c r="K330" s="1692">
        <f>SUM(K319:K329)</f>
        <v>830979</v>
      </c>
      <c r="L330" s="1692">
        <f>SUM(L319:L329)</f>
        <v>933884</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830979</v>
      </c>
      <c r="F342" s="1692">
        <f>SUM(F330)</f>
        <v>0</v>
      </c>
      <c r="G342" s="1692">
        <f>SUM(G330)</f>
        <v>0</v>
      </c>
      <c r="H342" s="1692">
        <f>SUM(H330,H334,H340)</f>
        <v>0</v>
      </c>
      <c r="I342" s="1692">
        <f>SUM(I330)</f>
        <v>0</v>
      </c>
      <c r="J342" s="1692">
        <f>SUM(J330)</f>
        <v>0</v>
      </c>
      <c r="K342" s="1692">
        <f>SUM(K330,K334,K340)</f>
        <v>830979</v>
      </c>
      <c r="L342" s="1699">
        <f>SUM(L330,L340,L341)</f>
        <v>933884</v>
      </c>
    </row>
    <row r="343" spans="1:14" ht="12.75" customHeight="1" thickTop="1" x14ac:dyDescent="0.2">
      <c r="A343" s="2191" t="s">
        <v>1052</v>
      </c>
      <c r="B343" s="2192"/>
      <c r="C343" s="617"/>
      <c r="D343" s="617"/>
      <c r="E343" s="617"/>
      <c r="F343" s="617"/>
      <c r="G343" s="617"/>
      <c r="H343" s="617"/>
      <c r="I343" s="617"/>
      <c r="J343" s="617"/>
      <c r="K343" s="1706">
        <f>'Revenues 9-14'!J275-'Expenditures 15-22'!K342</f>
        <v>420096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1022</v>
      </c>
      <c r="B345" s="2182"/>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v>9505</v>
      </c>
      <c r="F348" s="466"/>
      <c r="G348" s="466">
        <v>400494</v>
      </c>
      <c r="H348" s="466"/>
      <c r="I348" s="467"/>
      <c r="J348" s="467"/>
      <c r="K348" s="1693">
        <f>SUM(C348:J348)</f>
        <v>409999</v>
      </c>
      <c r="L348" s="466">
        <v>450000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9505</v>
      </c>
      <c r="F350" s="1692">
        <f t="shared" si="26"/>
        <v>0</v>
      </c>
      <c r="G350" s="1692">
        <f t="shared" si="26"/>
        <v>400494</v>
      </c>
      <c r="H350" s="1692">
        <f t="shared" si="26"/>
        <v>0</v>
      </c>
      <c r="I350" s="1692">
        <f t="shared" si="26"/>
        <v>0</v>
      </c>
      <c r="J350" s="1692">
        <f t="shared" si="26"/>
        <v>0</v>
      </c>
      <c r="K350" s="1692">
        <f t="shared" si="26"/>
        <v>409999</v>
      </c>
      <c r="L350" s="1692">
        <f t="shared" si="26"/>
        <v>450000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9505</v>
      </c>
      <c r="F352" s="1692">
        <f t="shared" si="27"/>
        <v>0</v>
      </c>
      <c r="G352" s="1692">
        <f t="shared" si="27"/>
        <v>400494</v>
      </c>
      <c r="H352" s="1692">
        <f t="shared" si="27"/>
        <v>0</v>
      </c>
      <c r="I352" s="1692">
        <f t="shared" si="27"/>
        <v>0</v>
      </c>
      <c r="J352" s="1692">
        <f t="shared" si="27"/>
        <v>0</v>
      </c>
      <c r="K352" s="1692">
        <f t="shared" si="27"/>
        <v>409999</v>
      </c>
      <c r="L352" s="1692">
        <f t="shared" si="27"/>
        <v>450000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9505</v>
      </c>
      <c r="F367" s="1692">
        <f t="shared" si="28"/>
        <v>0</v>
      </c>
      <c r="G367" s="1692">
        <f t="shared" si="28"/>
        <v>400494</v>
      </c>
      <c r="H367" s="1692">
        <f t="shared" si="28"/>
        <v>0</v>
      </c>
      <c r="I367" s="1692">
        <f t="shared" si="28"/>
        <v>0</v>
      </c>
      <c r="J367" s="1692">
        <f t="shared" si="28"/>
        <v>0</v>
      </c>
      <c r="K367" s="1692">
        <f t="shared" si="28"/>
        <v>409999</v>
      </c>
      <c r="L367" s="1692">
        <f t="shared" si="28"/>
        <v>450000</v>
      </c>
    </row>
    <row r="368" spans="1:14" ht="13.5" thickTop="1" x14ac:dyDescent="0.2">
      <c r="A368" s="2205" t="s">
        <v>1052</v>
      </c>
      <c r="B368" s="2206"/>
      <c r="C368" s="655"/>
      <c r="D368" s="655"/>
      <c r="E368" s="627"/>
      <c r="F368" s="627"/>
      <c r="G368" s="627"/>
      <c r="H368" s="627"/>
      <c r="I368" s="627"/>
      <c r="J368" s="624"/>
      <c r="K368" s="1693">
        <f>'Revenues 9-14'!K275-'Expenditures 15-22'!K367</f>
        <v>390181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7" t="s">
        <v>1901</v>
      </c>
      <c r="B2" s="1550" t="s">
        <v>2033</v>
      </c>
      <c r="C2" s="715" t="s">
        <v>1906</v>
      </c>
      <c r="D2" s="715" t="s">
        <v>1907</v>
      </c>
      <c r="E2" s="715" t="s">
        <v>1908</v>
      </c>
      <c r="F2" s="715" t="s">
        <v>1909</v>
      </c>
    </row>
    <row r="3" spans="1:6" ht="12" customHeight="1" x14ac:dyDescent="0.2">
      <c r="A3" s="2208"/>
      <c r="B3" s="1547"/>
      <c r="C3" s="1548"/>
      <c r="D3" s="1549" t="s">
        <v>274</v>
      </c>
      <c r="E3" s="1548"/>
      <c r="F3" s="1549" t="s">
        <v>275</v>
      </c>
    </row>
    <row r="4" spans="1:6" ht="13.7" customHeight="1" x14ac:dyDescent="0.2">
      <c r="A4" s="716" t="s">
        <v>1216</v>
      </c>
      <c r="B4" s="1771">
        <f>'Revenues 9-14'!C5</f>
        <v>30405700</v>
      </c>
      <c r="C4" s="1546">
        <v>15737259</v>
      </c>
      <c r="D4" s="1774">
        <f>B4-C4</f>
        <v>14668441</v>
      </c>
      <c r="E4" s="1546">
        <v>29250001</v>
      </c>
      <c r="F4" s="1774">
        <f>E4-C4</f>
        <v>13512742</v>
      </c>
    </row>
    <row r="5" spans="1:6" ht="13.7" customHeight="1" x14ac:dyDescent="0.2">
      <c r="A5" s="716" t="s">
        <v>924</v>
      </c>
      <c r="B5" s="1772">
        <f>'Revenues 9-14'!D5</f>
        <v>5924661</v>
      </c>
      <c r="C5" s="585">
        <v>3174341</v>
      </c>
      <c r="D5" s="1775">
        <f t="shared" ref="D5:D18" si="0">B5-C5</f>
        <v>2750320</v>
      </c>
      <c r="E5" s="585">
        <v>5900006</v>
      </c>
      <c r="F5" s="1775">
        <f>E5-C5</f>
        <v>2725665</v>
      </c>
    </row>
    <row r="6" spans="1:6" ht="13.7" customHeight="1" x14ac:dyDescent="0.2">
      <c r="A6" s="716" t="s">
        <v>430</v>
      </c>
      <c r="B6" s="1772">
        <f>'Revenues 9-14'!E5</f>
        <v>8781164</v>
      </c>
      <c r="C6" s="585">
        <v>4495867</v>
      </c>
      <c r="D6" s="1775">
        <f t="shared" si="0"/>
        <v>4285297</v>
      </c>
      <c r="E6" s="585">
        <v>8356289</v>
      </c>
      <c r="F6" s="1775">
        <f t="shared" ref="F6:F18" si="1">E6-C6</f>
        <v>3860422</v>
      </c>
    </row>
    <row r="7" spans="1:6" ht="13.7" customHeight="1" x14ac:dyDescent="0.2">
      <c r="A7" s="716" t="s">
        <v>157</v>
      </c>
      <c r="B7" s="1772">
        <f>'Revenues 9-14'!F5</f>
        <v>1691593</v>
      </c>
      <c r="C7" s="585">
        <v>941551</v>
      </c>
      <c r="D7" s="1775">
        <f t="shared" si="0"/>
        <v>750042</v>
      </c>
      <c r="E7" s="585">
        <v>1750003</v>
      </c>
      <c r="F7" s="1775">
        <f t="shared" si="1"/>
        <v>808452</v>
      </c>
    </row>
    <row r="8" spans="1:6" ht="13.7" customHeight="1" x14ac:dyDescent="0.2">
      <c r="A8" s="716" t="s">
        <v>1240</v>
      </c>
      <c r="B8" s="1772">
        <f>'Revenues 9-14'!G5</f>
        <v>1503309</v>
      </c>
      <c r="C8" s="585">
        <v>801645</v>
      </c>
      <c r="D8" s="1775">
        <f t="shared" si="0"/>
        <v>701664</v>
      </c>
      <c r="E8" s="585">
        <v>1490005</v>
      </c>
      <c r="F8" s="1775">
        <f t="shared" si="1"/>
        <v>688360</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399093</v>
      </c>
      <c r="C10" s="585">
        <v>215212</v>
      </c>
      <c r="D10" s="1775">
        <f t="shared" si="0"/>
        <v>183881</v>
      </c>
      <c r="E10" s="585">
        <v>400001</v>
      </c>
      <c r="F10" s="1775">
        <f t="shared" si="1"/>
        <v>184789</v>
      </c>
    </row>
    <row r="11" spans="1:6" x14ac:dyDescent="0.2">
      <c r="A11" s="716" t="s">
        <v>428</v>
      </c>
      <c r="B11" s="1772">
        <f>'Revenues 9-14'!J5</f>
        <v>1225837</v>
      </c>
      <c r="C11" s="585">
        <v>645635</v>
      </c>
      <c r="D11" s="1775">
        <f t="shared" si="0"/>
        <v>580202</v>
      </c>
      <c r="E11" s="585">
        <v>1200004</v>
      </c>
      <c r="F11" s="1775">
        <f t="shared" si="1"/>
        <v>554369</v>
      </c>
    </row>
    <row r="12" spans="1:6" ht="13.7" customHeight="1" x14ac:dyDescent="0.2">
      <c r="A12" s="716" t="s">
        <v>159</v>
      </c>
      <c r="B12" s="1772">
        <f>'Revenues 9-14'!K5</f>
        <v>799016</v>
      </c>
      <c r="C12" s="585">
        <v>432314</v>
      </c>
      <c r="D12" s="1775">
        <f t="shared" si="0"/>
        <v>366702</v>
      </c>
      <c r="E12" s="585">
        <v>803506</v>
      </c>
      <c r="F12" s="1775">
        <f t="shared" si="1"/>
        <v>371192</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6182631</v>
      </c>
      <c r="C14" s="585">
        <v>3255045</v>
      </c>
      <c r="D14" s="1775">
        <f t="shared" si="0"/>
        <v>2927586</v>
      </c>
      <c r="E14" s="585">
        <v>6050004</v>
      </c>
      <c r="F14" s="1775">
        <f t="shared" si="1"/>
        <v>2794959</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1503309</v>
      </c>
      <c r="C16" s="585">
        <v>801645</v>
      </c>
      <c r="D16" s="1775">
        <f t="shared" si="0"/>
        <v>701664</v>
      </c>
      <c r="E16" s="585">
        <v>1490005</v>
      </c>
      <c r="F16" s="1775">
        <f t="shared" si="1"/>
        <v>688360</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58416313</v>
      </c>
      <c r="C19" s="1773">
        <f>SUM(C4:C18)</f>
        <v>30500514</v>
      </c>
      <c r="D19" s="1773">
        <f>SUM(D4:D18)</f>
        <v>27915799</v>
      </c>
      <c r="E19" s="1773">
        <f>SUM(E4:E18)</f>
        <v>56689824</v>
      </c>
      <c r="F19" s="1773">
        <f>SUM(F4:F18)</f>
        <v>26189310</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110" zoomScaleNormal="110" workbookViewId="0">
      <selection activeCell="E32" sqref="E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649</v>
      </c>
      <c r="B1" s="2214"/>
      <c r="C1" s="722"/>
    </row>
    <row r="2" spans="1:7" ht="33.75" x14ac:dyDescent="0.2">
      <c r="A2" s="2222" t="s">
        <v>1901</v>
      </c>
      <c r="B2" s="2223"/>
      <c r="C2" s="1909" t="s">
        <v>2034</v>
      </c>
      <c r="D2" s="724" t="s">
        <v>2041</v>
      </c>
      <c r="E2" s="724" t="s">
        <v>2042</v>
      </c>
      <c r="F2" s="1909" t="s">
        <v>2035</v>
      </c>
    </row>
    <row r="3" spans="1:7" ht="15.75" customHeight="1" x14ac:dyDescent="0.2">
      <c r="A3" s="2226" t="s">
        <v>1175</v>
      </c>
      <c r="B3" s="2227"/>
      <c r="C3" s="2215"/>
      <c r="D3" s="2216"/>
      <c r="E3" s="2216"/>
      <c r="F3" s="2217"/>
    </row>
    <row r="4" spans="1:7" ht="12.75" customHeight="1" thickBot="1" x14ac:dyDescent="0.25">
      <c r="A4" s="2224" t="s">
        <v>650</v>
      </c>
      <c r="B4" s="2225"/>
      <c r="C4" s="581"/>
      <c r="D4" s="581"/>
      <c r="E4" s="581"/>
      <c r="F4" s="1777">
        <f>SUM(C4+D4)-E4</f>
        <v>0</v>
      </c>
    </row>
    <row r="5" spans="1:7" ht="15.75" customHeight="1" thickTop="1" x14ac:dyDescent="0.2">
      <c r="A5" s="2209" t="s">
        <v>1171</v>
      </c>
      <c r="B5" s="2210"/>
      <c r="C5" s="2218"/>
      <c r="D5" s="2219"/>
      <c r="E5" s="2219"/>
      <c r="F5" s="222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11" t="s">
        <v>651</v>
      </c>
      <c r="B15" s="2212"/>
      <c r="C15" s="1777">
        <f>SUM(C6:C14)</f>
        <v>0</v>
      </c>
      <c r="D15" s="1777">
        <f>SUM(D6:D14)</f>
        <v>0</v>
      </c>
      <c r="E15" s="1777">
        <f>SUM(E6:E14)</f>
        <v>0</v>
      </c>
      <c r="F15" s="1777">
        <f>SUM(F6:F14)</f>
        <v>0</v>
      </c>
      <c r="G15" s="552"/>
    </row>
    <row r="16" spans="1:7" s="202" customFormat="1" ht="15.75" customHeight="1" thickTop="1" x14ac:dyDescent="0.2">
      <c r="A16" s="2221" t="s">
        <v>1172</v>
      </c>
      <c r="B16" s="2210"/>
      <c r="C16" s="2218"/>
      <c r="D16" s="2219"/>
      <c r="E16" s="2219"/>
      <c r="F16" s="2220"/>
    </row>
    <row r="17" spans="1:11" ht="12.75" customHeight="1" thickBot="1" x14ac:dyDescent="0.25">
      <c r="A17" s="2234" t="s">
        <v>66</v>
      </c>
      <c r="B17" s="2235"/>
      <c r="C17" s="727"/>
      <c r="D17" s="585"/>
      <c r="E17" s="727"/>
      <c r="F17" s="1777">
        <f>SUM(C17+D17)-E17</f>
        <v>0</v>
      </c>
    </row>
    <row r="18" spans="1:11" ht="12.75" customHeight="1" thickTop="1" thickBot="1" x14ac:dyDescent="0.25">
      <c r="A18" s="2234" t="s">
        <v>6</v>
      </c>
      <c r="B18" s="2235"/>
      <c r="C18" s="727"/>
      <c r="D18" s="585"/>
      <c r="E18" s="727"/>
      <c r="F18" s="1777">
        <f>SUM(C18+D18)-E18</f>
        <v>0</v>
      </c>
    </row>
    <row r="19" spans="1:11" ht="12.75" customHeight="1" thickTop="1" thickBot="1" x14ac:dyDescent="0.25">
      <c r="A19" s="2234" t="s">
        <v>405</v>
      </c>
      <c r="B19" s="2235"/>
      <c r="C19" s="727"/>
      <c r="D19" s="585"/>
      <c r="E19" s="727"/>
      <c r="F19" s="1777">
        <f>SUM(C19+D19)-E19</f>
        <v>0</v>
      </c>
    </row>
    <row r="20" spans="1:11" ht="12.75" customHeight="1" thickTop="1" thickBot="1" x14ac:dyDescent="0.25">
      <c r="A20" s="2234" t="s">
        <v>467</v>
      </c>
      <c r="B20" s="2235"/>
      <c r="C20" s="727"/>
      <c r="D20" s="585"/>
      <c r="E20" s="727"/>
      <c r="F20" s="1777">
        <f>SUM(C20+D20)-E20</f>
        <v>0</v>
      </c>
    </row>
    <row r="21" spans="1:11" ht="14.25" thickTop="1" thickBot="1" x14ac:dyDescent="0.25">
      <c r="A21" s="2211" t="s">
        <v>652</v>
      </c>
      <c r="B21" s="2212"/>
      <c r="C21" s="1777">
        <f>SUM(C17:C20)</f>
        <v>0</v>
      </c>
      <c r="D21" s="1777">
        <f>SUM(D17:D20)</f>
        <v>0</v>
      </c>
      <c r="E21" s="1777">
        <f>SUM(E17:E20)</f>
        <v>0</v>
      </c>
      <c r="F21" s="1777">
        <f>SUM(F17:F20)</f>
        <v>0</v>
      </c>
      <c r="G21" s="552"/>
    </row>
    <row r="22" spans="1:11" ht="15.75" customHeight="1" thickTop="1" x14ac:dyDescent="0.2">
      <c r="A22" s="2236" t="s">
        <v>1173</v>
      </c>
      <c r="B22" s="2210"/>
      <c r="C22" s="2218"/>
      <c r="D22" s="2219"/>
      <c r="E22" s="2219"/>
      <c r="F22" s="2220"/>
    </row>
    <row r="23" spans="1:11" ht="13.5" thickBot="1" x14ac:dyDescent="0.25">
      <c r="A23" s="2224" t="s">
        <v>653</v>
      </c>
      <c r="B23" s="2225"/>
      <c r="C23" s="581"/>
      <c r="D23" s="581"/>
      <c r="E23" s="581"/>
      <c r="F23" s="1777">
        <f>SUM(C23+D23)-E23</f>
        <v>0</v>
      </c>
      <c r="G23" s="552"/>
    </row>
    <row r="24" spans="1:11" ht="15.75" customHeight="1" thickTop="1" x14ac:dyDescent="0.2">
      <c r="A24" s="2236" t="s">
        <v>1174</v>
      </c>
      <c r="B24" s="2210"/>
      <c r="C24" s="2218"/>
      <c r="D24" s="2219"/>
      <c r="E24" s="2219"/>
      <c r="F24" s="2220"/>
    </row>
    <row r="25" spans="1:11" ht="13.5" thickBot="1" x14ac:dyDescent="0.25">
      <c r="A25" s="2224" t="s">
        <v>654</v>
      </c>
      <c r="B25" s="2225"/>
      <c r="C25" s="581"/>
      <c r="D25" s="581"/>
      <c r="E25" s="581"/>
      <c r="F25" s="1777">
        <f>SUM(C25+D25)-E25</f>
        <v>0</v>
      </c>
      <c r="G25" s="552"/>
    </row>
    <row r="26" spans="1:11" ht="15.75" customHeight="1" thickTop="1" x14ac:dyDescent="0.2">
      <c r="A26" s="2209" t="s">
        <v>677</v>
      </c>
      <c r="B26" s="2210"/>
      <c r="C26" s="728"/>
      <c r="D26" s="728"/>
      <c r="E26" s="728"/>
      <c r="F26" s="729"/>
    </row>
    <row r="27" spans="1:11" ht="13.5" thickBot="1" x14ac:dyDescent="0.25">
      <c r="A27" s="2211" t="s">
        <v>1129</v>
      </c>
      <c r="B27" s="2212"/>
      <c r="C27" s="585"/>
      <c r="D27" s="585"/>
      <c r="E27" s="585"/>
      <c r="F27" s="1777">
        <f>SUM(C27+D27)-E27</f>
        <v>0</v>
      </c>
      <c r="G27" s="552"/>
    </row>
    <row r="28" spans="1:11" ht="7.5" customHeight="1" thickTop="1" x14ac:dyDescent="0.2">
      <c r="A28" s="594"/>
    </row>
    <row r="29" spans="1:11" ht="23.25" customHeight="1" x14ac:dyDescent="0.2">
      <c r="A29" s="2237" t="s">
        <v>602</v>
      </c>
      <c r="B29" s="2214"/>
      <c r="C29" s="730"/>
      <c r="D29" s="730"/>
      <c r="E29" s="730"/>
      <c r="F29" s="730"/>
      <c r="G29" s="730"/>
      <c r="H29" s="730"/>
      <c r="I29" s="730"/>
      <c r="J29" s="730"/>
    </row>
    <row r="30" spans="1:11" ht="33.75" x14ac:dyDescent="0.2">
      <c r="A30" s="1551" t="s">
        <v>1130</v>
      </c>
      <c r="B30" s="731" t="s">
        <v>1185</v>
      </c>
      <c r="C30" s="1910" t="s">
        <v>603</v>
      </c>
      <c r="D30" s="1910" t="s">
        <v>1771</v>
      </c>
      <c r="E30" s="1910" t="s">
        <v>2036</v>
      </c>
      <c r="F30" s="1910" t="s">
        <v>2037</v>
      </c>
      <c r="G30" s="1910" t="s">
        <v>2040</v>
      </c>
      <c r="H30" s="1910" t="s">
        <v>2038</v>
      </c>
      <c r="I30" s="1910" t="s">
        <v>2039</v>
      </c>
      <c r="J30" s="1911" t="s">
        <v>2</v>
      </c>
      <c r="K30" s="732"/>
    </row>
    <row r="31" spans="1:11" ht="12" customHeight="1" x14ac:dyDescent="0.2">
      <c r="A31" s="733" t="s">
        <v>2151</v>
      </c>
      <c r="B31" s="734"/>
      <c r="C31" s="735"/>
      <c r="D31" s="736"/>
      <c r="E31" s="735">
        <v>52435</v>
      </c>
      <c r="F31" s="735"/>
      <c r="G31" s="735"/>
      <c r="H31" s="735">
        <v>52435</v>
      </c>
      <c r="I31" s="1778">
        <f>((E31+F31)-H31)+G31</f>
        <v>0</v>
      </c>
      <c r="J31" s="735"/>
      <c r="K31" s="737"/>
    </row>
    <row r="32" spans="1:11" ht="12" customHeight="1" x14ac:dyDescent="0.2">
      <c r="A32" s="733" t="s">
        <v>2152</v>
      </c>
      <c r="B32" s="734">
        <v>38870</v>
      </c>
      <c r="C32" s="735">
        <v>13866940</v>
      </c>
      <c r="D32" s="736">
        <v>6</v>
      </c>
      <c r="E32" s="735">
        <v>13866940</v>
      </c>
      <c r="F32" s="735"/>
      <c r="G32" s="735"/>
      <c r="H32" s="735"/>
      <c r="I32" s="1778">
        <f>((E32+F32)-H32)+G32</f>
        <v>13866940</v>
      </c>
      <c r="J32" s="735">
        <v>13704314</v>
      </c>
      <c r="K32" s="737"/>
    </row>
    <row r="33" spans="1:11" ht="12" customHeight="1" x14ac:dyDescent="0.2">
      <c r="A33" s="733" t="s">
        <v>2153</v>
      </c>
      <c r="B33" s="734">
        <v>41282</v>
      </c>
      <c r="C33" s="735">
        <v>3830000</v>
      </c>
      <c r="D33" s="736">
        <v>3</v>
      </c>
      <c r="E33" s="735">
        <v>3095000</v>
      </c>
      <c r="F33" s="735"/>
      <c r="G33" s="735"/>
      <c r="H33" s="735"/>
      <c r="I33" s="1778">
        <f t="shared" ref="I33:I48" si="1">((E33+F33)-H33)+G33</f>
        <v>3095000</v>
      </c>
      <c r="J33" s="735">
        <v>3042252</v>
      </c>
      <c r="K33" s="737"/>
    </row>
    <row r="34" spans="1:11" ht="12" customHeight="1" x14ac:dyDescent="0.2">
      <c r="A34" s="733" t="s">
        <v>2154</v>
      </c>
      <c r="B34" s="734">
        <v>39644</v>
      </c>
      <c r="C34" s="735">
        <v>5580000</v>
      </c>
      <c r="D34" s="736">
        <v>6</v>
      </c>
      <c r="E34" s="735">
        <v>4515000</v>
      </c>
      <c r="F34" s="735"/>
      <c r="G34" s="735"/>
      <c r="H34" s="735">
        <v>4515000</v>
      </c>
      <c r="I34" s="1778">
        <f t="shared" si="1"/>
        <v>0</v>
      </c>
      <c r="J34" s="735"/>
      <c r="K34" s="738"/>
    </row>
    <row r="35" spans="1:11" ht="12" customHeight="1" x14ac:dyDescent="0.2">
      <c r="A35" s="733" t="s">
        <v>2155</v>
      </c>
      <c r="B35" s="734">
        <v>40252</v>
      </c>
      <c r="C35" s="739">
        <v>7000000</v>
      </c>
      <c r="D35" s="736" t="s">
        <v>2165</v>
      </c>
      <c r="E35" s="739">
        <v>6500000</v>
      </c>
      <c r="F35" s="739"/>
      <c r="G35" s="739"/>
      <c r="H35" s="739"/>
      <c r="I35" s="1778">
        <f t="shared" si="1"/>
        <v>6500000</v>
      </c>
      <c r="J35" s="739">
        <v>5660070</v>
      </c>
      <c r="K35" s="738"/>
    </row>
    <row r="36" spans="1:11" ht="12" customHeight="1" x14ac:dyDescent="0.2">
      <c r="A36" s="733" t="s">
        <v>2156</v>
      </c>
      <c r="B36" s="734">
        <v>40252</v>
      </c>
      <c r="C36" s="735">
        <v>13185000</v>
      </c>
      <c r="D36" s="736">
        <v>3</v>
      </c>
      <c r="E36" s="735">
        <v>10675000</v>
      </c>
      <c r="F36" s="735"/>
      <c r="G36" s="735"/>
      <c r="H36" s="735">
        <v>1075000</v>
      </c>
      <c r="I36" s="1778">
        <f t="shared" si="1"/>
        <v>9600000</v>
      </c>
      <c r="J36" s="735">
        <v>8828275</v>
      </c>
      <c r="K36" s="740"/>
    </row>
    <row r="37" spans="1:11" ht="12" customHeight="1" x14ac:dyDescent="0.2">
      <c r="A37" s="733" t="s">
        <v>2157</v>
      </c>
      <c r="B37" s="734">
        <v>40252</v>
      </c>
      <c r="C37" s="467">
        <v>925000</v>
      </c>
      <c r="D37" s="741">
        <v>3</v>
      </c>
      <c r="E37" s="467">
        <v>925000</v>
      </c>
      <c r="F37" s="467"/>
      <c r="G37" s="467"/>
      <c r="H37" s="467"/>
      <c r="I37" s="1778">
        <f t="shared" si="1"/>
        <v>925000</v>
      </c>
      <c r="J37" s="467">
        <v>905055</v>
      </c>
      <c r="K37" s="738"/>
    </row>
    <row r="38" spans="1:11" ht="12" customHeight="1" x14ac:dyDescent="0.2">
      <c r="A38" s="733" t="s">
        <v>2158</v>
      </c>
      <c r="B38" s="734">
        <v>40545</v>
      </c>
      <c r="C38" s="735">
        <v>4960000</v>
      </c>
      <c r="D38" s="742">
        <v>3</v>
      </c>
      <c r="E38" s="743">
        <v>4960000</v>
      </c>
      <c r="F38" s="743"/>
      <c r="G38" s="743"/>
      <c r="H38" s="743"/>
      <c r="I38" s="1778">
        <f t="shared" si="1"/>
        <v>4960000</v>
      </c>
      <c r="J38" s="744">
        <v>3968517</v>
      </c>
      <c r="K38" s="745"/>
    </row>
    <row r="39" spans="1:11" ht="12" customHeight="1" x14ac:dyDescent="0.2">
      <c r="A39" s="733" t="s">
        <v>2159</v>
      </c>
      <c r="B39" s="734">
        <v>41092</v>
      </c>
      <c r="C39" s="735">
        <v>4780000</v>
      </c>
      <c r="D39" s="742">
        <v>3</v>
      </c>
      <c r="E39" s="743">
        <v>4780000</v>
      </c>
      <c r="F39" s="743"/>
      <c r="G39" s="743"/>
      <c r="H39" s="743"/>
      <c r="I39" s="1778">
        <f t="shared" si="1"/>
        <v>4780000</v>
      </c>
      <c r="J39" s="744">
        <v>4676977</v>
      </c>
      <c r="K39" s="745"/>
    </row>
    <row r="40" spans="1:11" ht="12" customHeight="1" x14ac:dyDescent="0.2">
      <c r="A40" s="733" t="s">
        <v>2160</v>
      </c>
      <c r="B40" s="734">
        <v>41092</v>
      </c>
      <c r="C40" s="735">
        <v>1395000</v>
      </c>
      <c r="D40" s="742">
        <v>3</v>
      </c>
      <c r="E40" s="743">
        <v>1395000</v>
      </c>
      <c r="F40" s="743"/>
      <c r="G40" s="743"/>
      <c r="H40" s="743"/>
      <c r="I40" s="1778">
        <f t="shared" si="1"/>
        <v>1395000</v>
      </c>
      <c r="J40" s="744">
        <v>1357432</v>
      </c>
      <c r="K40" s="745"/>
    </row>
    <row r="41" spans="1:11" ht="12" customHeight="1" x14ac:dyDescent="0.2">
      <c r="A41" s="733" t="s">
        <v>2161</v>
      </c>
      <c r="B41" s="734">
        <v>41631</v>
      </c>
      <c r="C41" s="735">
        <v>5120000</v>
      </c>
      <c r="D41" s="742">
        <v>3</v>
      </c>
      <c r="E41" s="743">
        <v>5120000</v>
      </c>
      <c r="F41" s="743"/>
      <c r="G41" s="743"/>
      <c r="H41" s="743"/>
      <c r="I41" s="1778">
        <f t="shared" si="1"/>
        <v>5120000</v>
      </c>
      <c r="J41" s="744">
        <v>4956089</v>
      </c>
      <c r="K41" s="745"/>
    </row>
    <row r="42" spans="1:11" ht="12" customHeight="1" x14ac:dyDescent="0.2">
      <c r="A42" s="733" t="s">
        <v>2162</v>
      </c>
      <c r="B42" s="734">
        <v>41695</v>
      </c>
      <c r="C42" s="735">
        <v>34945000</v>
      </c>
      <c r="D42" s="742">
        <v>3</v>
      </c>
      <c r="E42" s="743">
        <v>28850000</v>
      </c>
      <c r="F42" s="743"/>
      <c r="G42" s="743"/>
      <c r="H42" s="743">
        <v>250000</v>
      </c>
      <c r="I42" s="1778">
        <f t="shared" si="1"/>
        <v>28600000</v>
      </c>
      <c r="J42" s="744">
        <v>26702660</v>
      </c>
      <c r="K42" s="745"/>
    </row>
    <row r="43" spans="1:11" ht="12" customHeight="1" x14ac:dyDescent="0.2">
      <c r="A43" s="733" t="s">
        <v>2163</v>
      </c>
      <c r="B43" s="734">
        <v>42065</v>
      </c>
      <c r="C43" s="735">
        <v>9015000</v>
      </c>
      <c r="D43" s="742">
        <v>3</v>
      </c>
      <c r="E43" s="743">
        <v>9015000</v>
      </c>
      <c r="F43" s="743"/>
      <c r="G43" s="743"/>
      <c r="H43" s="743"/>
      <c r="I43" s="1778">
        <f t="shared" si="1"/>
        <v>9015000</v>
      </c>
      <c r="J43" s="744">
        <v>8895090</v>
      </c>
      <c r="K43" s="745"/>
    </row>
    <row r="44" spans="1:11" ht="12" customHeight="1" x14ac:dyDescent="0.2">
      <c r="A44" s="733" t="s">
        <v>2164</v>
      </c>
      <c r="B44" s="734">
        <v>42079</v>
      </c>
      <c r="C44" s="735">
        <v>13280000</v>
      </c>
      <c r="D44" s="736">
        <v>3</v>
      </c>
      <c r="E44" s="735">
        <v>13280000</v>
      </c>
      <c r="F44" s="735"/>
      <c r="G44" s="735"/>
      <c r="H44" s="735"/>
      <c r="I44" s="1778">
        <f t="shared" si="1"/>
        <v>13280000</v>
      </c>
      <c r="J44" s="735">
        <v>13070539</v>
      </c>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117881940</v>
      </c>
      <c r="D49" s="746"/>
      <c r="E49" s="1778">
        <f t="shared" ref="E49:J49" si="2">SUM(E31:E48)</f>
        <v>107029375</v>
      </c>
      <c r="F49" s="1778">
        <f t="shared" si="2"/>
        <v>0</v>
      </c>
      <c r="G49" s="1778">
        <f t="shared" si="2"/>
        <v>0</v>
      </c>
      <c r="H49" s="1778">
        <f t="shared" si="2"/>
        <v>5892435</v>
      </c>
      <c r="I49" s="1778">
        <f t="shared" si="2"/>
        <v>101136940</v>
      </c>
      <c r="J49" s="1778">
        <f t="shared" si="2"/>
        <v>95767270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8" t="s">
        <v>604</v>
      </c>
      <c r="C52" s="2229"/>
      <c r="D52" s="2229"/>
      <c r="E52" s="750" t="s">
        <v>899</v>
      </c>
      <c r="F52" s="2230"/>
      <c r="G52" s="2231"/>
      <c r="H52" s="737"/>
      <c r="I52" s="737"/>
      <c r="J52" s="747"/>
    </row>
    <row r="53" spans="1:11" ht="11.25" customHeight="1" x14ac:dyDescent="0.2">
      <c r="A53" s="751" t="s">
        <v>968</v>
      </c>
      <c r="B53" s="752" t="s">
        <v>1007</v>
      </c>
      <c r="C53" s="747"/>
      <c r="D53" s="738"/>
      <c r="E53" s="750" t="s">
        <v>517</v>
      </c>
      <c r="F53" s="2232"/>
      <c r="G53" s="2233"/>
      <c r="H53" s="737"/>
      <c r="I53" s="737"/>
      <c r="J53" s="747"/>
    </row>
    <row r="54" spans="1:11" ht="11.25" customHeight="1" x14ac:dyDescent="0.2">
      <c r="A54" s="753" t="s">
        <v>969</v>
      </c>
      <c r="B54" s="748" t="s">
        <v>1008</v>
      </c>
      <c r="C54" s="747"/>
      <c r="D54" s="738"/>
      <c r="E54" s="750" t="s">
        <v>518</v>
      </c>
      <c r="F54" s="2232"/>
      <c r="G54" s="223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910</v>
      </c>
      <c r="B1" s="2263"/>
      <c r="C1" s="2263"/>
      <c r="D1" s="2263"/>
      <c r="E1" s="2263"/>
      <c r="F1" s="2263"/>
      <c r="G1" s="2264"/>
      <c r="H1" s="1552"/>
      <c r="I1" s="761"/>
      <c r="J1" s="433"/>
    </row>
    <row r="2" spans="1:11" ht="26.25" x14ac:dyDescent="0.2">
      <c r="A2" s="2241" t="s">
        <v>1775</v>
      </c>
      <c r="B2" s="2242"/>
      <c r="C2" s="2242"/>
      <c r="D2" s="2242"/>
      <c r="E2" s="2243"/>
      <c r="F2" s="762" t="s">
        <v>959</v>
      </c>
      <c r="G2" s="763" t="s">
        <v>1772</v>
      </c>
      <c r="H2" s="763" t="s">
        <v>429</v>
      </c>
      <c r="I2" s="763" t="s">
        <v>1219</v>
      </c>
      <c r="J2" s="763" t="s">
        <v>1915</v>
      </c>
      <c r="K2" s="763" t="s">
        <v>140</v>
      </c>
    </row>
    <row r="3" spans="1:11" x14ac:dyDescent="0.2">
      <c r="A3" s="2244" t="s">
        <v>1697</v>
      </c>
      <c r="B3" s="2245"/>
      <c r="C3" s="2245"/>
      <c r="D3" s="2245"/>
      <c r="E3" s="2246"/>
      <c r="F3" s="764"/>
      <c r="G3" s="765"/>
      <c r="H3" s="765"/>
      <c r="I3" s="765"/>
      <c r="J3" s="766"/>
      <c r="K3" s="766"/>
    </row>
    <row r="4" spans="1:11" x14ac:dyDescent="0.2">
      <c r="A4" s="2247" t="s">
        <v>386</v>
      </c>
      <c r="B4" s="2248"/>
      <c r="C4" s="2248"/>
      <c r="D4" s="2248"/>
      <c r="E4" s="2229"/>
      <c r="F4" s="767"/>
      <c r="G4" s="768"/>
      <c r="H4" s="769"/>
      <c r="I4" s="768"/>
      <c r="J4" s="770"/>
      <c r="K4" s="770"/>
    </row>
    <row r="5" spans="1:11" x14ac:dyDescent="0.2">
      <c r="A5" s="2265" t="s">
        <v>1128</v>
      </c>
      <c r="B5" s="2238"/>
      <c r="C5" s="2238"/>
      <c r="D5" s="2238"/>
      <c r="E5" s="2266"/>
      <c r="F5" s="771" t="s">
        <v>902</v>
      </c>
      <c r="G5" s="772"/>
      <c r="H5" s="765">
        <v>6182631</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67254</v>
      </c>
    </row>
    <row r="10" spans="1:11" x14ac:dyDescent="0.2">
      <c r="A10" s="2265" t="s">
        <v>1916</v>
      </c>
      <c r="B10" s="2238"/>
      <c r="C10" s="2238"/>
      <c r="D10" s="2238"/>
      <c r="E10" s="2267"/>
      <c r="F10" s="784" t="s">
        <v>916</v>
      </c>
      <c r="G10" s="783"/>
      <c r="H10" s="785"/>
      <c r="I10" s="765"/>
      <c r="J10" s="766"/>
      <c r="K10" s="766"/>
    </row>
    <row r="11" spans="1:11" x14ac:dyDescent="0.2">
      <c r="A11" s="2265" t="s">
        <v>162</v>
      </c>
      <c r="B11" s="2238"/>
      <c r="C11" s="2238"/>
      <c r="D11" s="2238"/>
      <c r="E11" s="2266"/>
      <c r="F11" s="771" t="s">
        <v>906</v>
      </c>
      <c r="G11" s="772"/>
      <c r="H11" s="765"/>
      <c r="I11" s="765"/>
      <c r="J11" s="766"/>
      <c r="K11" s="774"/>
    </row>
    <row r="12" spans="1:11" ht="13.5" thickBot="1" x14ac:dyDescent="0.25">
      <c r="A12" s="2255" t="s">
        <v>960</v>
      </c>
      <c r="B12" s="2256"/>
      <c r="C12" s="2256"/>
      <c r="D12" s="2256"/>
      <c r="E12" s="2257"/>
      <c r="F12" s="1779"/>
      <c r="G12" s="1780">
        <f>SUM(G5:G11)</f>
        <v>0</v>
      </c>
      <c r="H12" s="1780">
        <f>SUM(H5:H11)</f>
        <v>6182631</v>
      </c>
      <c r="I12" s="1780">
        <f>SUM(I5:I11)</f>
        <v>0</v>
      </c>
      <c r="J12" s="1780">
        <f>SUM(J5:J11)</f>
        <v>0</v>
      </c>
      <c r="K12" s="1780">
        <f>SUM(K5:K11)</f>
        <v>67254</v>
      </c>
    </row>
    <row r="13" spans="1:11" ht="13.5" thickTop="1" x14ac:dyDescent="0.2">
      <c r="A13" s="2249" t="s">
        <v>387</v>
      </c>
      <c r="B13" s="2250"/>
      <c r="C13" s="2250"/>
      <c r="D13" s="2250"/>
      <c r="E13" s="2251"/>
      <c r="F13" s="786"/>
      <c r="G13" s="787"/>
      <c r="H13" s="788"/>
      <c r="I13" s="789"/>
      <c r="J13" s="789"/>
      <c r="K13" s="789"/>
    </row>
    <row r="14" spans="1:11" x14ac:dyDescent="0.2">
      <c r="A14" s="2271" t="s">
        <v>475</v>
      </c>
      <c r="B14" s="2271"/>
      <c r="C14" s="2271"/>
      <c r="D14" s="2271"/>
      <c r="E14" s="2272"/>
      <c r="F14" s="790" t="s">
        <v>908</v>
      </c>
      <c r="G14" s="783"/>
      <c r="H14" s="765">
        <v>6182631</v>
      </c>
      <c r="I14" s="772"/>
      <c r="J14" s="774"/>
      <c r="K14" s="766">
        <v>67254</v>
      </c>
    </row>
    <row r="15" spans="1:11" x14ac:dyDescent="0.2">
      <c r="A15" s="2238" t="s">
        <v>4</v>
      </c>
      <c r="B15" s="2238"/>
      <c r="C15" s="2238"/>
      <c r="D15" s="2238"/>
      <c r="E15" s="2266"/>
      <c r="F15" s="790" t="s">
        <v>909</v>
      </c>
      <c r="G15" s="772"/>
      <c r="H15" s="765"/>
      <c r="I15" s="765"/>
      <c r="J15" s="766"/>
      <c r="K15" s="766"/>
    </row>
    <row r="16" spans="1:11" x14ac:dyDescent="0.2">
      <c r="A16" s="2238" t="s">
        <v>315</v>
      </c>
      <c r="B16" s="2238"/>
      <c r="C16" s="2238"/>
      <c r="D16" s="2238"/>
      <c r="E16" s="2266"/>
      <c r="F16" s="790" t="s">
        <v>979</v>
      </c>
      <c r="G16" s="773"/>
      <c r="H16" s="768"/>
      <c r="I16" s="768"/>
      <c r="J16" s="770"/>
      <c r="K16" s="770"/>
    </row>
    <row r="17" spans="1:11" x14ac:dyDescent="0.2">
      <c r="A17" s="2260" t="s">
        <v>991</v>
      </c>
      <c r="B17" s="2260"/>
      <c r="C17" s="2260"/>
      <c r="D17" s="2260"/>
      <c r="E17" s="2261"/>
      <c r="F17" s="791"/>
      <c r="G17" s="792"/>
      <c r="H17" s="793"/>
      <c r="I17" s="793"/>
      <c r="J17" s="794"/>
      <c r="K17" s="795"/>
    </row>
    <row r="18" spans="1:11" x14ac:dyDescent="0.2">
      <c r="A18" s="2252" t="s">
        <v>385</v>
      </c>
      <c r="B18" s="2253"/>
      <c r="C18" s="2253"/>
      <c r="D18" s="2253"/>
      <c r="E18" s="2254"/>
      <c r="F18" s="790" t="s">
        <v>988</v>
      </c>
      <c r="G18" s="783"/>
      <c r="H18" s="783"/>
      <c r="I18" s="783"/>
      <c r="J18" s="766"/>
      <c r="K18" s="796"/>
    </row>
    <row r="19" spans="1:11" ht="21.75" customHeight="1" x14ac:dyDescent="0.2">
      <c r="A19" s="2273" t="s">
        <v>1912</v>
      </c>
      <c r="B19" s="2273"/>
      <c r="C19" s="2273"/>
      <c r="D19" s="2273"/>
      <c r="E19" s="2274"/>
      <c r="F19" s="790" t="s">
        <v>989</v>
      </c>
      <c r="G19" s="783"/>
      <c r="H19" s="783"/>
      <c r="I19" s="783"/>
      <c r="J19" s="766"/>
      <c r="K19" s="796"/>
    </row>
    <row r="20" spans="1:11" x14ac:dyDescent="0.2">
      <c r="A20" s="2252" t="s">
        <v>1917</v>
      </c>
      <c r="B20" s="2253"/>
      <c r="C20" s="2253"/>
      <c r="D20" s="2253"/>
      <c r="E20" s="2254"/>
      <c r="F20" s="790" t="s">
        <v>990</v>
      </c>
      <c r="G20" s="783"/>
      <c r="H20" s="783"/>
      <c r="I20" s="783"/>
      <c r="J20" s="766"/>
      <c r="K20" s="796"/>
    </row>
    <row r="21" spans="1:11" ht="13.5" thickBot="1" x14ac:dyDescent="0.25">
      <c r="A21" s="2258" t="s">
        <v>658</v>
      </c>
      <c r="B21" s="2258"/>
      <c r="C21" s="2258"/>
      <c r="D21" s="2258"/>
      <c r="E21" s="2258"/>
      <c r="F21" s="1781"/>
      <c r="G21" s="793"/>
      <c r="H21" s="797"/>
      <c r="I21" s="797"/>
      <c r="J21" s="1782">
        <f>SUM(J18:J20)</f>
        <v>0</v>
      </c>
      <c r="K21" s="794"/>
    </row>
    <row r="22" spans="1:11" ht="13.5" thickTop="1" x14ac:dyDescent="0.2">
      <c r="A22" s="2238" t="s">
        <v>1918</v>
      </c>
      <c r="B22" s="2238"/>
      <c r="C22" s="2238"/>
      <c r="D22" s="2238"/>
      <c r="E22" s="2266"/>
      <c r="F22" s="790" t="s">
        <v>916</v>
      </c>
      <c r="G22" s="783"/>
      <c r="H22" s="765"/>
      <c r="I22" s="765"/>
      <c r="J22" s="798"/>
      <c r="K22" s="766"/>
    </row>
    <row r="23" spans="1:11" ht="13.5" thickBot="1" x14ac:dyDescent="0.25">
      <c r="A23" s="2259" t="s">
        <v>961</v>
      </c>
      <c r="B23" s="2258"/>
      <c r="C23" s="2258"/>
      <c r="D23" s="2258"/>
      <c r="E23" s="2258"/>
      <c r="F23" s="1783"/>
      <c r="G23" s="1780">
        <f>SUM(G14:G16,G21,G22)</f>
        <v>0</v>
      </c>
      <c r="H23" s="1780">
        <f>SUM(H14:H16,H21,H22)</f>
        <v>6182631</v>
      </c>
      <c r="I23" s="1780">
        <f>SUM(I14:I16,I21,I22)</f>
        <v>0</v>
      </c>
      <c r="J23" s="1780">
        <f>SUM(J14:J16,J21,J22)</f>
        <v>0</v>
      </c>
      <c r="K23" s="1780">
        <f>SUM(K14:K16,K21,K22)</f>
        <v>67254</v>
      </c>
    </row>
    <row r="24" spans="1:11" ht="14.25" thickTop="1" thickBot="1" x14ac:dyDescent="0.25">
      <c r="A24" s="2259" t="s">
        <v>2022</v>
      </c>
      <c r="B24" s="2258"/>
      <c r="C24" s="2258"/>
      <c r="D24" s="2258"/>
      <c r="E24" s="2258"/>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8"/>
      <c r="I31" s="2269"/>
      <c r="J31" s="2269"/>
      <c r="K31" s="2269"/>
    </row>
    <row r="32" spans="1:11" x14ac:dyDescent="0.2">
      <c r="A32" s="810"/>
      <c r="B32" s="237"/>
      <c r="C32" s="237"/>
      <c r="D32" s="237"/>
      <c r="E32" s="806"/>
      <c r="F32" s="812" t="s">
        <v>560</v>
      </c>
      <c r="G32" s="765"/>
      <c r="H32" s="2270"/>
      <c r="I32" s="2269"/>
      <c r="J32" s="2269"/>
      <c r="K32" s="2269"/>
    </row>
    <row r="33" spans="1:11" ht="1.5" customHeight="1" x14ac:dyDescent="0.2">
      <c r="A33" s="813" t="s">
        <v>1230</v>
      </c>
      <c r="B33" s="364"/>
      <c r="C33" s="364"/>
      <c r="D33" s="364"/>
      <c r="E33" s="364"/>
      <c r="F33" s="364"/>
      <c r="G33" s="814"/>
      <c r="H33" s="2270"/>
      <c r="I33" s="2269"/>
      <c r="J33" s="2269"/>
      <c r="K33" s="2269"/>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8" t="s">
        <v>561</v>
      </c>
      <c r="B41" s="2239"/>
      <c r="C41" s="2239"/>
      <c r="D41" s="2239"/>
      <c r="E41" s="2239"/>
      <c r="F41" s="224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22" sqref="H2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2031</v>
      </c>
      <c r="B1" s="2278"/>
      <c r="C1" s="2279"/>
      <c r="D1" s="827"/>
      <c r="E1" s="828"/>
      <c r="F1" s="828"/>
      <c r="G1" s="829"/>
      <c r="H1" s="830"/>
      <c r="I1" s="831"/>
      <c r="J1" s="2275"/>
      <c r="K1" s="2276"/>
      <c r="L1" s="2276"/>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6009087</v>
      </c>
      <c r="D5" s="842"/>
      <c r="E5" s="842"/>
      <c r="F5" s="1782">
        <f>(C5+D5)-E5</f>
        <v>6009087</v>
      </c>
      <c r="G5" s="838"/>
      <c r="H5" s="843"/>
      <c r="I5" s="843"/>
      <c r="J5" s="843"/>
      <c r="K5" s="794"/>
      <c r="L5" s="1791">
        <f>F5-K5</f>
        <v>6009087</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154331364</v>
      </c>
      <c r="D8" s="845">
        <v>568312</v>
      </c>
      <c r="E8" s="845"/>
      <c r="F8" s="1782">
        <f>(C8+D8)-E8</f>
        <v>154899676</v>
      </c>
      <c r="G8" s="844">
        <v>50</v>
      </c>
      <c r="H8" s="766">
        <v>55724515</v>
      </c>
      <c r="I8" s="766">
        <v>3653817</v>
      </c>
      <c r="J8" s="766"/>
      <c r="K8" s="1791">
        <f>(H8+I8)-J8</f>
        <v>59378332</v>
      </c>
      <c r="L8" s="1791">
        <f>F8-K8</f>
        <v>95521344</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10047938</v>
      </c>
      <c r="D10" s="847">
        <v>183083</v>
      </c>
      <c r="E10" s="847"/>
      <c r="F10" s="1786">
        <f>(C10+D10)-E10</f>
        <v>10231021</v>
      </c>
      <c r="G10" s="844">
        <v>20</v>
      </c>
      <c r="H10" s="848">
        <v>5079191</v>
      </c>
      <c r="I10" s="848">
        <v>483784</v>
      </c>
      <c r="J10" s="848"/>
      <c r="K10" s="1791">
        <f>(H10+I10)-J10</f>
        <v>5562975</v>
      </c>
      <c r="L10" s="1791">
        <f>F10-K10</f>
        <v>4668046</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13831741</v>
      </c>
      <c r="D12" s="845">
        <v>332032</v>
      </c>
      <c r="E12" s="845">
        <v>264044</v>
      </c>
      <c r="F12" s="1782">
        <f>(C12+D12)-E12</f>
        <v>13899729</v>
      </c>
      <c r="G12" s="844">
        <v>10</v>
      </c>
      <c r="H12" s="766">
        <v>9027366</v>
      </c>
      <c r="I12" s="766">
        <v>921372</v>
      </c>
      <c r="J12" s="766">
        <v>250235</v>
      </c>
      <c r="K12" s="1791">
        <f>(H12+I12)-J12</f>
        <v>9698503</v>
      </c>
      <c r="L12" s="1791">
        <f>F12-K12</f>
        <v>4201226</v>
      </c>
    </row>
    <row r="13" spans="1:14" ht="14.25" thickTop="1" thickBot="1" x14ac:dyDescent="0.25">
      <c r="A13" s="849" t="s">
        <v>1183</v>
      </c>
      <c r="B13" s="841">
        <v>252</v>
      </c>
      <c r="C13" s="845">
        <v>6152337</v>
      </c>
      <c r="D13" s="845">
        <v>532363</v>
      </c>
      <c r="E13" s="845"/>
      <c r="F13" s="1782">
        <f>(C13+D13)-E13</f>
        <v>6684700</v>
      </c>
      <c r="G13" s="844">
        <v>5</v>
      </c>
      <c r="H13" s="766">
        <v>4392670</v>
      </c>
      <c r="I13" s="766">
        <v>397285</v>
      </c>
      <c r="J13" s="766"/>
      <c r="K13" s="1791">
        <f>(H13+I13)-J13</f>
        <v>4789955</v>
      </c>
      <c r="L13" s="1791">
        <f>F13-K13</f>
        <v>1894745</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v>260298</v>
      </c>
      <c r="D15" s="845">
        <v>92846</v>
      </c>
      <c r="E15" s="845">
        <v>260298</v>
      </c>
      <c r="F15" s="1782">
        <f>(C15+D15)-E15</f>
        <v>92846</v>
      </c>
      <c r="G15" s="850" t="s">
        <v>916</v>
      </c>
      <c r="H15" s="782"/>
      <c r="I15" s="782"/>
      <c r="J15" s="782"/>
      <c r="K15" s="782"/>
      <c r="L15" s="1791">
        <f>F15-K15</f>
        <v>92846</v>
      </c>
    </row>
    <row r="16" spans="1:14" ht="15" customHeight="1" thickTop="1" thickBot="1" x14ac:dyDescent="0.25">
      <c r="A16" s="1787" t="s">
        <v>663</v>
      </c>
      <c r="B16" s="1788">
        <v>200</v>
      </c>
      <c r="C16" s="1782">
        <f>SUM(C3,C5:C6,C8:C10,C12:C15)</f>
        <v>190632765</v>
      </c>
      <c r="D16" s="1782">
        <f>SUM(D3,D5:D6,D8:D10,D12:D15)</f>
        <v>1708636</v>
      </c>
      <c r="E16" s="1782">
        <f>SUM(E3,E5:E6,E8:E10,E12:E15)</f>
        <v>524342</v>
      </c>
      <c r="F16" s="1782">
        <f>SUM(F3,F5:F6,F8:F10,F12:F15)</f>
        <v>191817059</v>
      </c>
      <c r="G16" s="844"/>
      <c r="H16" s="1782">
        <f>SUM(H3,H6,H8:H10,H12:H14,)</f>
        <v>74223742</v>
      </c>
      <c r="I16" s="1782">
        <f>SUM(I3,I6,I8:I10,I12:I14,)</f>
        <v>5456258</v>
      </c>
      <c r="J16" s="1782">
        <f>SUM(J3,J6,J8:J10,J12:J14,)</f>
        <v>250235</v>
      </c>
      <c r="K16" s="1782">
        <f>(H16+I16)-J16</f>
        <v>79429765</v>
      </c>
      <c r="L16" s="1782">
        <f>F16-K16</f>
        <v>112387294</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161112</v>
      </c>
      <c r="G17" s="838">
        <v>10</v>
      </c>
      <c r="H17" s="770"/>
      <c r="I17" s="1791">
        <f>F17/G17</f>
        <v>16111.2</v>
      </c>
      <c r="J17" s="770"/>
      <c r="K17" s="796"/>
      <c r="L17" s="796"/>
    </row>
    <row r="18" spans="1:12" ht="14.25" thickTop="1" thickBot="1" x14ac:dyDescent="0.25">
      <c r="A18" s="1789" t="s">
        <v>705</v>
      </c>
      <c r="B18" s="1790"/>
      <c r="C18" s="772"/>
      <c r="D18" s="772"/>
      <c r="E18" s="772"/>
      <c r="F18" s="851"/>
      <c r="G18" s="852"/>
      <c r="H18" s="774"/>
      <c r="I18" s="1782">
        <f>SUM(I16,I17)</f>
        <v>5472369.2000000002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2"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3" t="s">
        <v>1698</v>
      </c>
      <c r="B1" s="2284"/>
      <c r="C1" s="2284"/>
      <c r="D1" s="2284"/>
      <c r="E1" s="2284"/>
      <c r="F1" s="2285"/>
      <c r="G1" s="856"/>
    </row>
    <row r="2" spans="1:7" ht="15" customHeight="1" thickBot="1" x14ac:dyDescent="0.25">
      <c r="A2" s="2286" t="s">
        <v>497</v>
      </c>
      <c r="B2" s="2287"/>
      <c r="C2" s="2287"/>
      <c r="D2" s="2287"/>
      <c r="E2" s="2287"/>
      <c r="F2" s="2288"/>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9"/>
      <c r="B5" s="2290"/>
      <c r="C5" s="2290"/>
      <c r="D5" s="2290"/>
      <c r="E5" s="2290"/>
      <c r="F5" s="2290"/>
    </row>
    <row r="6" spans="1:7" ht="13.5" customHeight="1" thickBot="1" x14ac:dyDescent="0.25">
      <c r="A6" s="2280" t="s">
        <v>1165</v>
      </c>
      <c r="B6" s="2281"/>
      <c r="C6" s="2281"/>
      <c r="D6" s="2281"/>
      <c r="E6" s="2281"/>
      <c r="F6" s="2282"/>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66750942</v>
      </c>
      <c r="G8" s="866"/>
    </row>
    <row r="9" spans="1:7" x14ac:dyDescent="0.2">
      <c r="A9" s="870" t="s">
        <v>479</v>
      </c>
      <c r="B9" s="871" t="s">
        <v>1985</v>
      </c>
      <c r="C9" s="872"/>
      <c r="D9" s="870" t="s">
        <v>521</v>
      </c>
      <c r="E9" s="869"/>
      <c r="F9" s="1935">
        <f>'Expenditures 15-22'!K151</f>
        <v>6798768</v>
      </c>
      <c r="G9" s="873"/>
    </row>
    <row r="10" spans="1:7" x14ac:dyDescent="0.2">
      <c r="A10" s="870" t="s">
        <v>519</v>
      </c>
      <c r="B10" s="871" t="s">
        <v>1986</v>
      </c>
      <c r="C10" s="872"/>
      <c r="D10" s="870" t="s">
        <v>521</v>
      </c>
      <c r="E10" s="869"/>
      <c r="F10" s="1935">
        <f>'Expenditures 15-22'!K174</f>
        <v>9925262</v>
      </c>
      <c r="G10" s="873"/>
    </row>
    <row r="11" spans="1:7" x14ac:dyDescent="0.2">
      <c r="A11" s="870" t="s">
        <v>480</v>
      </c>
      <c r="B11" s="871" t="s">
        <v>1987</v>
      </c>
      <c r="C11" s="872"/>
      <c r="D11" s="870" t="s">
        <v>521</v>
      </c>
      <c r="E11" s="869"/>
      <c r="F11" s="1935">
        <f>'Expenditures 15-22'!K210</f>
        <v>4924855</v>
      </c>
      <c r="G11" s="873"/>
    </row>
    <row r="12" spans="1:7" x14ac:dyDescent="0.2">
      <c r="A12" s="870" t="s">
        <v>481</v>
      </c>
      <c r="B12" s="871" t="s">
        <v>1988</v>
      </c>
      <c r="C12" s="872"/>
      <c r="D12" s="870" t="s">
        <v>521</v>
      </c>
      <c r="E12" s="869"/>
      <c r="F12" s="1935">
        <f>'Expenditures 15-22'!K295</f>
        <v>2880543</v>
      </c>
      <c r="G12" s="873"/>
    </row>
    <row r="13" spans="1:7" x14ac:dyDescent="0.2">
      <c r="A13" s="870" t="s">
        <v>108</v>
      </c>
      <c r="B13" s="871" t="s">
        <v>1989</v>
      </c>
      <c r="C13" s="872"/>
      <c r="D13" s="870" t="s">
        <v>521</v>
      </c>
      <c r="E13" s="869"/>
      <c r="F13" s="1935">
        <f>'Expenditures 15-22'!K342</f>
        <v>830979</v>
      </c>
      <c r="G13" s="874"/>
    </row>
    <row r="14" spans="1:7" ht="12" customHeight="1" thickBot="1" x14ac:dyDescent="0.25">
      <c r="A14" s="1792"/>
      <c r="B14" s="1793"/>
      <c r="C14" s="1794"/>
      <c r="D14" s="1795" t="s">
        <v>521</v>
      </c>
      <c r="E14" s="1796" t="s">
        <v>1014</v>
      </c>
      <c r="F14" s="1797">
        <f>SUM(F8:F13)</f>
        <v>92111349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52080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1109678</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190797</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272579</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269152</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649540</v>
      </c>
      <c r="G52" s="866"/>
    </row>
    <row r="53" spans="1:7" x14ac:dyDescent="0.2">
      <c r="A53" s="870" t="s">
        <v>478</v>
      </c>
      <c r="B53" s="870" t="s">
        <v>1550</v>
      </c>
      <c r="C53" s="890">
        <f>'Expenditures 15-22'!B102</f>
        <v>4000</v>
      </c>
      <c r="D53" s="889" t="str">
        <f>'Expenditures 15-22'!A102</f>
        <v>Total Payments to Other Govt Units</v>
      </c>
      <c r="E53" s="869"/>
      <c r="F53" s="1939">
        <f>'Expenditures 15-22'!K102</f>
        <v>18737</v>
      </c>
      <c r="G53" s="866"/>
    </row>
    <row r="54" spans="1:7" x14ac:dyDescent="0.2">
      <c r="A54" s="870" t="s">
        <v>478</v>
      </c>
      <c r="B54" s="870" t="s">
        <v>1551</v>
      </c>
      <c r="C54" s="890" t="s">
        <v>1038</v>
      </c>
      <c r="D54" s="886" t="s">
        <v>1156</v>
      </c>
      <c r="E54" s="869"/>
      <c r="F54" s="1939">
        <f>'Expenditures 15-22'!G114</f>
        <v>394323</v>
      </c>
      <c r="G54" s="866"/>
    </row>
    <row r="55" spans="1:7" x14ac:dyDescent="0.2">
      <c r="A55" s="870" t="s">
        <v>478</v>
      </c>
      <c r="B55" s="870" t="s">
        <v>1552</v>
      </c>
      <c r="C55" s="890" t="s">
        <v>1038</v>
      </c>
      <c r="D55" s="886" t="s">
        <v>308</v>
      </c>
      <c r="E55" s="869"/>
      <c r="F55" s="1939">
        <f>'Expenditures 15-22'!I114</f>
        <v>157047</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9">
        <f>'Expenditures 15-22'!K139</f>
        <v>0</v>
      </c>
      <c r="G57" s="866"/>
    </row>
    <row r="58" spans="1:7" x14ac:dyDescent="0.2">
      <c r="A58" s="870" t="s">
        <v>479</v>
      </c>
      <c r="B58" s="870" t="s">
        <v>1991</v>
      </c>
      <c r="C58" s="887" t="s">
        <v>1038</v>
      </c>
      <c r="D58" s="886" t="s">
        <v>1156</v>
      </c>
      <c r="E58" s="869"/>
      <c r="F58" s="1941">
        <f>'Expenditures 15-22'!G151</f>
        <v>126571</v>
      </c>
      <c r="G58" s="866"/>
    </row>
    <row r="59" spans="1:7" x14ac:dyDescent="0.2">
      <c r="A59" s="894" t="s">
        <v>479</v>
      </c>
      <c r="B59" s="857" t="s">
        <v>1992</v>
      </c>
      <c r="C59" s="895" t="s">
        <v>1038</v>
      </c>
      <c r="D59" s="857" t="s">
        <v>308</v>
      </c>
      <c r="F59" s="1942">
        <f>'Expenditures 15-22'!I151</f>
        <v>4065</v>
      </c>
      <c r="G59" s="866"/>
    </row>
    <row r="60" spans="1:7" x14ac:dyDescent="0.2">
      <c r="A60" s="894" t="s">
        <v>519</v>
      </c>
      <c r="B60" s="857" t="s">
        <v>1993</v>
      </c>
      <c r="C60" s="895">
        <v>4000</v>
      </c>
      <c r="D60" s="857" t="s">
        <v>329</v>
      </c>
      <c r="F60" s="1940">
        <f>'Expenditures 15-22'!K160</f>
        <v>0</v>
      </c>
      <c r="G60" s="866"/>
    </row>
    <row r="61" spans="1:7" x14ac:dyDescent="0.2">
      <c r="A61" s="896" t="s">
        <v>519</v>
      </c>
      <c r="B61" s="896" t="s">
        <v>1994</v>
      </c>
      <c r="C61" s="897" t="str">
        <f>'Expenditures 15-22'!B170</f>
        <v>5300</v>
      </c>
      <c r="D61" s="898" t="s">
        <v>328</v>
      </c>
      <c r="E61" s="880"/>
      <c r="F61" s="1939">
        <f>'Expenditures 15-22'!K170</f>
        <v>5892435</v>
      </c>
      <c r="G61" s="866"/>
    </row>
    <row r="62" spans="1:7" x14ac:dyDescent="0.2">
      <c r="A62" s="870" t="s">
        <v>480</v>
      </c>
      <c r="B62" s="870" t="s">
        <v>1995</v>
      </c>
      <c r="C62" s="887">
        <f>'Expenditures 15-22'!B185</f>
        <v>3000</v>
      </c>
      <c r="D62" s="877" t="s">
        <v>468</v>
      </c>
      <c r="E62" s="869"/>
      <c r="F62" s="1939">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1997</v>
      </c>
      <c r="C64" s="897" t="str">
        <f>'Expenditures 15-22'!B206</f>
        <v>5300</v>
      </c>
      <c r="D64" s="893" t="s">
        <v>328</v>
      </c>
      <c r="E64" s="869"/>
      <c r="F64" s="1939">
        <f>'Expenditures 15-22'!K206</f>
        <v>0</v>
      </c>
      <c r="G64" s="866"/>
    </row>
    <row r="65" spans="1:8" x14ac:dyDescent="0.2">
      <c r="A65" s="870" t="s">
        <v>480</v>
      </c>
      <c r="B65" s="870" t="s">
        <v>1998</v>
      </c>
      <c r="C65" s="887" t="s">
        <v>1038</v>
      </c>
      <c r="D65" s="886" t="s">
        <v>1156</v>
      </c>
      <c r="E65" s="869"/>
      <c r="F65" s="1939">
        <f>'Expenditures 15-22'!G210</f>
        <v>516356</v>
      </c>
      <c r="G65" s="866"/>
    </row>
    <row r="66" spans="1:8" x14ac:dyDescent="0.2">
      <c r="A66" s="870" t="s">
        <v>480</v>
      </c>
      <c r="B66" s="870" t="s">
        <v>1999</v>
      </c>
      <c r="C66" s="887" t="s">
        <v>1038</v>
      </c>
      <c r="D66" s="886" t="s">
        <v>308</v>
      </c>
      <c r="E66" s="869"/>
      <c r="F66" s="1939">
        <f>'Expenditures 15-22'!I210</f>
        <v>0</v>
      </c>
      <c r="G66" s="866"/>
    </row>
    <row r="67" spans="1:8" x14ac:dyDescent="0.2">
      <c r="A67" s="870" t="s">
        <v>481</v>
      </c>
      <c r="B67" s="870" t="s">
        <v>2000</v>
      </c>
      <c r="C67" s="887" t="str">
        <f>'Expenditures 15-22'!B216</f>
        <v>1125</v>
      </c>
      <c r="D67" s="893" t="str">
        <f>'Expenditures 15-22'!A216</f>
        <v>Pre-K Programs</v>
      </c>
      <c r="E67" s="869"/>
      <c r="F67" s="1939">
        <f>'Expenditures 15-22'!K216</f>
        <v>5817</v>
      </c>
      <c r="G67" s="866"/>
    </row>
    <row r="68" spans="1:8" x14ac:dyDescent="0.2">
      <c r="A68" s="870" t="s">
        <v>481</v>
      </c>
      <c r="B68" s="870" t="s">
        <v>1554</v>
      </c>
      <c r="C68" s="887" t="str">
        <f>'Expenditures 15-22'!B218</f>
        <v>1225</v>
      </c>
      <c r="D68" s="893" t="str">
        <f>'Expenditures 15-22'!A218</f>
        <v>Special Education Programs - Pre-K</v>
      </c>
      <c r="E68" s="869"/>
      <c r="F68" s="1939">
        <f>'Expenditures 15-22'!K218</f>
        <v>1428</v>
      </c>
      <c r="G68" s="866"/>
    </row>
    <row r="69" spans="1:8" x14ac:dyDescent="0.2">
      <c r="A69" s="870" t="s">
        <v>481</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2002</v>
      </c>
      <c r="C70" s="887">
        <f>'Expenditures 15-22'!B221</f>
        <v>1300</v>
      </c>
      <c r="D70" s="888" t="str">
        <f>'Expenditures 15-22'!A221</f>
        <v>Adult/Continuing Education Programs</v>
      </c>
      <c r="E70" s="869"/>
      <c r="F70" s="1939">
        <f>'Expenditures 15-22'!K221</f>
        <v>0</v>
      </c>
      <c r="G70" s="866"/>
    </row>
    <row r="71" spans="1:8" x14ac:dyDescent="0.2">
      <c r="A71" s="870" t="s">
        <v>481</v>
      </c>
      <c r="B71" s="870" t="s">
        <v>2003</v>
      </c>
      <c r="C71" s="887">
        <f>'Expenditures 15-22'!B224</f>
        <v>1600</v>
      </c>
      <c r="D71" s="888" t="str">
        <f>'Expenditures 15-22'!A224</f>
        <v>Summer School Programs</v>
      </c>
      <c r="E71" s="869"/>
      <c r="F71" s="1939">
        <f>'Expenditures 15-22'!K224</f>
        <v>20655</v>
      </c>
      <c r="G71" s="866"/>
    </row>
    <row r="72" spans="1:8" x14ac:dyDescent="0.2">
      <c r="A72" s="870" t="s">
        <v>481</v>
      </c>
      <c r="B72" s="870" t="s">
        <v>2004</v>
      </c>
      <c r="C72" s="887">
        <f>'Expenditures 15-22'!B280</f>
        <v>3000</v>
      </c>
      <c r="D72" s="877" t="s">
        <v>468</v>
      </c>
      <c r="E72" s="869"/>
      <c r="F72" s="1939">
        <f>'Expenditures 15-22'!K280</f>
        <v>80</v>
      </c>
      <c r="G72" s="866"/>
    </row>
    <row r="73" spans="1:8" x14ac:dyDescent="0.2">
      <c r="A73" s="870" t="s">
        <v>481</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2006</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9681340</v>
      </c>
      <c r="G76" s="866"/>
    </row>
    <row r="77" spans="1:8" s="894" customFormat="1" ht="12" customHeight="1" thickTop="1" thickBot="1" x14ac:dyDescent="0.25">
      <c r="A77" s="1801"/>
      <c r="B77" s="1798"/>
      <c r="C77" s="1794"/>
      <c r="D77" s="1799" t="s">
        <v>2008</v>
      </c>
      <c r="E77" s="1796"/>
      <c r="F77" s="1802">
        <f>(F14-F76)</f>
        <v>82430009</v>
      </c>
      <c r="G77" s="870"/>
    </row>
    <row r="78" spans="1:8" s="894" customFormat="1" ht="12" customHeight="1" thickTop="1" x14ac:dyDescent="0.2">
      <c r="A78" s="1803"/>
      <c r="B78" s="1798"/>
      <c r="C78" s="1794"/>
      <c r="D78" s="1799" t="s">
        <v>2055</v>
      </c>
      <c r="E78" s="1796"/>
      <c r="F78" s="899">
        <v>5890.33</v>
      </c>
      <c r="G78" s="900"/>
      <c r="H78" s="870"/>
    </row>
    <row r="79" spans="1:8" s="894" customFormat="1" ht="12" customHeight="1" thickBot="1" x14ac:dyDescent="0.25">
      <c r="A79" s="1804"/>
      <c r="B79" s="1798"/>
      <c r="C79" s="1794"/>
      <c r="D79" s="1799" t="s">
        <v>2009</v>
      </c>
      <c r="E79" s="1796" t="s">
        <v>1014</v>
      </c>
      <c r="F79" s="1805">
        <f>IF(F78&gt;0,F77/F78," Complete Line 78")</f>
        <v>13994.124098310282</v>
      </c>
      <c r="G79" s="870"/>
    </row>
    <row r="80" spans="1:8" s="894" customFormat="1" ht="8.25" customHeight="1" thickTop="1" x14ac:dyDescent="0.2">
      <c r="A80" s="901"/>
      <c r="B80" s="870"/>
      <c r="C80" s="872"/>
      <c r="D80" s="902"/>
      <c r="E80" s="869"/>
      <c r="F80" s="903"/>
      <c r="G80" s="870"/>
    </row>
    <row r="81" spans="1:7" s="894" customFormat="1" ht="12" thickBot="1" x14ac:dyDescent="0.25">
      <c r="A81" s="2280" t="s">
        <v>1166</v>
      </c>
      <c r="B81" s="2281"/>
      <c r="C81" s="2281"/>
      <c r="D81" s="2281"/>
      <c r="E81" s="2281"/>
      <c r="F81" s="2282"/>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37306</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745001</v>
      </c>
      <c r="G94" s="913"/>
    </row>
    <row r="95" spans="1:7" x14ac:dyDescent="0.2">
      <c r="A95" s="909" t="s">
        <v>142</v>
      </c>
      <c r="B95" s="909" t="s">
        <v>177</v>
      </c>
      <c r="C95" s="911">
        <v>1700</v>
      </c>
      <c r="D95" s="919" t="str">
        <f>'Revenues 9-14'!A82</f>
        <v>Total District/School Activity Income</v>
      </c>
      <c r="E95" s="907"/>
      <c r="F95" s="1811">
        <f>SUM('Revenues 9-14'!C82,'Revenues 9-14'!D82)</f>
        <v>325739</v>
      </c>
      <c r="G95" s="913"/>
    </row>
    <row r="96" spans="1:7" x14ac:dyDescent="0.2">
      <c r="A96" s="909" t="s">
        <v>478</v>
      </c>
      <c r="B96" s="909" t="s">
        <v>178</v>
      </c>
      <c r="C96" s="911">
        <f>'Revenues 9-14'!B84</f>
        <v>1811</v>
      </c>
      <c r="D96" s="912" t="str">
        <f>'Revenues 9-14'!A84</f>
        <v>Rentals - Regular Textbooks</v>
      </c>
      <c r="E96" s="907"/>
      <c r="F96" s="1811">
        <f>'Revenues 9-14'!C84</f>
        <v>753271</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36148</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58682</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1563830</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71343</v>
      </c>
      <c r="G106" s="913"/>
    </row>
    <row r="107" spans="1:7" x14ac:dyDescent="0.2">
      <c r="A107" s="922" t="s">
        <v>684</v>
      </c>
      <c r="B107" s="909" t="s">
        <v>842</v>
      </c>
      <c r="C107" s="921">
        <v>3300</v>
      </c>
      <c r="D107" s="912" t="str">
        <f>'Revenues 9-14'!A144</f>
        <v>Total Bilingual Ed</v>
      </c>
      <c r="E107" s="907"/>
      <c r="F107" s="1811">
        <f>SUM('Revenues 9-14'!C144,'Revenues 9-14'!G144)</f>
        <v>492347</v>
      </c>
      <c r="G107" s="913"/>
    </row>
    <row r="108" spans="1:7" x14ac:dyDescent="0.2">
      <c r="A108" s="909" t="s">
        <v>478</v>
      </c>
      <c r="B108" s="909" t="s">
        <v>843</v>
      </c>
      <c r="C108" s="921">
        <f>'Revenues 9-14'!B145</f>
        <v>3360</v>
      </c>
      <c r="D108" s="912" t="str">
        <f>'Revenues 9-14'!A145</f>
        <v>State Free Lunch &amp; Breakfast</v>
      </c>
      <c r="E108" s="907"/>
      <c r="F108" s="1811">
        <f>'Revenues 9-14'!C145</f>
        <v>17958</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67254</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3538698</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197472</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1189287</v>
      </c>
      <c r="G129" s="931"/>
    </row>
    <row r="130" spans="1:7" x14ac:dyDescent="0.2">
      <c r="A130" s="928" t="s">
        <v>688</v>
      </c>
      <c r="B130" s="928" t="s">
        <v>803</v>
      </c>
      <c r="C130" s="933">
        <v>4300</v>
      </c>
      <c r="D130" s="934" t="str">
        <f>'Revenues 9-14'!A211</f>
        <v>Total Title I</v>
      </c>
      <c r="E130" s="907"/>
      <c r="F130" s="1811">
        <f>SUM('Revenues 9-14'!C211,'Revenues 9-14'!D211,'Revenues 9-14'!F211,'Revenues 9-14'!G211)</f>
        <v>619317</v>
      </c>
      <c r="G130" s="931"/>
    </row>
    <row r="131" spans="1:7" x14ac:dyDescent="0.2">
      <c r="A131" s="928" t="s">
        <v>688</v>
      </c>
      <c r="B131" s="928" t="s">
        <v>804</v>
      </c>
      <c r="C131" s="933">
        <v>4400</v>
      </c>
      <c r="D131" s="934" t="str">
        <f>'Revenues 9-14'!A216</f>
        <v>Total Title IV</v>
      </c>
      <c r="E131" s="907"/>
      <c r="F131" s="1811">
        <f>SUM('Revenues 9-14'!C216,'Revenues 9-14'!D216,'Revenues 9-14'!F216,'Revenues 9-14'!G216)</f>
        <v>1190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1225089</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351918</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51816</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200938</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200938</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155342</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216139</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251340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317075</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33737</v>
      </c>
      <c r="G174" s="928"/>
    </row>
    <row r="175" spans="1:7" x14ac:dyDescent="0.2">
      <c r="A175" s="1944" t="s">
        <v>5</v>
      </c>
      <c r="B175" s="1945" t="s">
        <v>2054</v>
      </c>
      <c r="C175" s="1946">
        <v>3100</v>
      </c>
      <c r="D175" s="1947" t="s">
        <v>2057</v>
      </c>
      <c r="E175" s="907"/>
      <c r="F175" s="1931"/>
      <c r="G175" s="928"/>
    </row>
    <row r="176" spans="1:7" x14ac:dyDescent="0.2">
      <c r="A176" s="1944" t="s">
        <v>684</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12518237</v>
      </c>
    </row>
    <row r="179" spans="1:7" ht="12" customHeight="1" x14ac:dyDescent="0.2">
      <c r="A179" s="1792"/>
      <c r="B179" s="1806"/>
      <c r="C179" s="1807"/>
      <c r="D179" s="1808" t="s">
        <v>2011</v>
      </c>
      <c r="E179" s="1809"/>
      <c r="F179" s="1811">
        <f>'PCTC-OEPP 27-28'!F77-F178</f>
        <v>69911772</v>
      </c>
    </row>
    <row r="180" spans="1:7" ht="12" customHeight="1" x14ac:dyDescent="0.2">
      <c r="A180" s="1792"/>
      <c r="B180" s="1806"/>
      <c r="C180" s="1807"/>
      <c r="D180" s="1808" t="s">
        <v>1920</v>
      </c>
      <c r="E180" s="1809"/>
      <c r="F180" s="1811">
        <f>'Cap Outlay Deprec 26'!I18</f>
        <v>5472369.2000000002</v>
      </c>
    </row>
    <row r="181" spans="1:7" ht="12" customHeight="1" x14ac:dyDescent="0.2">
      <c r="A181" s="1792"/>
      <c r="B181" s="1806"/>
      <c r="C181" s="1807"/>
      <c r="D181" s="1808" t="s">
        <v>2012</v>
      </c>
      <c r="E181" s="1809"/>
      <c r="F181" s="1811">
        <f>F179+F180</f>
        <v>75384141.200000003</v>
      </c>
    </row>
    <row r="182" spans="1:7" ht="12" customHeight="1" x14ac:dyDescent="0.2">
      <c r="A182" s="1792"/>
      <c r="B182" s="1812"/>
      <c r="C182" s="1807"/>
      <c r="D182" s="1808" t="str">
        <f>D78</f>
        <v>9 Month ADA from District Average Daily Attendance/Prior General State Aid Inquiry 2017-2018</v>
      </c>
      <c r="E182" s="1809"/>
      <c r="F182" s="1813">
        <f>'PCTC-OEPP 27-28'!F78</f>
        <v>5890.33</v>
      </c>
      <c r="G182" s="931"/>
    </row>
    <row r="183" spans="1:7" ht="12" customHeight="1" thickBot="1" x14ac:dyDescent="0.25">
      <c r="A183" s="1792"/>
      <c r="B183" s="1812"/>
      <c r="C183" s="1807"/>
      <c r="D183" s="1808" t="s">
        <v>2013</v>
      </c>
      <c r="E183" s="1809" t="s">
        <v>1625</v>
      </c>
      <c r="F183" s="1814">
        <f>F181/F182</f>
        <v>12797.94870576012</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4" t="s">
        <v>1921</v>
      </c>
      <c r="B4" s="2295"/>
      <c r="C4" s="2295"/>
      <c r="D4" s="2295"/>
      <c r="E4" s="2295"/>
      <c r="F4" s="2295"/>
      <c r="G4" s="2296"/>
    </row>
    <row r="5" spans="1:7" x14ac:dyDescent="0.25">
      <c r="A5" s="2297"/>
      <c r="B5" s="2298"/>
      <c r="C5" s="2298"/>
      <c r="D5" s="2298"/>
      <c r="E5" s="2298"/>
      <c r="F5" s="2298"/>
      <c r="G5" s="2299"/>
    </row>
    <row r="6" spans="1:7" ht="18.75" x14ac:dyDescent="0.25">
      <c r="A6" s="1556" t="s">
        <v>1922</v>
      </c>
      <c r="B6" s="1557"/>
      <c r="C6" s="1557"/>
      <c r="D6" s="1557"/>
      <c r="E6" s="1557"/>
      <c r="F6" s="1557"/>
      <c r="G6" s="1558"/>
    </row>
    <row r="7" spans="1:7" ht="30.75" customHeight="1" x14ac:dyDescent="0.25">
      <c r="A7" s="2300" t="s">
        <v>2071</v>
      </c>
      <c r="B7" s="2301"/>
      <c r="C7" s="2301"/>
      <c r="D7" s="2301"/>
      <c r="E7" s="2301"/>
      <c r="F7" s="2301"/>
      <c r="G7" s="2302"/>
    </row>
    <row r="8" spans="1:7" ht="15.75" customHeight="1" x14ac:dyDescent="0.25">
      <c r="A8" s="2303" t="s">
        <v>2020</v>
      </c>
      <c r="B8" s="2304"/>
      <c r="C8" s="2304"/>
      <c r="D8" s="2304"/>
      <c r="E8" s="2304"/>
      <c r="F8" s="2304"/>
      <c r="G8" s="2305"/>
    </row>
    <row r="9" spans="1:7" ht="35.25" customHeight="1" x14ac:dyDescent="0.25">
      <c r="A9" s="2300" t="s">
        <v>2019</v>
      </c>
      <c r="B9" s="2301"/>
      <c r="C9" s="2301"/>
      <c r="D9" s="2301"/>
      <c r="E9" s="2301"/>
      <c r="F9" s="2301"/>
      <c r="G9" s="2302"/>
    </row>
    <row r="10" spans="1:7" ht="15" customHeight="1" x14ac:dyDescent="0.25">
      <c r="A10" s="1559" t="s">
        <v>1923</v>
      </c>
      <c r="B10" s="1560"/>
      <c r="C10" s="1560"/>
      <c r="D10" s="1560"/>
      <c r="E10" s="1560"/>
      <c r="F10" s="1560"/>
      <c r="G10" s="1561"/>
    </row>
    <row r="11" spans="1:7" ht="17.25" customHeight="1" x14ac:dyDescent="0.25">
      <c r="A11" s="2300" t="s">
        <v>1937</v>
      </c>
      <c r="B11" s="2301"/>
      <c r="C11" s="2301"/>
      <c r="D11" s="2301"/>
      <c r="E11" s="2301"/>
      <c r="F11" s="2301"/>
      <c r="G11" s="2302"/>
    </row>
    <row r="12" spans="1:7" ht="15" customHeight="1" x14ac:dyDescent="0.25">
      <c r="A12" s="1559" t="s">
        <v>1928</v>
      </c>
      <c r="B12" s="1560"/>
      <c r="C12" s="1560"/>
      <c r="D12" s="1560"/>
      <c r="E12" s="1560"/>
      <c r="F12" s="1560"/>
      <c r="G12" s="1561"/>
    </row>
    <row r="13" spans="1:7" ht="32.25" customHeight="1" x14ac:dyDescent="0.25">
      <c r="A13" s="2291" t="s">
        <v>1929</v>
      </c>
      <c r="B13" s="2292"/>
      <c r="C13" s="2292"/>
      <c r="D13" s="2292"/>
      <c r="E13" s="2292"/>
      <c r="F13" s="2292"/>
      <c r="G13" s="2293"/>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t="s">
        <v>2173</v>
      </c>
      <c r="B17" s="1963" t="s">
        <v>2280</v>
      </c>
      <c r="C17" s="1678" t="s">
        <v>2175</v>
      </c>
      <c r="D17" s="1867">
        <v>39194</v>
      </c>
      <c r="E17" s="1562">
        <f t="shared" ref="E17:E141" si="1">IF(D17&lt;=25000,D17,IF(D17&gt;25000,25000,0))</f>
        <v>25000</v>
      </c>
      <c r="F17" s="1815">
        <f t="shared" si="0"/>
        <v>25000</v>
      </c>
      <c r="G17" s="1816">
        <f>IF(F17=0,0,D17-F17)</f>
        <v>14194</v>
      </c>
      <c r="H17" s="1669"/>
    </row>
    <row r="18" spans="1:8" x14ac:dyDescent="0.25">
      <c r="A18" s="1675" t="s">
        <v>2176</v>
      </c>
      <c r="B18" s="1868" t="s">
        <v>2177</v>
      </c>
      <c r="C18" s="1678" t="s">
        <v>2178</v>
      </c>
      <c r="D18" s="1867">
        <v>8574</v>
      </c>
      <c r="E18" s="1562">
        <f t="shared" ref="E18:E140" si="2">IF(D18&lt;=25000,D18,IF(D18&gt;25000,25000,0))</f>
        <v>8574</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t="s">
        <v>2179</v>
      </c>
      <c r="B19" s="1869" t="s">
        <v>2180</v>
      </c>
      <c r="C19" s="1678" t="s">
        <v>2181</v>
      </c>
      <c r="D19" s="1867">
        <v>8371</v>
      </c>
      <c r="E19" s="1562">
        <f t="shared" si="2"/>
        <v>8371</v>
      </c>
      <c r="F19" s="1815">
        <f t="shared" si="3"/>
        <v>0</v>
      </c>
      <c r="G19" s="1816">
        <f t="shared" si="4"/>
        <v>0</v>
      </c>
    </row>
    <row r="20" spans="1:8" x14ac:dyDescent="0.25">
      <c r="A20" s="1675" t="s">
        <v>2182</v>
      </c>
      <c r="B20" s="1963" t="s">
        <v>2262</v>
      </c>
      <c r="C20" s="1678" t="s">
        <v>2183</v>
      </c>
      <c r="D20" s="1867">
        <v>9540</v>
      </c>
      <c r="E20" s="1562">
        <f t="shared" si="2"/>
        <v>9540</v>
      </c>
      <c r="F20" s="1815">
        <f t="shared" si="3"/>
        <v>9540</v>
      </c>
      <c r="G20" s="1816">
        <f t="shared" si="4"/>
        <v>0</v>
      </c>
    </row>
    <row r="21" spans="1:8" x14ac:dyDescent="0.25">
      <c r="A21" s="1675" t="s">
        <v>2184</v>
      </c>
      <c r="B21" s="1963" t="s">
        <v>2263</v>
      </c>
      <c r="C21" s="1678" t="s">
        <v>2185</v>
      </c>
      <c r="D21" s="1867">
        <v>7225</v>
      </c>
      <c r="E21" s="1562">
        <f t="shared" si="2"/>
        <v>7225</v>
      </c>
      <c r="F21" s="1815">
        <f t="shared" si="3"/>
        <v>7225</v>
      </c>
      <c r="G21" s="1816">
        <f t="shared" si="4"/>
        <v>0</v>
      </c>
    </row>
    <row r="22" spans="1:8" x14ac:dyDescent="0.25">
      <c r="A22" s="1675" t="s">
        <v>2186</v>
      </c>
      <c r="B22" s="1963" t="s">
        <v>2264</v>
      </c>
      <c r="C22" s="1678" t="s">
        <v>2187</v>
      </c>
      <c r="D22" s="1867">
        <v>10299</v>
      </c>
      <c r="E22" s="1562">
        <f t="shared" si="2"/>
        <v>10299</v>
      </c>
      <c r="F22" s="1815">
        <f t="shared" si="3"/>
        <v>0</v>
      </c>
      <c r="G22" s="1816">
        <f t="shared" si="4"/>
        <v>0</v>
      </c>
    </row>
    <row r="23" spans="1:8" x14ac:dyDescent="0.25">
      <c r="A23" s="1675" t="s">
        <v>2182</v>
      </c>
      <c r="B23" s="1963" t="s">
        <v>2265</v>
      </c>
      <c r="C23" s="1678" t="s">
        <v>2188</v>
      </c>
      <c r="D23" s="1867">
        <v>8894</v>
      </c>
      <c r="E23" s="1562">
        <f t="shared" si="2"/>
        <v>8894</v>
      </c>
      <c r="F23" s="1815">
        <f t="shared" si="3"/>
        <v>0</v>
      </c>
      <c r="G23" s="1816">
        <f t="shared" si="4"/>
        <v>0</v>
      </c>
    </row>
    <row r="24" spans="1:8" x14ac:dyDescent="0.25">
      <c r="A24" s="1675" t="s">
        <v>2182</v>
      </c>
      <c r="B24" s="1963" t="s">
        <v>2265</v>
      </c>
      <c r="C24" s="1678" t="s">
        <v>2189</v>
      </c>
      <c r="D24" s="1867">
        <v>42811</v>
      </c>
      <c r="E24" s="1562">
        <f t="shared" si="2"/>
        <v>25000</v>
      </c>
      <c r="F24" s="1815">
        <f t="shared" si="3"/>
        <v>0</v>
      </c>
      <c r="G24" s="1816">
        <f t="shared" si="4"/>
        <v>0</v>
      </c>
    </row>
    <row r="25" spans="1:8" x14ac:dyDescent="0.25">
      <c r="A25" s="1675" t="s">
        <v>2173</v>
      </c>
      <c r="B25" s="1963" t="s">
        <v>2174</v>
      </c>
      <c r="C25" s="1678" t="s">
        <v>2190</v>
      </c>
      <c r="D25" s="1867">
        <v>16146</v>
      </c>
      <c r="E25" s="1562">
        <f t="shared" si="2"/>
        <v>16146</v>
      </c>
      <c r="F25" s="1815">
        <f t="shared" si="3"/>
        <v>0</v>
      </c>
      <c r="G25" s="1816">
        <f t="shared" si="4"/>
        <v>0</v>
      </c>
    </row>
    <row r="26" spans="1:8" x14ac:dyDescent="0.25">
      <c r="A26" s="1675" t="s">
        <v>2173</v>
      </c>
      <c r="B26" s="1963" t="s">
        <v>2174</v>
      </c>
      <c r="C26" s="1676" t="s">
        <v>2191</v>
      </c>
      <c r="D26" s="1867">
        <v>20870</v>
      </c>
      <c r="E26" s="1562">
        <f t="shared" si="2"/>
        <v>20870</v>
      </c>
      <c r="F26" s="1815">
        <f t="shared" si="3"/>
        <v>0</v>
      </c>
      <c r="G26" s="1816">
        <f t="shared" si="4"/>
        <v>0</v>
      </c>
    </row>
    <row r="27" spans="1:8" x14ac:dyDescent="0.25">
      <c r="A27" s="1675" t="s">
        <v>2192</v>
      </c>
      <c r="B27" s="1963" t="s">
        <v>2266</v>
      </c>
      <c r="C27" s="1676" t="s">
        <v>2193</v>
      </c>
      <c r="D27" s="1867">
        <v>6375</v>
      </c>
      <c r="E27" s="1562">
        <f t="shared" si="2"/>
        <v>6375</v>
      </c>
      <c r="F27" s="1815">
        <f t="shared" si="3"/>
        <v>0</v>
      </c>
      <c r="G27" s="1816">
        <f t="shared" si="4"/>
        <v>0</v>
      </c>
    </row>
    <row r="28" spans="1:8" x14ac:dyDescent="0.25">
      <c r="A28" s="1675" t="s">
        <v>2194</v>
      </c>
      <c r="B28" s="1963" t="s">
        <v>2267</v>
      </c>
      <c r="C28" s="1676" t="s">
        <v>2195</v>
      </c>
      <c r="D28" s="1867">
        <v>2050</v>
      </c>
      <c r="E28" s="1562">
        <f t="shared" si="2"/>
        <v>2050</v>
      </c>
      <c r="F28" s="1815">
        <f t="shared" si="3"/>
        <v>0</v>
      </c>
      <c r="G28" s="1816">
        <f t="shared" si="4"/>
        <v>0</v>
      </c>
    </row>
    <row r="29" spans="1:8" x14ac:dyDescent="0.25">
      <c r="A29" s="1675" t="s">
        <v>2196</v>
      </c>
      <c r="B29" s="1963" t="s">
        <v>2268</v>
      </c>
      <c r="C29" s="1676" t="s">
        <v>2197</v>
      </c>
      <c r="D29" s="1867">
        <v>59100</v>
      </c>
      <c r="E29" s="1562">
        <f t="shared" si="2"/>
        <v>25000</v>
      </c>
      <c r="F29" s="1815">
        <f t="shared" si="3"/>
        <v>0</v>
      </c>
      <c r="G29" s="1816">
        <f t="shared" si="4"/>
        <v>0</v>
      </c>
    </row>
    <row r="30" spans="1:8" x14ac:dyDescent="0.25">
      <c r="A30" s="1675" t="s">
        <v>2198</v>
      </c>
      <c r="B30" s="1963" t="s">
        <v>2269</v>
      </c>
      <c r="C30" s="1676" t="s">
        <v>2199</v>
      </c>
      <c r="D30" s="1867">
        <v>17662</v>
      </c>
      <c r="E30" s="1562">
        <f t="shared" si="2"/>
        <v>17662</v>
      </c>
      <c r="F30" s="1815">
        <f t="shared" si="3"/>
        <v>17662</v>
      </c>
      <c r="G30" s="1816">
        <f t="shared" si="4"/>
        <v>0</v>
      </c>
    </row>
    <row r="31" spans="1:8" x14ac:dyDescent="0.25">
      <c r="A31" s="1675" t="s">
        <v>2194</v>
      </c>
      <c r="B31" s="1963" t="s">
        <v>2267</v>
      </c>
      <c r="C31" s="1676" t="s">
        <v>2200</v>
      </c>
      <c r="D31" s="1867">
        <v>2620</v>
      </c>
      <c r="E31" s="1562">
        <f t="shared" si="2"/>
        <v>2620</v>
      </c>
      <c r="F31" s="1815">
        <f t="shared" si="3"/>
        <v>0</v>
      </c>
      <c r="G31" s="1816">
        <f t="shared" si="4"/>
        <v>0</v>
      </c>
    </row>
    <row r="32" spans="1:8" x14ac:dyDescent="0.25">
      <c r="A32" s="1675" t="s">
        <v>2173</v>
      </c>
      <c r="B32" s="1963" t="s">
        <v>2174</v>
      </c>
      <c r="C32" s="1676" t="s">
        <v>2201</v>
      </c>
      <c r="D32" s="1867">
        <v>16338</v>
      </c>
      <c r="E32" s="1562">
        <f t="shared" si="2"/>
        <v>16338</v>
      </c>
      <c r="F32" s="1815">
        <f t="shared" si="3"/>
        <v>0</v>
      </c>
      <c r="G32" s="1816">
        <f t="shared" si="4"/>
        <v>0</v>
      </c>
    </row>
    <row r="33" spans="1:7" x14ac:dyDescent="0.25">
      <c r="A33" s="1675" t="s">
        <v>2182</v>
      </c>
      <c r="B33" s="1963" t="s">
        <v>2265</v>
      </c>
      <c r="C33" s="1676" t="s">
        <v>2202</v>
      </c>
      <c r="D33" s="1867">
        <v>8435</v>
      </c>
      <c r="E33" s="1562">
        <f t="shared" si="2"/>
        <v>8435</v>
      </c>
      <c r="F33" s="1815">
        <f t="shared" si="3"/>
        <v>0</v>
      </c>
      <c r="G33" s="1816">
        <f t="shared" si="4"/>
        <v>0</v>
      </c>
    </row>
    <row r="34" spans="1:7" x14ac:dyDescent="0.25">
      <c r="A34" s="1675" t="s">
        <v>2173</v>
      </c>
      <c r="B34" s="1963" t="s">
        <v>2280</v>
      </c>
      <c r="C34" s="1676" t="s">
        <v>2203</v>
      </c>
      <c r="D34" s="1867">
        <v>192360</v>
      </c>
      <c r="E34" s="1562">
        <f t="shared" si="2"/>
        <v>25000</v>
      </c>
      <c r="F34" s="1815">
        <f t="shared" si="3"/>
        <v>25000</v>
      </c>
      <c r="G34" s="1816">
        <f t="shared" si="4"/>
        <v>167360</v>
      </c>
    </row>
    <row r="35" spans="1:7" x14ac:dyDescent="0.25">
      <c r="A35" s="1675" t="s">
        <v>2204</v>
      </c>
      <c r="B35" s="1963" t="s">
        <v>2281</v>
      </c>
      <c r="C35" s="1676" t="s">
        <v>2205</v>
      </c>
      <c r="D35" s="1867">
        <v>82284</v>
      </c>
      <c r="E35" s="1562">
        <f t="shared" si="2"/>
        <v>25000</v>
      </c>
      <c r="F35" s="1815">
        <f t="shared" si="3"/>
        <v>25000</v>
      </c>
      <c r="G35" s="1816">
        <f t="shared" si="4"/>
        <v>57284</v>
      </c>
    </row>
    <row r="36" spans="1:7" x14ac:dyDescent="0.25">
      <c r="A36" s="1675" t="s">
        <v>2194</v>
      </c>
      <c r="B36" s="1963" t="s">
        <v>2281</v>
      </c>
      <c r="C36" s="1676" t="s">
        <v>2206</v>
      </c>
      <c r="D36" s="1867">
        <v>42587</v>
      </c>
      <c r="E36" s="1562">
        <f t="shared" si="2"/>
        <v>25000</v>
      </c>
      <c r="F36" s="1815">
        <f t="shared" si="3"/>
        <v>25000</v>
      </c>
      <c r="G36" s="1816">
        <f t="shared" si="4"/>
        <v>17587</v>
      </c>
    </row>
    <row r="37" spans="1:7" x14ac:dyDescent="0.25">
      <c r="A37" s="1675" t="s">
        <v>2179</v>
      </c>
      <c r="B37" s="1963" t="s">
        <v>2180</v>
      </c>
      <c r="C37" s="1676" t="s">
        <v>2207</v>
      </c>
      <c r="D37" s="1867">
        <v>8295</v>
      </c>
      <c r="E37" s="1562">
        <f t="shared" si="2"/>
        <v>8295</v>
      </c>
      <c r="F37" s="1815">
        <f t="shared" si="3"/>
        <v>0</v>
      </c>
      <c r="G37" s="1816">
        <f t="shared" si="4"/>
        <v>0</v>
      </c>
    </row>
    <row r="38" spans="1:7" x14ac:dyDescent="0.25">
      <c r="A38" s="1675" t="s">
        <v>2208</v>
      </c>
      <c r="B38" s="1964" t="s">
        <v>2282</v>
      </c>
      <c r="C38" s="1676" t="s">
        <v>2209</v>
      </c>
      <c r="D38" s="1867">
        <v>31000</v>
      </c>
      <c r="E38" s="1562">
        <f t="shared" si="2"/>
        <v>25000</v>
      </c>
      <c r="F38" s="1815">
        <f t="shared" si="3"/>
        <v>25000</v>
      </c>
      <c r="G38" s="1816">
        <f t="shared" si="4"/>
        <v>6000</v>
      </c>
    </row>
    <row r="39" spans="1:7" x14ac:dyDescent="0.25">
      <c r="A39" s="1675" t="s">
        <v>2204</v>
      </c>
      <c r="B39" s="1964" t="s">
        <v>2281</v>
      </c>
      <c r="C39" s="1676" t="s">
        <v>2210</v>
      </c>
      <c r="D39" s="1867">
        <v>23625</v>
      </c>
      <c r="E39" s="1562">
        <f t="shared" si="2"/>
        <v>23625</v>
      </c>
      <c r="F39" s="1815">
        <f t="shared" si="3"/>
        <v>23625</v>
      </c>
      <c r="G39" s="1816">
        <f t="shared" si="4"/>
        <v>0</v>
      </c>
    </row>
    <row r="40" spans="1:7" x14ac:dyDescent="0.25">
      <c r="A40" s="1675" t="s">
        <v>2194</v>
      </c>
      <c r="B40" s="1964" t="s">
        <v>2267</v>
      </c>
      <c r="C40" s="1676" t="s">
        <v>2211</v>
      </c>
      <c r="D40" s="1867">
        <v>8305</v>
      </c>
      <c r="E40" s="1562">
        <f t="shared" si="2"/>
        <v>8305</v>
      </c>
      <c r="F40" s="1815">
        <f t="shared" si="3"/>
        <v>0</v>
      </c>
      <c r="G40" s="1816">
        <f t="shared" si="4"/>
        <v>0</v>
      </c>
    </row>
    <row r="41" spans="1:7" x14ac:dyDescent="0.25">
      <c r="A41" s="1675" t="s">
        <v>2204</v>
      </c>
      <c r="B41" s="1964" t="s">
        <v>2270</v>
      </c>
      <c r="C41" s="1676" t="s">
        <v>2212</v>
      </c>
      <c r="D41" s="1867">
        <v>22000</v>
      </c>
      <c r="E41" s="1562">
        <f t="shared" si="2"/>
        <v>22000</v>
      </c>
      <c r="F41" s="1815">
        <f t="shared" si="3"/>
        <v>0</v>
      </c>
      <c r="G41" s="1816">
        <f t="shared" si="4"/>
        <v>0</v>
      </c>
    </row>
    <row r="42" spans="1:7" x14ac:dyDescent="0.25">
      <c r="A42" s="1675" t="s">
        <v>2173</v>
      </c>
      <c r="B42" s="1964" t="s">
        <v>2280</v>
      </c>
      <c r="C42" s="1676" t="s">
        <v>2213</v>
      </c>
      <c r="D42" s="1867">
        <v>56237</v>
      </c>
      <c r="E42" s="1562">
        <f t="shared" si="2"/>
        <v>25000</v>
      </c>
      <c r="F42" s="1815">
        <f t="shared" si="3"/>
        <v>25000</v>
      </c>
      <c r="G42" s="1816">
        <f t="shared" si="4"/>
        <v>31237</v>
      </c>
    </row>
    <row r="43" spans="1:7" x14ac:dyDescent="0.25">
      <c r="A43" s="1675" t="s">
        <v>2194</v>
      </c>
      <c r="B43" s="1964" t="s">
        <v>2281</v>
      </c>
      <c r="C43" s="1676" t="s">
        <v>2214</v>
      </c>
      <c r="D43" s="1867">
        <v>25500</v>
      </c>
      <c r="E43" s="1562">
        <f t="shared" si="2"/>
        <v>25000</v>
      </c>
      <c r="F43" s="1815">
        <f t="shared" si="3"/>
        <v>25000</v>
      </c>
      <c r="G43" s="1816">
        <f t="shared" si="4"/>
        <v>500</v>
      </c>
    </row>
    <row r="44" spans="1:7" x14ac:dyDescent="0.25">
      <c r="A44" s="1675" t="s">
        <v>2173</v>
      </c>
      <c r="B44" s="1964" t="s">
        <v>2174</v>
      </c>
      <c r="C44" s="1676" t="s">
        <v>2215</v>
      </c>
      <c r="D44" s="1867">
        <v>2899</v>
      </c>
      <c r="E44" s="1562">
        <f t="shared" si="2"/>
        <v>2899</v>
      </c>
      <c r="F44" s="1815">
        <f t="shared" si="3"/>
        <v>0</v>
      </c>
      <c r="G44" s="1816">
        <f t="shared" si="4"/>
        <v>0</v>
      </c>
    </row>
    <row r="45" spans="1:7" x14ac:dyDescent="0.25">
      <c r="A45" s="1675" t="s">
        <v>2173</v>
      </c>
      <c r="B45" s="1964" t="s">
        <v>2280</v>
      </c>
      <c r="C45" s="1676" t="s">
        <v>2216</v>
      </c>
      <c r="D45" s="1867">
        <v>52854</v>
      </c>
      <c r="E45" s="1562">
        <f t="shared" si="2"/>
        <v>25000</v>
      </c>
      <c r="F45" s="1815">
        <f t="shared" si="3"/>
        <v>25000</v>
      </c>
      <c r="G45" s="1816">
        <f t="shared" si="4"/>
        <v>27854</v>
      </c>
    </row>
    <row r="46" spans="1:7" x14ac:dyDescent="0.25">
      <c r="A46" s="1675" t="s">
        <v>2173</v>
      </c>
      <c r="B46" s="1964" t="s">
        <v>2174</v>
      </c>
      <c r="C46" s="1676" t="s">
        <v>2217</v>
      </c>
      <c r="D46" s="1867">
        <v>19362</v>
      </c>
      <c r="E46" s="1562">
        <f t="shared" si="2"/>
        <v>19362</v>
      </c>
      <c r="F46" s="1815">
        <f t="shared" si="3"/>
        <v>0</v>
      </c>
      <c r="G46" s="1816">
        <f t="shared" si="4"/>
        <v>0</v>
      </c>
    </row>
    <row r="47" spans="1:7" x14ac:dyDescent="0.25">
      <c r="A47" s="1675" t="s">
        <v>2208</v>
      </c>
      <c r="B47" s="1964" t="s">
        <v>2271</v>
      </c>
      <c r="C47" s="1676" t="s">
        <v>2218</v>
      </c>
      <c r="D47" s="1867">
        <v>2500</v>
      </c>
      <c r="E47" s="1562">
        <f t="shared" si="2"/>
        <v>2500</v>
      </c>
      <c r="F47" s="1815">
        <f t="shared" si="3"/>
        <v>0</v>
      </c>
      <c r="G47" s="1816">
        <f t="shared" si="4"/>
        <v>0</v>
      </c>
    </row>
    <row r="48" spans="1:7" x14ac:dyDescent="0.25">
      <c r="A48" s="1675" t="s">
        <v>2173</v>
      </c>
      <c r="B48" s="1964" t="s">
        <v>2174</v>
      </c>
      <c r="C48" s="1676" t="s">
        <v>2219</v>
      </c>
      <c r="D48" s="1867">
        <v>17698</v>
      </c>
      <c r="E48" s="1562">
        <f t="shared" si="2"/>
        <v>17698</v>
      </c>
      <c r="F48" s="1815">
        <f t="shared" si="3"/>
        <v>0</v>
      </c>
      <c r="G48" s="1816">
        <f t="shared" si="4"/>
        <v>0</v>
      </c>
    </row>
    <row r="49" spans="1:7" x14ac:dyDescent="0.25">
      <c r="A49" s="1675" t="s">
        <v>2220</v>
      </c>
      <c r="B49" s="1964" t="s">
        <v>2272</v>
      </c>
      <c r="C49" s="1676" t="s">
        <v>2221</v>
      </c>
      <c r="D49" s="1867">
        <v>5170</v>
      </c>
      <c r="E49" s="1562">
        <f t="shared" si="2"/>
        <v>5170</v>
      </c>
      <c r="F49" s="1815">
        <f t="shared" si="3"/>
        <v>5170</v>
      </c>
      <c r="G49" s="1816">
        <f t="shared" si="4"/>
        <v>0</v>
      </c>
    </row>
    <row r="50" spans="1:7" x14ac:dyDescent="0.25">
      <c r="A50" s="1675" t="s">
        <v>2222</v>
      </c>
      <c r="B50" s="1964" t="s">
        <v>2261</v>
      </c>
      <c r="C50" s="1676" t="s">
        <v>2223</v>
      </c>
      <c r="D50" s="1867">
        <v>3486</v>
      </c>
      <c r="E50" s="1562">
        <f t="shared" si="2"/>
        <v>3486</v>
      </c>
      <c r="F50" s="1815">
        <f t="shared" si="3"/>
        <v>3486</v>
      </c>
      <c r="G50" s="1816">
        <f t="shared" si="4"/>
        <v>0</v>
      </c>
    </row>
    <row r="51" spans="1:7" x14ac:dyDescent="0.25">
      <c r="A51" s="1675" t="s">
        <v>2208</v>
      </c>
      <c r="B51" s="1964" t="s">
        <v>2282</v>
      </c>
      <c r="C51" s="1676" t="s">
        <v>2224</v>
      </c>
      <c r="D51" s="1867">
        <v>109143</v>
      </c>
      <c r="E51" s="1562">
        <f t="shared" si="2"/>
        <v>25000</v>
      </c>
      <c r="F51" s="1815">
        <f t="shared" si="3"/>
        <v>25000</v>
      </c>
      <c r="G51" s="1816">
        <f t="shared" si="4"/>
        <v>84143</v>
      </c>
    </row>
    <row r="52" spans="1:7" x14ac:dyDescent="0.25">
      <c r="A52" s="1675" t="s">
        <v>2173</v>
      </c>
      <c r="B52" s="1964" t="s">
        <v>2273</v>
      </c>
      <c r="C52" s="1676" t="s">
        <v>2225</v>
      </c>
      <c r="D52" s="1867">
        <v>14106</v>
      </c>
      <c r="E52" s="1562">
        <f t="shared" si="2"/>
        <v>14106</v>
      </c>
      <c r="F52" s="1815">
        <f t="shared" si="3"/>
        <v>0</v>
      </c>
      <c r="G52" s="1816">
        <f t="shared" si="4"/>
        <v>0</v>
      </c>
    </row>
    <row r="53" spans="1:7" x14ac:dyDescent="0.25">
      <c r="A53" s="1675" t="s">
        <v>2194</v>
      </c>
      <c r="B53" s="1964" t="s">
        <v>2267</v>
      </c>
      <c r="C53" s="1676" t="s">
        <v>2226</v>
      </c>
      <c r="D53" s="1867">
        <v>24515</v>
      </c>
      <c r="E53" s="1562">
        <f t="shared" si="2"/>
        <v>24515</v>
      </c>
      <c r="F53" s="1815">
        <f t="shared" si="3"/>
        <v>0</v>
      </c>
      <c r="G53" s="1816">
        <f t="shared" si="4"/>
        <v>0</v>
      </c>
    </row>
    <row r="54" spans="1:7" x14ac:dyDescent="0.25">
      <c r="A54" s="1675" t="s">
        <v>2186</v>
      </c>
      <c r="B54" s="1964" t="s">
        <v>2264</v>
      </c>
      <c r="C54" s="1676" t="s">
        <v>2227</v>
      </c>
      <c r="D54" s="1867">
        <v>2303</v>
      </c>
      <c r="E54" s="1562">
        <f t="shared" si="2"/>
        <v>2303</v>
      </c>
      <c r="F54" s="1815">
        <f t="shared" si="3"/>
        <v>0</v>
      </c>
      <c r="G54" s="1816">
        <f t="shared" si="4"/>
        <v>0</v>
      </c>
    </row>
    <row r="55" spans="1:7" x14ac:dyDescent="0.25">
      <c r="A55" s="1675" t="s">
        <v>2173</v>
      </c>
      <c r="B55" s="1964" t="s">
        <v>2280</v>
      </c>
      <c r="C55" s="1676" t="s">
        <v>2228</v>
      </c>
      <c r="D55" s="1867">
        <v>75332</v>
      </c>
      <c r="E55" s="1562">
        <f t="shared" si="2"/>
        <v>25000</v>
      </c>
      <c r="F55" s="1815">
        <f t="shared" si="3"/>
        <v>25000</v>
      </c>
      <c r="G55" s="1816">
        <f t="shared" si="4"/>
        <v>50332</v>
      </c>
    </row>
    <row r="56" spans="1:7" x14ac:dyDescent="0.25">
      <c r="A56" s="1675" t="s">
        <v>2173</v>
      </c>
      <c r="B56" s="1964" t="s">
        <v>2174</v>
      </c>
      <c r="C56" s="1676" t="s">
        <v>2229</v>
      </c>
      <c r="D56" s="1867">
        <v>19045</v>
      </c>
      <c r="E56" s="1562">
        <f t="shared" si="2"/>
        <v>19045</v>
      </c>
      <c r="F56" s="1815">
        <f t="shared" si="3"/>
        <v>0</v>
      </c>
      <c r="G56" s="1816">
        <f t="shared" si="4"/>
        <v>0</v>
      </c>
    </row>
    <row r="57" spans="1:7" x14ac:dyDescent="0.25">
      <c r="A57" s="1675" t="s">
        <v>2186</v>
      </c>
      <c r="B57" s="1964" t="s">
        <v>2283</v>
      </c>
      <c r="C57" s="1676" t="s">
        <v>2230</v>
      </c>
      <c r="D57" s="1867">
        <v>34709</v>
      </c>
      <c r="E57" s="1562">
        <f t="shared" si="2"/>
        <v>25000</v>
      </c>
      <c r="F57" s="1815">
        <f t="shared" si="3"/>
        <v>0</v>
      </c>
      <c r="G57" s="1816">
        <f t="shared" si="4"/>
        <v>0</v>
      </c>
    </row>
    <row r="58" spans="1:7" x14ac:dyDescent="0.25">
      <c r="A58" s="1675" t="s">
        <v>2231</v>
      </c>
      <c r="B58" s="1964" t="s">
        <v>2274</v>
      </c>
      <c r="C58" s="1676" t="s">
        <v>2232</v>
      </c>
      <c r="D58" s="1867">
        <v>16350</v>
      </c>
      <c r="E58" s="1562">
        <f t="shared" si="2"/>
        <v>16350</v>
      </c>
      <c r="F58" s="1815">
        <f t="shared" si="3"/>
        <v>0</v>
      </c>
      <c r="G58" s="1816">
        <f t="shared" si="4"/>
        <v>0</v>
      </c>
    </row>
    <row r="59" spans="1:7" x14ac:dyDescent="0.25">
      <c r="A59" s="1675" t="s">
        <v>2179</v>
      </c>
      <c r="B59" s="1964" t="s">
        <v>2180</v>
      </c>
      <c r="C59" s="1676" t="s">
        <v>2233</v>
      </c>
      <c r="D59" s="1867">
        <v>5500</v>
      </c>
      <c r="E59" s="1562">
        <f t="shared" si="2"/>
        <v>5500</v>
      </c>
      <c r="F59" s="1815">
        <f t="shared" si="3"/>
        <v>0</v>
      </c>
      <c r="G59" s="1816">
        <f t="shared" si="4"/>
        <v>0</v>
      </c>
    </row>
    <row r="60" spans="1:7" x14ac:dyDescent="0.25">
      <c r="A60" s="1675" t="s">
        <v>2173</v>
      </c>
      <c r="B60" s="1964" t="s">
        <v>2174</v>
      </c>
      <c r="C60" s="1676" t="s">
        <v>2234</v>
      </c>
      <c r="D60" s="1867">
        <v>15423</v>
      </c>
      <c r="E60" s="1562">
        <f t="shared" si="2"/>
        <v>15423</v>
      </c>
      <c r="F60" s="1815">
        <f t="shared" si="3"/>
        <v>0</v>
      </c>
      <c r="G60" s="1816">
        <f t="shared" si="4"/>
        <v>0</v>
      </c>
    </row>
    <row r="61" spans="1:7" x14ac:dyDescent="0.25">
      <c r="A61" s="1675" t="s">
        <v>2173</v>
      </c>
      <c r="B61" s="1964" t="s">
        <v>2280</v>
      </c>
      <c r="C61" s="1676" t="s">
        <v>2235</v>
      </c>
      <c r="D61" s="1867">
        <v>138732</v>
      </c>
      <c r="E61" s="1562">
        <f t="shared" si="2"/>
        <v>25000</v>
      </c>
      <c r="F61" s="1815">
        <f t="shared" si="3"/>
        <v>25000</v>
      </c>
      <c r="G61" s="1816">
        <f t="shared" si="4"/>
        <v>113732</v>
      </c>
    </row>
    <row r="62" spans="1:7" x14ac:dyDescent="0.25">
      <c r="A62" s="1675" t="s">
        <v>2236</v>
      </c>
      <c r="B62" s="1964" t="s">
        <v>2275</v>
      </c>
      <c r="C62" s="1676" t="s">
        <v>2237</v>
      </c>
      <c r="D62" s="1867">
        <v>9534</v>
      </c>
      <c r="E62" s="1562">
        <f t="shared" si="2"/>
        <v>9534</v>
      </c>
      <c r="F62" s="1815">
        <f t="shared" si="3"/>
        <v>0</v>
      </c>
      <c r="G62" s="1816">
        <f t="shared" si="4"/>
        <v>0</v>
      </c>
    </row>
    <row r="63" spans="1:7" x14ac:dyDescent="0.25">
      <c r="A63" s="1675" t="s">
        <v>2238</v>
      </c>
      <c r="B63" s="1964" t="s">
        <v>2276</v>
      </c>
      <c r="C63" s="1676" t="s">
        <v>2239</v>
      </c>
      <c r="D63" s="1867">
        <v>1928</v>
      </c>
      <c r="E63" s="1562">
        <f t="shared" si="2"/>
        <v>1928</v>
      </c>
      <c r="F63" s="1815">
        <f t="shared" si="3"/>
        <v>0</v>
      </c>
      <c r="G63" s="1816">
        <f t="shared" si="4"/>
        <v>0</v>
      </c>
    </row>
    <row r="64" spans="1:7" x14ac:dyDescent="0.25">
      <c r="A64" s="1677" t="s">
        <v>2240</v>
      </c>
      <c r="B64" s="1964" t="s">
        <v>2263</v>
      </c>
      <c r="C64" s="1678" t="s">
        <v>2241</v>
      </c>
      <c r="D64" s="1867">
        <v>5059</v>
      </c>
      <c r="E64" s="1562">
        <f t="shared" si="2"/>
        <v>5059</v>
      </c>
      <c r="F64" s="1815">
        <f t="shared" si="3"/>
        <v>5059</v>
      </c>
      <c r="G64" s="1816">
        <f t="shared" si="4"/>
        <v>0</v>
      </c>
    </row>
    <row r="65" spans="1:7" x14ac:dyDescent="0.25">
      <c r="A65" s="1675" t="s">
        <v>2240</v>
      </c>
      <c r="B65" s="1964" t="s">
        <v>2263</v>
      </c>
      <c r="C65" s="1676" t="s">
        <v>2242</v>
      </c>
      <c r="D65" s="1867">
        <v>2000</v>
      </c>
      <c r="E65" s="1562">
        <f t="shared" si="2"/>
        <v>2000</v>
      </c>
      <c r="F65" s="1815">
        <f t="shared" si="3"/>
        <v>2000</v>
      </c>
      <c r="G65" s="1816">
        <f t="shared" si="4"/>
        <v>0</v>
      </c>
    </row>
    <row r="66" spans="1:7" x14ac:dyDescent="0.25">
      <c r="A66" s="1675" t="s">
        <v>2220</v>
      </c>
      <c r="B66" s="1964" t="s">
        <v>2272</v>
      </c>
      <c r="C66" s="1676" t="s">
        <v>2243</v>
      </c>
      <c r="D66" s="1867">
        <v>4660</v>
      </c>
      <c r="E66" s="1562">
        <f t="shared" si="2"/>
        <v>4660</v>
      </c>
      <c r="F66" s="1815">
        <f t="shared" si="3"/>
        <v>4660</v>
      </c>
      <c r="G66" s="1816">
        <f t="shared" si="4"/>
        <v>0</v>
      </c>
    </row>
    <row r="67" spans="1:7" x14ac:dyDescent="0.25">
      <c r="A67" s="1675" t="s">
        <v>2244</v>
      </c>
      <c r="B67" s="1964" t="s">
        <v>2277</v>
      </c>
      <c r="C67" s="1676" t="s">
        <v>2245</v>
      </c>
      <c r="D67" s="1867">
        <v>4000</v>
      </c>
      <c r="E67" s="1562">
        <f t="shared" si="2"/>
        <v>4000</v>
      </c>
      <c r="F67" s="1815">
        <f t="shared" si="3"/>
        <v>0</v>
      </c>
      <c r="G67" s="1816">
        <f t="shared" si="4"/>
        <v>0</v>
      </c>
    </row>
    <row r="68" spans="1:7" x14ac:dyDescent="0.25">
      <c r="A68" s="1675" t="s">
        <v>2194</v>
      </c>
      <c r="B68" s="1964" t="s">
        <v>2267</v>
      </c>
      <c r="C68" s="1676" t="s">
        <v>2246</v>
      </c>
      <c r="D68" s="1867">
        <v>5846</v>
      </c>
      <c r="E68" s="1562">
        <f t="shared" si="2"/>
        <v>5846</v>
      </c>
      <c r="F68" s="1815">
        <f t="shared" si="3"/>
        <v>0</v>
      </c>
      <c r="G68" s="1816">
        <f t="shared" si="4"/>
        <v>0</v>
      </c>
    </row>
    <row r="69" spans="1:7" x14ac:dyDescent="0.25">
      <c r="A69" s="1675" t="s">
        <v>2194</v>
      </c>
      <c r="B69" s="1964" t="s">
        <v>2267</v>
      </c>
      <c r="C69" s="1676" t="s">
        <v>2247</v>
      </c>
      <c r="D69" s="1867">
        <v>12445</v>
      </c>
      <c r="E69" s="1562">
        <f t="shared" si="2"/>
        <v>12445</v>
      </c>
      <c r="F69" s="1815">
        <f t="shared" si="3"/>
        <v>0</v>
      </c>
      <c r="G69" s="1816">
        <f t="shared" si="4"/>
        <v>0</v>
      </c>
    </row>
    <row r="70" spans="1:7" x14ac:dyDescent="0.25">
      <c r="A70" s="1675" t="s">
        <v>2176</v>
      </c>
      <c r="B70" s="1964" t="s">
        <v>2177</v>
      </c>
      <c r="C70" s="1676" t="s">
        <v>2248</v>
      </c>
      <c r="D70" s="1867">
        <v>27813</v>
      </c>
      <c r="E70" s="1562">
        <f t="shared" si="2"/>
        <v>25000</v>
      </c>
      <c r="F70" s="1815">
        <f t="shared" si="3"/>
        <v>0</v>
      </c>
      <c r="G70" s="1816">
        <f t="shared" si="4"/>
        <v>0</v>
      </c>
    </row>
    <row r="71" spans="1:7" x14ac:dyDescent="0.25">
      <c r="A71" s="1675" t="s">
        <v>2173</v>
      </c>
      <c r="B71" s="1964" t="s">
        <v>2280</v>
      </c>
      <c r="C71" s="1676" t="s">
        <v>2249</v>
      </c>
      <c r="D71" s="1867">
        <v>72205</v>
      </c>
      <c r="E71" s="1562">
        <f t="shared" si="2"/>
        <v>25000</v>
      </c>
      <c r="F71" s="1815">
        <f t="shared" si="3"/>
        <v>25000</v>
      </c>
      <c r="G71" s="1816">
        <f t="shared" si="4"/>
        <v>47205</v>
      </c>
    </row>
    <row r="72" spans="1:7" x14ac:dyDescent="0.25">
      <c r="A72" s="1675" t="s">
        <v>2173</v>
      </c>
      <c r="B72" s="1964" t="s">
        <v>2280</v>
      </c>
      <c r="C72" s="1676" t="s">
        <v>2250</v>
      </c>
      <c r="D72" s="1867">
        <v>38390</v>
      </c>
      <c r="E72" s="1562">
        <f t="shared" si="2"/>
        <v>25000</v>
      </c>
      <c r="F72" s="1815">
        <f t="shared" si="3"/>
        <v>25000</v>
      </c>
      <c r="G72" s="1816">
        <f t="shared" si="4"/>
        <v>13390</v>
      </c>
    </row>
    <row r="73" spans="1:7" x14ac:dyDescent="0.25">
      <c r="A73" s="1675" t="s">
        <v>2231</v>
      </c>
      <c r="B73" s="1964" t="s">
        <v>2274</v>
      </c>
      <c r="C73" s="1676" t="s">
        <v>2251</v>
      </c>
      <c r="D73" s="1867">
        <v>3876</v>
      </c>
      <c r="E73" s="1562">
        <f t="shared" ref="E73:E84" si="5">IF(D73&lt;=25000,D73,IF(D73&gt;25000,25000,0))</f>
        <v>3876</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t="s">
        <v>2182</v>
      </c>
      <c r="B74" s="1964" t="s">
        <v>2262</v>
      </c>
      <c r="C74" s="1676" t="s">
        <v>2252</v>
      </c>
      <c r="D74" s="1867">
        <v>103160</v>
      </c>
      <c r="E74" s="1562">
        <f t="shared" si="5"/>
        <v>25000</v>
      </c>
      <c r="F74" s="1815">
        <f t="shared" si="6"/>
        <v>25000</v>
      </c>
      <c r="G74" s="1816">
        <f t="shared" si="7"/>
        <v>78160</v>
      </c>
    </row>
    <row r="75" spans="1:7" x14ac:dyDescent="0.25">
      <c r="A75" s="1675" t="s">
        <v>2204</v>
      </c>
      <c r="B75" s="1964" t="s">
        <v>2270</v>
      </c>
      <c r="C75" s="1676" t="s">
        <v>2253</v>
      </c>
      <c r="D75" s="1867">
        <v>7680</v>
      </c>
      <c r="E75" s="1562">
        <f t="shared" si="5"/>
        <v>7680</v>
      </c>
      <c r="F75" s="1815">
        <f t="shared" si="6"/>
        <v>0</v>
      </c>
      <c r="G75" s="1816">
        <f t="shared" si="7"/>
        <v>0</v>
      </c>
    </row>
    <row r="76" spans="1:7" x14ac:dyDescent="0.25">
      <c r="A76" s="1675" t="s">
        <v>2173</v>
      </c>
      <c r="B76" s="1964" t="s">
        <v>2174</v>
      </c>
      <c r="C76" s="1676" t="s">
        <v>2254</v>
      </c>
      <c r="D76" s="1867">
        <v>20785</v>
      </c>
      <c r="E76" s="1562">
        <f t="shared" si="5"/>
        <v>20785</v>
      </c>
      <c r="F76" s="1815">
        <f t="shared" si="6"/>
        <v>0</v>
      </c>
      <c r="G76" s="1816">
        <f t="shared" si="7"/>
        <v>0</v>
      </c>
    </row>
    <row r="77" spans="1:7" x14ac:dyDescent="0.25">
      <c r="A77" s="1675" t="s">
        <v>2182</v>
      </c>
      <c r="B77" s="1964" t="s">
        <v>2262</v>
      </c>
      <c r="C77" s="1676" t="s">
        <v>2255</v>
      </c>
      <c r="D77" s="1867">
        <v>112739</v>
      </c>
      <c r="E77" s="1562">
        <f t="shared" si="5"/>
        <v>25000</v>
      </c>
      <c r="F77" s="1815">
        <f t="shared" si="6"/>
        <v>25000</v>
      </c>
      <c r="G77" s="1816">
        <f t="shared" si="7"/>
        <v>87739</v>
      </c>
    </row>
    <row r="78" spans="1:7" x14ac:dyDescent="0.25">
      <c r="A78" s="1675" t="s">
        <v>2194</v>
      </c>
      <c r="B78" s="1964" t="s">
        <v>2281</v>
      </c>
      <c r="C78" s="1676" t="s">
        <v>2256</v>
      </c>
      <c r="D78" s="1867">
        <v>34475</v>
      </c>
      <c r="E78" s="1562">
        <f t="shared" si="5"/>
        <v>25000</v>
      </c>
      <c r="F78" s="1815">
        <f t="shared" si="6"/>
        <v>25000</v>
      </c>
      <c r="G78" s="1816">
        <f t="shared" si="7"/>
        <v>9475</v>
      </c>
    </row>
    <row r="79" spans="1:7" x14ac:dyDescent="0.25">
      <c r="A79" s="1675" t="s">
        <v>2173</v>
      </c>
      <c r="B79" s="1964" t="s">
        <v>2280</v>
      </c>
      <c r="C79" s="1676" t="s">
        <v>2257</v>
      </c>
      <c r="D79" s="1867">
        <v>33343</v>
      </c>
      <c r="E79" s="1562">
        <f t="shared" si="5"/>
        <v>25000</v>
      </c>
      <c r="F79" s="1815">
        <f t="shared" si="6"/>
        <v>25000</v>
      </c>
      <c r="G79" s="1816">
        <f t="shared" si="7"/>
        <v>8343</v>
      </c>
    </row>
    <row r="80" spans="1:7" x14ac:dyDescent="0.25">
      <c r="A80" s="1675" t="s">
        <v>2173</v>
      </c>
      <c r="B80" s="1964" t="s">
        <v>2280</v>
      </c>
      <c r="C80" s="1676" t="s">
        <v>2258</v>
      </c>
      <c r="D80" s="1867">
        <v>65893</v>
      </c>
      <c r="E80" s="1562">
        <f t="shared" si="5"/>
        <v>25000</v>
      </c>
      <c r="F80" s="1815">
        <f t="shared" si="6"/>
        <v>25000</v>
      </c>
      <c r="G80" s="1816">
        <f t="shared" si="7"/>
        <v>40893</v>
      </c>
    </row>
    <row r="81" spans="1:7" x14ac:dyDescent="0.25">
      <c r="A81" s="1675" t="s">
        <v>2173</v>
      </c>
      <c r="B81" s="1964" t="s">
        <v>2280</v>
      </c>
      <c r="C81" s="1676" t="s">
        <v>2259</v>
      </c>
      <c r="D81" s="1867">
        <v>36195</v>
      </c>
      <c r="E81" s="1562">
        <f t="shared" si="5"/>
        <v>25000</v>
      </c>
      <c r="F81" s="1815">
        <f t="shared" si="6"/>
        <v>25000</v>
      </c>
      <c r="G81" s="1816">
        <f t="shared" si="7"/>
        <v>11195</v>
      </c>
    </row>
    <row r="82" spans="1:7" x14ac:dyDescent="0.25">
      <c r="A82" s="1675" t="s">
        <v>2194</v>
      </c>
      <c r="B82" s="1964" t="s">
        <v>2267</v>
      </c>
      <c r="C82" s="1676" t="s">
        <v>2260</v>
      </c>
      <c r="D82" s="1867">
        <v>6000</v>
      </c>
      <c r="E82" s="1562">
        <f t="shared" si="5"/>
        <v>6000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1943850</v>
      </c>
      <c r="E141" s="1563">
        <f t="shared" si="1"/>
        <v>25000</v>
      </c>
      <c r="F141" s="1817">
        <f>SUM(F17:F140)</f>
        <v>553427</v>
      </c>
      <c r="G141" s="1818">
        <f>SUM(G17:G140)</f>
        <v>866623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6" t="s">
        <v>1777</v>
      </c>
      <c r="B5" s="2307"/>
      <c r="C5" s="2307"/>
      <c r="D5" s="2307"/>
      <c r="E5" s="2307"/>
      <c r="F5" s="2307"/>
      <c r="G5" s="230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880887</v>
      </c>
      <c r="F10" s="975"/>
      <c r="G10" s="976"/>
      <c r="H10" s="162"/>
      <c r="I10" s="162"/>
    </row>
    <row r="11" spans="1:9" s="669" customFormat="1" ht="22.5" customHeight="1" x14ac:dyDescent="0.2">
      <c r="A11" s="2311" t="s">
        <v>1941</v>
      </c>
      <c r="B11" s="2312"/>
      <c r="C11" s="2312"/>
      <c r="D11" s="2313"/>
      <c r="E11" s="978">
        <v>165351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45089440</v>
      </c>
      <c r="F19" s="1822"/>
      <c r="G19" s="1824">
        <f>'Expenditures 15-22'!K33-SUM('Expenditures 15-22'!G33,'Expenditures 15-22'!I33)+'Expenditures 15-22'!D229</f>
        <v>45089440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6632136</v>
      </c>
      <c r="F21" s="1825"/>
      <c r="G21" s="1828">
        <f>'Expenditures 15-22'!K42-SUM('Expenditures 15-22'!G42,'Expenditures 15-22'!I42)+'Expenditures 15-22'!K120-SUM('Expenditures 15-22'!G120,'Expenditures 15-22'!I120)+'Expenditures 15-22'!K180-SUM('Expenditures 15-22'!G180,'Expenditures 15-22'!I180)+'Expenditures 15-22'!D238</f>
        <v>6632136</v>
      </c>
      <c r="H21" s="988"/>
      <c r="I21" s="162"/>
    </row>
    <row r="22" spans="1:9" s="669" customFormat="1" ht="12" customHeight="1" x14ac:dyDescent="0.2">
      <c r="A22" s="995" t="s">
        <v>584</v>
      </c>
      <c r="B22" s="996"/>
      <c r="C22" s="994">
        <v>2200</v>
      </c>
      <c r="D22" s="1825"/>
      <c r="E22" s="1827">
        <f>'Expenditures 15-22'!K47-SUM('Expenditures 15-22'!G47,'Expenditures 15-22'!I47)+'Expenditures 15-22'!D243</f>
        <v>3244738</v>
      </c>
      <c r="F22" s="1825"/>
      <c r="G22" s="1828">
        <f>'Expenditures 15-22'!K47-SUM('Expenditures 15-22'!G47,'Expenditures 15-22'!I47)+'Expenditures 15-22'!D243</f>
        <v>3244738</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1618266</v>
      </c>
      <c r="F23" s="1825"/>
      <c r="G23" s="1827">
        <f>'Expenditures 15-22'!K53-SUM('Expenditures 15-22'!G53,'Expenditures 15-22'!I53)+'Expenditures 15-22'!D257+'Expenditures 15-22'!K330-SUM('Expenditures 15-22'!G330,'Expenditures 15-22'!I330)</f>
        <v>1618266</v>
      </c>
      <c r="H23" s="988"/>
      <c r="I23" s="162"/>
    </row>
    <row r="24" spans="1:9" s="669" customFormat="1" ht="12" customHeight="1" x14ac:dyDescent="0.2">
      <c r="A24" s="995" t="s">
        <v>586</v>
      </c>
      <c r="B24" s="996"/>
      <c r="C24" s="994">
        <v>2400</v>
      </c>
      <c r="D24" s="1825"/>
      <c r="E24" s="1827">
        <f>'Expenditures 15-22'!K57-SUM('Expenditures 15-22'!G57,'Expenditures 15-22'!I57)+'Expenditures 15-22'!D261</f>
        <v>4451292</v>
      </c>
      <c r="F24" s="1825"/>
      <c r="G24" s="1828">
        <f>'Expenditures 15-22'!K57-SUM('Expenditures 15-22'!G57,'Expenditures 15-22'!I57)+'Expenditures 15-22'!D261</f>
        <v>4451292</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190992</v>
      </c>
      <c r="E26" s="1827">
        <f>'Expenditures 15-22'!K122-SUM('Expenditures 15-22'!G122,'Expenditures 15-22'!I122)+E7</f>
        <v>0</v>
      </c>
      <c r="F26" s="1827">
        <f>'Expenditures 15-22'!K59-SUM('Expenditures 15-22'!G59,'Expenditures 15-22'!I59)+'Expenditures 15-22'!D263-E7</f>
        <v>190992</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772065</v>
      </c>
      <c r="E27" s="1827">
        <f>E8</f>
        <v>0</v>
      </c>
      <c r="F27" s="1827">
        <f>'Expenditures 15-22'!K60-SUM('Expenditures 15-22'!G60,'Expenditures 15-22'!I60)+'Expenditures 15-22'!D264-E8</f>
        <v>772065</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7281222</v>
      </c>
      <c r="F28" s="1829">
        <f>'Expenditures 15-22'!K61-SUM('Expenditures 15-22'!G61,'Expenditures 15-22'!I61)+'Expenditures 15-22'!K124-SUM('Expenditures 15-22'!G124,'Expenditures 15-22'!I124)+'Expenditures 15-22'!D266-E9</f>
        <v>7281222</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5013872</v>
      </c>
      <c r="F29" s="1825"/>
      <c r="G29" s="1828">
        <f>'Expenditures 15-22'!K62-SUM('Expenditures 15-22'!G62,'Expenditures 15-22'!I62)+'Expenditures 15-22'!K125-SUM('Expenditures 15-22'!G125,'Expenditures 15-22'!I125)+'Expenditures 15-22'!K182-SUM('Expenditures 15-22'!G182,'Expenditures 15-22'!I182)+'Expenditures 15-22'!D267</f>
        <v>5013872</v>
      </c>
      <c r="H29" s="986"/>
    </row>
    <row r="30" spans="1:9" ht="12" customHeight="1" x14ac:dyDescent="0.2">
      <c r="A30" s="995" t="s">
        <v>102</v>
      </c>
      <c r="B30" s="998"/>
      <c r="C30" s="994">
        <v>2560</v>
      </c>
      <c r="D30" s="1825"/>
      <c r="E30" s="1827">
        <f>'Expenditures 15-22'!K63-SUM('Expenditures 15-22'!G63,'Expenditures 15-22'!I63)+'Expenditures 15-22'!D268-E10</f>
        <v>1647303</v>
      </c>
      <c r="F30" s="1825"/>
      <c r="G30" s="1827">
        <f>'Expenditures 15-22'!K63-SUM('Expenditures 15-22'!G63,'Expenditures 15-22'!I63)+'Expenditures 15-22'!D268-E10</f>
        <v>1647303</v>
      </c>
    </row>
    <row r="31" spans="1:9" ht="12" customHeight="1" x14ac:dyDescent="0.2">
      <c r="A31" s="995" t="s">
        <v>103</v>
      </c>
      <c r="B31" s="998"/>
      <c r="C31" s="994">
        <v>2570</v>
      </c>
      <c r="D31" s="1827">
        <f>'Expenditures 15-22'!K64-SUM('Expenditures 15-22'!G64,'Expenditures 15-22'!I64)+'Expenditures 15-22'!D269-E12</f>
        <v>175</v>
      </c>
      <c r="E31" s="1827">
        <f>E12</f>
        <v>0</v>
      </c>
      <c r="F31" s="1827">
        <f>'Expenditures 15-22'!K64-SUM('Expenditures 15-22'!G64,'Expenditures 15-22'!I64)+'Expenditures 15-22'!D269-E12</f>
        <v>175</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218403</v>
      </c>
      <c r="F35" s="1825"/>
      <c r="G35" s="1827">
        <f>'Expenditures 15-22'!K69-SUM('Expenditures 15-22'!G69,'Expenditures 15-22'!I69)+'Expenditures 15-22'!D274</f>
        <v>218403</v>
      </c>
    </row>
    <row r="36" spans="1:7" ht="12" customHeight="1" x14ac:dyDescent="0.2">
      <c r="A36" s="995" t="s">
        <v>422</v>
      </c>
      <c r="B36" s="998"/>
      <c r="C36" s="994">
        <v>2640</v>
      </c>
      <c r="D36" s="1827">
        <f>'Expenditures 15-22'!K70-SUM('Expenditures 15-22'!G70,'Expenditures 15-22'!I70)+'Expenditures 15-22'!D275-E13</f>
        <v>652887</v>
      </c>
      <c r="E36" s="1827">
        <f>E13</f>
        <v>0</v>
      </c>
      <c r="F36" s="1827">
        <f>'Expenditures 15-22'!K70-SUM('Expenditures 15-22'!G70,'Expenditures 15-22'!I70)+'Expenditures 15-22'!D275-E13</f>
        <v>652887</v>
      </c>
      <c r="G36" s="1827">
        <f>E13</f>
        <v>0</v>
      </c>
    </row>
    <row r="37" spans="1:7" ht="12" customHeight="1" x14ac:dyDescent="0.2">
      <c r="A37" s="995" t="s">
        <v>423</v>
      </c>
      <c r="B37" s="998"/>
      <c r="C37" s="994">
        <v>2660</v>
      </c>
      <c r="D37" s="1827">
        <f>'Expenditures 15-22'!K71-SUM('Expenditures 15-22'!G71,'Expenditures 15-22'!I71)+'Expenditures 15-22'!D276-E14</f>
        <v>2625690</v>
      </c>
      <c r="E37" s="1827">
        <f>E14</f>
        <v>0</v>
      </c>
      <c r="F37" s="1827">
        <f>'Expenditures 15-22'!K71-SUM('Expenditures 15-22'!G71,'Expenditures 15-22'!I71)+'Expenditures 15-22'!D276-E14</f>
        <v>2625690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649620</v>
      </c>
      <c r="F39" s="1825"/>
      <c r="G39" s="1827">
        <f>'Expenditures 15-22'!K75-SUM('Expenditures 15-22'!G75,'Expenditures 15-22'!I75)+'Expenditures 15-22'!K130-SUM('Expenditures 15-22'!G130,'Expenditures 15-22'!I130)+'Expenditures 15-22'!K185-SUM('Expenditures 15-22'!G185,'Expenditures 15-22'!I185)+'Expenditures 15-22'!D280</f>
        <v>649620</v>
      </c>
    </row>
    <row r="40" spans="1:7" ht="12" customHeight="1" x14ac:dyDescent="0.2">
      <c r="A40" s="991" t="s">
        <v>1926</v>
      </c>
      <c r="B40" s="992"/>
      <c r="C40" s="994"/>
      <c r="D40" s="1825"/>
      <c r="E40" s="1829">
        <f>-'Contracts Paid in CY 29'!G141</f>
        <v>-866623</v>
      </c>
      <c r="F40" s="1825"/>
      <c r="G40" s="1829">
        <f>-'Contracts Paid in CY 29'!G141</f>
        <v>-866623</v>
      </c>
    </row>
    <row r="41" spans="1:7" ht="12" customHeight="1" x14ac:dyDescent="0.2">
      <c r="A41" s="999" t="s">
        <v>158</v>
      </c>
      <c r="B41" s="1000"/>
      <c r="C41" s="1001"/>
      <c r="D41" s="1829">
        <f>SUM(D19:D39)</f>
        <v>4241809</v>
      </c>
      <c r="E41" s="1829">
        <f>SUM(E19:E40)</f>
        <v>74979669</v>
      </c>
      <c r="F41" s="1829">
        <f>SUM(F19:F39)</f>
        <v>11523031</v>
      </c>
      <c r="G41" s="1829">
        <f>SUM(G19:G40)</f>
        <v>67698447</v>
      </c>
    </row>
    <row r="42" spans="1:7" x14ac:dyDescent="0.2">
      <c r="A42" s="988"/>
      <c r="B42" s="162"/>
      <c r="C42" s="1002"/>
      <c r="D42" s="2309" t="s">
        <v>542</v>
      </c>
      <c r="E42" s="2310"/>
      <c r="F42" s="1003" t="s">
        <v>543</v>
      </c>
      <c r="G42" s="1004"/>
    </row>
    <row r="43" spans="1:7" ht="12" customHeight="1" x14ac:dyDescent="0.2">
      <c r="A43" s="988"/>
      <c r="B43" s="162"/>
      <c r="C43" s="1002"/>
      <c r="D43" s="1830" t="s">
        <v>492</v>
      </c>
      <c r="E43" s="1831">
        <f>D41</f>
        <v>4241809</v>
      </c>
      <c r="F43" s="1830" t="s">
        <v>494</v>
      </c>
      <c r="G43" s="1831">
        <f>F41</f>
        <v>11523031</v>
      </c>
    </row>
    <row r="44" spans="1:7" ht="12" customHeight="1" x14ac:dyDescent="0.2">
      <c r="A44" s="988"/>
      <c r="B44" s="162"/>
      <c r="C44" s="1002"/>
      <c r="D44" s="1830" t="s">
        <v>493</v>
      </c>
      <c r="E44" s="1831">
        <f>E41</f>
        <v>74979669</v>
      </c>
      <c r="F44" s="1830" t="s">
        <v>493</v>
      </c>
      <c r="G44" s="1831">
        <f>G41</f>
        <v>67698447</v>
      </c>
    </row>
    <row r="45" spans="1:7" ht="12" customHeight="1" x14ac:dyDescent="0.2">
      <c r="A45" s="988"/>
      <c r="B45" s="162"/>
      <c r="C45" s="162"/>
      <c r="D45" s="1832" t="s">
        <v>1062</v>
      </c>
      <c r="E45" s="1833">
        <f>(E43/E44)</f>
        <v>5.6572789084998493E-2</v>
      </c>
      <c r="F45" s="1832" t="s">
        <v>1062</v>
      </c>
      <c r="G45" s="1833">
        <f>(G43/G44)</f>
        <v>0.17021115713333868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7" t="s">
        <v>1445</v>
      </c>
      <c r="B1" s="2317"/>
      <c r="C1" s="2317"/>
      <c r="D1" s="2317"/>
      <c r="E1" s="2317"/>
      <c r="F1" s="2317"/>
    </row>
    <row r="2" spans="1:10" x14ac:dyDescent="0.2">
      <c r="A2" s="1912" t="s">
        <v>2044</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8" t="s">
        <v>1626</v>
      </c>
      <c r="B5" s="2319"/>
      <c r="C5" s="2320"/>
      <c r="D5" s="2320"/>
      <c r="E5" s="2320"/>
      <c r="F5" s="2320"/>
    </row>
    <row r="6" spans="1:10" ht="12" customHeight="1" x14ac:dyDescent="0.25">
      <c r="A6" s="1875"/>
      <c r="B6" s="1876"/>
      <c r="C6" s="2321" t="str">
        <f>COVER!A17</f>
        <v>Woodstock CUSD 200</v>
      </c>
      <c r="D6" s="2321"/>
      <c r="E6" s="2321"/>
      <c r="F6" s="1877"/>
    </row>
    <row r="7" spans="1:10" ht="11.25" customHeight="1" thickBot="1" x14ac:dyDescent="0.3">
      <c r="A7" s="1875"/>
      <c r="B7" s="1876"/>
      <c r="C7" s="2322">
        <f>COVER!A13</f>
        <v>44063200026</v>
      </c>
      <c r="D7" s="2322"/>
      <c r="E7" s="2322"/>
      <c r="F7" s="1877"/>
    </row>
    <row r="8" spans="1:10" ht="25.5" customHeight="1" thickBot="1" x14ac:dyDescent="0.25">
      <c r="A8" s="1918" t="s">
        <v>2021</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t="s">
        <v>2077</v>
      </c>
      <c r="D14" s="1890" t="s">
        <v>2077</v>
      </c>
      <c r="E14" s="1893" t="s">
        <v>2077</v>
      </c>
      <c r="F14" s="1892" t="s">
        <v>2166</v>
      </c>
      <c r="H14" s="1903">
        <f t="shared" si="0"/>
        <v>5</v>
      </c>
      <c r="I14" s="1903">
        <f t="shared" si="1"/>
        <v>5</v>
      </c>
      <c r="J14" s="1903">
        <f t="shared" si="2"/>
        <v>5</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t="s">
        <v>2077</v>
      </c>
      <c r="D19" s="1890" t="s">
        <v>2077</v>
      </c>
      <c r="E19" s="1893" t="s">
        <v>2077</v>
      </c>
      <c r="F19" s="1892" t="s">
        <v>2167</v>
      </c>
      <c r="H19" s="1903">
        <f t="shared" si="0"/>
        <v>5</v>
      </c>
      <c r="I19" s="1903">
        <f t="shared" si="1"/>
        <v>5</v>
      </c>
      <c r="J19" s="1903">
        <f t="shared" si="2"/>
        <v>5</v>
      </c>
    </row>
    <row r="20" spans="1:12" ht="12" customHeight="1" x14ac:dyDescent="0.2">
      <c r="A20" s="1888" t="s">
        <v>1608</v>
      </c>
      <c r="B20" s="1889"/>
      <c r="C20" s="1890" t="s">
        <v>2077</v>
      </c>
      <c r="D20" s="1890" t="s">
        <v>2077</v>
      </c>
      <c r="E20" s="1893" t="s">
        <v>2077</v>
      </c>
      <c r="F20" s="1892" t="s">
        <v>2168</v>
      </c>
      <c r="H20" s="1903">
        <f t="shared" si="0"/>
        <v>5</v>
      </c>
      <c r="I20" s="1903">
        <f t="shared" si="1"/>
        <v>5</v>
      </c>
      <c r="J20" s="1903">
        <f t="shared" si="2"/>
        <v>5</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t="s">
        <v>2077</v>
      </c>
      <c r="D24" s="1890" t="s">
        <v>2077</v>
      </c>
      <c r="E24" s="1893" t="s">
        <v>2077</v>
      </c>
      <c r="F24" s="1892" t="s">
        <v>2169</v>
      </c>
      <c r="H24" s="1903">
        <f t="shared" si="0"/>
        <v>5</v>
      </c>
      <c r="I24" s="1903">
        <f t="shared" si="1"/>
        <v>5</v>
      </c>
      <c r="J24" s="1903">
        <f t="shared" si="2"/>
        <v>5</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c r="D26" s="1890"/>
      <c r="E26" s="1893"/>
      <c r="F26" s="1892"/>
      <c r="H26" s="1903">
        <f t="shared" si="0"/>
        <v>0</v>
      </c>
      <c r="I26" s="1903">
        <f t="shared" si="1"/>
        <v>0</v>
      </c>
      <c r="J26" s="1903">
        <f t="shared" si="2"/>
        <v>0</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t="s">
        <v>2077</v>
      </c>
      <c r="D28" s="1890" t="s">
        <v>2077</v>
      </c>
      <c r="E28" s="1893" t="s">
        <v>2077</v>
      </c>
      <c r="F28" s="1892" t="s">
        <v>2172</v>
      </c>
      <c r="H28" s="1903">
        <f t="shared" si="0"/>
        <v>5</v>
      </c>
      <c r="I28" s="1903">
        <f t="shared" si="1"/>
        <v>5</v>
      </c>
      <c r="J28" s="1903">
        <f t="shared" si="2"/>
        <v>5</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c r="D30" s="1890"/>
      <c r="E30" s="1893"/>
      <c r="F30" s="1892"/>
      <c r="H30" s="1903">
        <f t="shared" si="0"/>
        <v>0</v>
      </c>
      <c r="I30" s="1903">
        <f t="shared" si="1"/>
        <v>0</v>
      </c>
      <c r="J30" s="1903">
        <f t="shared" si="2"/>
        <v>0</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25</v>
      </c>
      <c r="I34" s="1903">
        <f>SUM(I11:I32)</f>
        <v>25</v>
      </c>
      <c r="J34" s="1903">
        <f>SUM(J11:J32)</f>
        <v>25</v>
      </c>
      <c r="K34" s="1903">
        <f>SUM(H34:J34)</f>
        <v>75</v>
      </c>
    </row>
    <row r="35" spans="1:11" ht="12" customHeight="1" x14ac:dyDescent="0.2">
      <c r="A35" s="1896" t="s">
        <v>1458</v>
      </c>
      <c r="B35" s="1897"/>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98"/>
      <c r="B39" s="1898"/>
      <c r="C39" s="1898"/>
      <c r="D39" s="1898"/>
      <c r="E39" s="1898"/>
      <c r="F39" s="1898"/>
    </row>
    <row r="40" spans="1:11" s="1895" customFormat="1" ht="12" customHeight="1" x14ac:dyDescent="0.25">
      <c r="A40" s="1899" t="s">
        <v>1457</v>
      </c>
      <c r="B40" s="1900"/>
      <c r="C40" s="2331"/>
      <c r="D40" s="2331"/>
      <c r="E40" s="2331"/>
      <c r="F40" s="2332"/>
      <c r="H40" s="1904"/>
      <c r="I40" s="1904"/>
      <c r="J40" s="1904"/>
      <c r="K40" s="1904"/>
    </row>
    <row r="41" spans="1:11" s="1895" customFormat="1" ht="12" customHeight="1" x14ac:dyDescent="0.25">
      <c r="A41" s="2333"/>
      <c r="B41" s="2334"/>
      <c r="C41" s="2334"/>
      <c r="D41" s="2334"/>
      <c r="E41" s="2334"/>
      <c r="F41" s="2335"/>
      <c r="H41" s="1904"/>
      <c r="I41" s="1904"/>
      <c r="J41" s="1904"/>
      <c r="K41" s="1904"/>
    </row>
    <row r="42" spans="1:11" s="1895" customFormat="1" ht="12" customHeight="1" x14ac:dyDescent="0.25">
      <c r="A42" s="2333"/>
      <c r="B42" s="2334"/>
      <c r="C42" s="2334"/>
      <c r="D42" s="2334"/>
      <c r="E42" s="2334"/>
      <c r="F42" s="2335"/>
      <c r="H42" s="1904"/>
      <c r="I42" s="1904"/>
      <c r="J42" s="1904"/>
      <c r="K42" s="1904"/>
    </row>
    <row r="43" spans="1:11" s="1895" customFormat="1" ht="15" x14ac:dyDescent="0.25">
      <c r="A43" s="2325"/>
      <c r="B43" s="2326"/>
      <c r="C43" s="2326"/>
      <c r="D43" s="2326"/>
      <c r="E43" s="2326"/>
      <c r="F43" s="2327"/>
      <c r="H43" s="1904"/>
      <c r="I43" s="1904"/>
      <c r="J43" s="1904"/>
      <c r="K43" s="1904"/>
    </row>
    <row r="44" spans="1:11" s="1895" customFormat="1" ht="12" hidden="1" customHeight="1" x14ac:dyDescent="0.25">
      <c r="A44" s="2325"/>
      <c r="B44" s="2326"/>
      <c r="C44" s="2326"/>
      <c r="D44" s="2326"/>
      <c r="E44" s="2326"/>
      <c r="F44" s="232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41" t="str">
        <f>COVER!A17</f>
        <v>Woodstock CUSD 200</v>
      </c>
      <c r="J6" s="2342"/>
      <c r="Q6" s="1686"/>
    </row>
    <row r="7" spans="1:17" x14ac:dyDescent="0.2">
      <c r="A7" s="2343" t="s">
        <v>923</v>
      </c>
      <c r="B7" s="2344"/>
      <c r="C7" s="2344"/>
      <c r="D7" s="2344"/>
      <c r="E7" s="2345"/>
      <c r="F7" s="1018"/>
      <c r="G7" s="1010"/>
      <c r="H7" s="1017" t="s">
        <v>389</v>
      </c>
      <c r="I7" s="2346">
        <f>COVER!A13</f>
        <v>44063200026</v>
      </c>
      <c r="J7" s="234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7" t="s">
        <v>501</v>
      </c>
      <c r="B11" s="2348"/>
      <c r="C11" s="2349"/>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330623</v>
      </c>
      <c r="F12" s="1040"/>
      <c r="G12" s="1834">
        <f t="shared" ref="G12:G18" si="0">SUM(E12:F12)</f>
        <v>330623</v>
      </c>
      <c r="H12" s="1041">
        <v>346530</v>
      </c>
      <c r="I12" s="1040"/>
      <c r="J12" s="1834">
        <f t="shared" ref="J12:J18" si="1">SUM(H12:I12)</f>
        <v>346530</v>
      </c>
    </row>
    <row r="13" spans="1:17" ht="15" customHeight="1" x14ac:dyDescent="0.2">
      <c r="A13" s="1036">
        <v>2</v>
      </c>
      <c r="B13" s="1037" t="s">
        <v>44</v>
      </c>
      <c r="C13" s="1038"/>
      <c r="D13" s="1039">
        <v>2330</v>
      </c>
      <c r="E13" s="1834">
        <f>'Expenditures 15-22'!K51</f>
        <v>31605</v>
      </c>
      <c r="F13" s="1040"/>
      <c r="G13" s="1834">
        <f t="shared" si="0"/>
        <v>31605</v>
      </c>
      <c r="H13" s="1041">
        <v>29565</v>
      </c>
      <c r="I13" s="1040"/>
      <c r="J13" s="1834">
        <f t="shared" si="1"/>
        <v>29565</v>
      </c>
    </row>
    <row r="14" spans="1:17" ht="15" customHeight="1" x14ac:dyDescent="0.2">
      <c r="A14" s="1036">
        <v>3</v>
      </c>
      <c r="B14" s="1037" t="s">
        <v>45</v>
      </c>
      <c r="C14" s="1038"/>
      <c r="D14" s="1042">
        <v>2490</v>
      </c>
      <c r="E14" s="1834">
        <f>'Expenditures 15-22'!K56</f>
        <v>135336</v>
      </c>
      <c r="F14" s="1040"/>
      <c r="G14" s="1834">
        <f t="shared" si="0"/>
        <v>135336</v>
      </c>
      <c r="H14" s="1041">
        <v>140665</v>
      </c>
      <c r="I14" s="1040"/>
      <c r="J14" s="1834">
        <f t="shared" si="1"/>
        <v>140665</v>
      </c>
    </row>
    <row r="15" spans="1:17" ht="15" customHeight="1" x14ac:dyDescent="0.2">
      <c r="A15" s="1036">
        <v>4</v>
      </c>
      <c r="B15" s="1037" t="s">
        <v>1127</v>
      </c>
      <c r="C15" s="1038"/>
      <c r="D15" s="1039">
        <v>2510</v>
      </c>
      <c r="E15" s="1834">
        <f>'Expenditures 15-22'!K59</f>
        <v>188792</v>
      </c>
      <c r="F15" s="1834">
        <f>'Expenditures 15-22'!K122</f>
        <v>0</v>
      </c>
      <c r="G15" s="1834">
        <f t="shared" si="0"/>
        <v>188792</v>
      </c>
      <c r="H15" s="1041">
        <v>201768</v>
      </c>
      <c r="I15" s="1041"/>
      <c r="J15" s="1834">
        <f t="shared" si="1"/>
        <v>201768</v>
      </c>
    </row>
    <row r="16" spans="1:17" ht="15" customHeight="1" x14ac:dyDescent="0.2">
      <c r="A16" s="1036">
        <v>5</v>
      </c>
      <c r="B16" s="1037" t="s">
        <v>103</v>
      </c>
      <c r="C16" s="1038"/>
      <c r="D16" s="1039">
        <v>2570</v>
      </c>
      <c r="E16" s="1834">
        <f>'Expenditures 15-22'!K64</f>
        <v>175</v>
      </c>
      <c r="F16" s="1040"/>
      <c r="G16" s="1834">
        <f t="shared" si="0"/>
        <v>175</v>
      </c>
      <c r="H16" s="1041">
        <v>2500</v>
      </c>
      <c r="I16" s="1040"/>
      <c r="J16" s="1834">
        <f t="shared" si="1"/>
        <v>2500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50" t="s">
        <v>7</v>
      </c>
      <c r="C18" s="2351"/>
      <c r="D18" s="2352"/>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686531</v>
      </c>
      <c r="F19" s="1836">
        <f t="shared" si="2"/>
        <v>0</v>
      </c>
      <c r="G19" s="1836">
        <f t="shared" si="2"/>
        <v>686531</v>
      </c>
      <c r="H19" s="1836">
        <f t="shared" si="2"/>
        <v>721028</v>
      </c>
      <c r="I19" s="1836">
        <f t="shared" si="2"/>
        <v>0</v>
      </c>
      <c r="J19" s="1836">
        <f t="shared" si="2"/>
        <v>721028</v>
      </c>
    </row>
    <row r="20" spans="1:10" ht="13.5" thickTop="1" x14ac:dyDescent="0.2">
      <c r="A20" s="1036">
        <v>9</v>
      </c>
      <c r="B20" s="2353" t="s">
        <v>1702</v>
      </c>
      <c r="C20" s="2353"/>
      <c r="D20" s="2354"/>
      <c r="E20" s="1047"/>
      <c r="F20" s="1047"/>
      <c r="G20" s="1047"/>
      <c r="H20" s="1047"/>
      <c r="I20" s="1047"/>
      <c r="J20" s="1837">
        <f>IF(AND(G19&gt;0,J19&gt;0),(((J19-G19)/G19)),"Enter Budget Data")</f>
        <v>5.024827720816686E-2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9"/>
      <c r="D26" s="2359"/>
      <c r="E26" s="1051"/>
      <c r="F26" s="2358"/>
      <c r="G26" s="2358"/>
    </row>
    <row r="27" spans="1:10" x14ac:dyDescent="0.2">
      <c r="B27" s="1048"/>
      <c r="C27" s="1052" t="s">
        <v>1092</v>
      </c>
      <c r="D27" s="1053"/>
      <c r="E27" s="1054"/>
      <c r="F27" s="2355" t="s">
        <v>1588</v>
      </c>
      <c r="G27" s="2355"/>
    </row>
    <row r="28" spans="1:10" ht="28.5" customHeight="1" x14ac:dyDescent="0.2">
      <c r="B28" s="1048"/>
      <c r="C28" s="2357"/>
      <c r="D28" s="2357"/>
      <c r="E28" s="1055"/>
      <c r="F28" s="2357"/>
      <c r="G28" s="2357"/>
    </row>
    <row r="29" spans="1:10" x14ac:dyDescent="0.2">
      <c r="B29" s="1048"/>
      <c r="C29" s="1056" t="s">
        <v>1641</v>
      </c>
      <c r="E29" s="1057"/>
      <c r="F29" s="2356" t="s">
        <v>1589</v>
      </c>
      <c r="G29" s="2356"/>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3"/>
    </row>
    <row r="36" spans="1:10" ht="13.5" customHeight="1" x14ac:dyDescent="0.2">
      <c r="B36" s="1062"/>
      <c r="C36" s="2340" t="s">
        <v>1940</v>
      </c>
      <c r="D36" s="2339"/>
      <c r="E36" s="2339"/>
      <c r="F36" s="2339"/>
      <c r="G36" s="2339"/>
      <c r="H36" s="2339"/>
      <c r="I36" s="2339"/>
      <c r="J36" s="1064"/>
    </row>
    <row r="37" spans="1:10" ht="22.5" customHeight="1" x14ac:dyDescent="0.2">
      <c r="C37" s="2339"/>
      <c r="D37" s="2339"/>
      <c r="E37" s="2339"/>
      <c r="F37" s="2339"/>
      <c r="G37" s="2339"/>
      <c r="H37" s="2339"/>
      <c r="I37" s="2339"/>
      <c r="J37" s="1064"/>
    </row>
    <row r="38" spans="1:10" ht="7.5" customHeight="1" x14ac:dyDescent="0.2">
      <c r="C38" s="1063"/>
      <c r="D38" s="1065"/>
      <c r="E38" s="1066"/>
      <c r="F38" s="1067"/>
      <c r="G38" s="1066"/>
    </row>
    <row r="39" spans="1:10" ht="13.5" customHeight="1" x14ac:dyDescent="0.2">
      <c r="B39" s="1062"/>
      <c r="C39" s="2336" t="s">
        <v>936</v>
      </c>
      <c r="D39" s="2337"/>
      <c r="E39" s="2337"/>
      <c r="F39" s="2337"/>
      <c r="G39" s="2337"/>
      <c r="H39" s="2337"/>
      <c r="I39" s="233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Woodstock CUSD 200</v>
      </c>
    </row>
    <row r="65" spans="2:2" x14ac:dyDescent="0.2">
      <c r="B65" s="1071">
        <f>COVER!A13</f>
        <v>44063200026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60" t="s">
        <v>1783</v>
      </c>
      <c r="B18" s="236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4</xdr:col>
                <xdr:colOff>0</xdr:colOff>
                <xdr:row>3</xdr:row>
                <xdr:rowOff>0</xdr:rowOff>
              </from>
              <to>
                <xdr:col>5</xdr:col>
                <xdr:colOff>304800</xdr:colOff>
                <xdr:row>7</xdr:row>
                <xdr:rowOff>38100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5</xdr:col>
                <xdr:colOff>523875</xdr:colOff>
                <xdr:row>2</xdr:row>
                <xdr:rowOff>152400</xdr:rowOff>
              </from>
              <to>
                <xdr:col>7</xdr:col>
                <xdr:colOff>228600</xdr:colOff>
                <xdr:row>7</xdr:row>
                <xdr:rowOff>28575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7</xdr:col>
                <xdr:colOff>571500</xdr:colOff>
                <xdr:row>2</xdr:row>
                <xdr:rowOff>142875</xdr:rowOff>
              </from>
              <to>
                <xdr:col>9</xdr:col>
                <xdr:colOff>266700</xdr:colOff>
                <xdr:row>7</xdr:row>
                <xdr:rowOff>19050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2</xdr:col>
                <xdr:colOff>47625</xdr:colOff>
                <xdr:row>3</xdr:row>
                <xdr:rowOff>9525</xdr:rowOff>
              </from>
              <to>
                <xdr:col>3</xdr:col>
                <xdr:colOff>352425</xdr:colOff>
                <xdr:row>7</xdr:row>
                <xdr:rowOff>47625</xdr:rowOff>
              </to>
            </anchor>
          </objectPr>
        </oleObject>
      </mc:Choice>
      <mc:Fallback>
        <oleObject progId="Acrobat Document" dvAspect="DVASPECT_ICON" shapeId="3584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1789</v>
      </c>
      <c r="B1" s="2362"/>
      <c r="C1" s="2362"/>
      <c r="D1" s="2362"/>
      <c r="E1" s="2362"/>
      <c r="F1" s="2363"/>
    </row>
    <row r="2" spans="1:8" ht="45" customHeight="1" x14ac:dyDescent="0.2">
      <c r="A2" s="2371" t="s">
        <v>1790</v>
      </c>
      <c r="B2" s="2372"/>
      <c r="C2" s="2372"/>
      <c r="D2" s="2372"/>
      <c r="E2" s="2372"/>
      <c r="F2" s="2373"/>
      <c r="G2" s="1075"/>
      <c r="H2" s="1075"/>
    </row>
    <row r="3" spans="1:8" ht="57" customHeight="1" x14ac:dyDescent="0.2">
      <c r="A3" s="2374" t="s">
        <v>1785</v>
      </c>
      <c r="B3" s="2375"/>
      <c r="C3" s="2375"/>
      <c r="D3" s="2375"/>
      <c r="E3" s="2375"/>
      <c r="F3" s="2376"/>
      <c r="G3" s="1075"/>
      <c r="H3" s="1075"/>
    </row>
    <row r="4" spans="1:8" ht="14.25" customHeight="1" x14ac:dyDescent="0.2">
      <c r="A4" s="2380" t="s">
        <v>2052</v>
      </c>
      <c r="B4" s="2381"/>
      <c r="C4" s="2381"/>
      <c r="D4" s="2381"/>
      <c r="E4" s="2381"/>
      <c r="F4" s="2382"/>
      <c r="G4" s="1075"/>
      <c r="H4" s="1075"/>
    </row>
    <row r="5" spans="1:8" ht="14.25" customHeight="1" x14ac:dyDescent="0.2">
      <c r="A5" s="2383" t="s">
        <v>2053</v>
      </c>
      <c r="B5" s="2384"/>
      <c r="C5" s="2384"/>
      <c r="D5" s="2384"/>
      <c r="E5" s="2384"/>
      <c r="F5" s="2385"/>
      <c r="G5" s="1075"/>
      <c r="H5" s="1075"/>
    </row>
    <row r="6" spans="1:8" s="1076" customFormat="1" ht="41.25" customHeight="1" x14ac:dyDescent="0.2">
      <c r="A6" s="2377" t="s">
        <v>1791</v>
      </c>
      <c r="B6" s="2378"/>
      <c r="C6" s="2378"/>
      <c r="D6" s="2378"/>
      <c r="E6" s="2378"/>
      <c r="F6" s="2379"/>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72114794</v>
      </c>
      <c r="C8" s="1838">
        <f>'Acct Summary 7-8'!D8</f>
        <v>7208734</v>
      </c>
      <c r="D8" s="1838">
        <f>'Acct Summary 7-8'!F8</f>
        <v>5325325</v>
      </c>
      <c r="E8" s="1838">
        <f>'Acct Summary 7-8'!I8</f>
        <v>437309</v>
      </c>
      <c r="F8" s="1838">
        <f>SUM(B8:E8)</f>
        <v>85086162</v>
      </c>
    </row>
    <row r="9" spans="1:8" s="1080" customFormat="1" ht="14.25" customHeight="1" thickBot="1" x14ac:dyDescent="0.25">
      <c r="A9" s="1079" t="s">
        <v>1435</v>
      </c>
      <c r="B9" s="1839">
        <f>'Acct Summary 7-8'!C17</f>
        <v>66750942</v>
      </c>
      <c r="C9" s="1839">
        <f>'Acct Summary 7-8'!D17</f>
        <v>6798768</v>
      </c>
      <c r="D9" s="1839">
        <f>'Acct Summary 7-8'!F17</f>
        <v>4924855</v>
      </c>
      <c r="E9" s="1838"/>
      <c r="F9" s="1838">
        <f>SUM(B9:E9)</f>
        <v>78474565</v>
      </c>
    </row>
    <row r="10" spans="1:8" s="1080" customFormat="1" ht="14.25" thickTop="1" thickBot="1" x14ac:dyDescent="0.25">
      <c r="A10" s="1081" t="s">
        <v>1436</v>
      </c>
      <c r="B10" s="1840">
        <f>(B8-B9)</f>
        <v>5363852</v>
      </c>
      <c r="C10" s="1840">
        <f>(C8-C9)</f>
        <v>409966</v>
      </c>
      <c r="D10" s="1840">
        <f>(D8-D9)</f>
        <v>400470</v>
      </c>
      <c r="E10" s="1839">
        <f>(E8-E9)</f>
        <v>437309</v>
      </c>
      <c r="F10" s="1841">
        <f>SUM(F8-F9)</f>
        <v>6611597</v>
      </c>
    </row>
    <row r="11" spans="1:8" s="1080" customFormat="1" ht="14.25" thickTop="1" thickBot="1" x14ac:dyDescent="0.25">
      <c r="A11" s="1082" t="s">
        <v>1784</v>
      </c>
      <c r="B11" s="1842">
        <f>'Acct Summary 7-8'!C81</f>
        <v>45497769</v>
      </c>
      <c r="C11" s="1842">
        <f>'Acct Summary 7-8'!D81</f>
        <v>4417342</v>
      </c>
      <c r="D11" s="1842">
        <f>'Acct Summary 7-8'!F81</f>
        <v>4868426</v>
      </c>
      <c r="E11" s="1842">
        <f>'Acct Summary 7-8'!I81</f>
        <v>3304259</v>
      </c>
      <c r="F11" s="1843">
        <f>SUM(B11:E11)</f>
        <v>58087796</v>
      </c>
    </row>
    <row r="12" spans="1:8" ht="16.5" customHeight="1" thickTop="1" x14ac:dyDescent="0.2">
      <c r="A12" s="1083"/>
      <c r="B12" s="1084"/>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5"/>
      <c r="B13" s="1086"/>
      <c r="C13" s="2365"/>
      <c r="D13" s="2366"/>
      <c r="E13" s="2366"/>
      <c r="F13" s="2367"/>
      <c r="H13" s="1075"/>
    </row>
    <row r="14" spans="1:8" ht="19.5" customHeight="1" x14ac:dyDescent="0.2">
      <c r="A14" s="1085"/>
      <c r="B14" s="1086"/>
      <c r="C14" s="2365"/>
      <c r="D14" s="2366"/>
      <c r="E14" s="2366"/>
      <c r="F14" s="2367"/>
      <c r="H14" s="1075"/>
    </row>
    <row r="15" spans="1:8" ht="17.25" customHeight="1" x14ac:dyDescent="0.2">
      <c r="A15" s="1085"/>
      <c r="B15" s="1086"/>
      <c r="C15" s="2368"/>
      <c r="D15" s="2369"/>
      <c r="E15" s="2369"/>
      <c r="F15" s="2370"/>
      <c r="H15" s="1075"/>
    </row>
    <row r="16" spans="1:8" s="310" customFormat="1" ht="51.75" hidden="1" customHeight="1" x14ac:dyDescent="0.2">
      <c r="A16" s="2364" t="s">
        <v>1786</v>
      </c>
      <c r="B16" s="2364"/>
      <c r="C16" s="2364"/>
      <c r="D16" s="2364"/>
      <c r="E16" s="2364"/>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6" t="s">
        <v>685</v>
      </c>
      <c r="B3" s="2387"/>
      <c r="C3" s="2387"/>
      <c r="D3" s="2388"/>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7" t="s">
        <v>1583</v>
      </c>
      <c r="D7" s="2398"/>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9" t="s">
        <v>1064</v>
      </c>
      <c r="B15" s="2390"/>
      <c r="C15" s="2390"/>
      <c r="D15" s="2391"/>
    </row>
    <row r="16" spans="1:4" s="669" customFormat="1" ht="24" customHeight="1" x14ac:dyDescent="0.2">
      <c r="A16" s="2392" t="s">
        <v>683</v>
      </c>
      <c r="B16" s="2393"/>
      <c r="C16" s="2393"/>
      <c r="D16" s="2394"/>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01" t="s">
        <v>331</v>
      </c>
      <c r="D21" s="2402"/>
    </row>
    <row r="22" spans="1:10" ht="12.75" x14ac:dyDescent="0.2">
      <c r="A22" s="1140"/>
      <c r="B22" s="1141">
        <v>2</v>
      </c>
      <c r="C22" s="2399" t="s">
        <v>1604</v>
      </c>
      <c r="D22" s="2400"/>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3" t="s">
        <v>556</v>
      </c>
      <c r="D43" s="2404"/>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5" t="s">
        <v>816</v>
      </c>
      <c r="D56" s="2396"/>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95" t="s">
        <v>1796</v>
      </c>
      <c r="D70" s="2396"/>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44063200026</v>
      </c>
    </row>
    <row r="3" spans="1:2" x14ac:dyDescent="0.2">
      <c r="A3" t="s">
        <v>1012</v>
      </c>
      <c r="B3" s="138" t="str">
        <f>COVER!A15</f>
        <v>McHenry</v>
      </c>
    </row>
    <row r="4" spans="1:2" x14ac:dyDescent="0.2">
      <c r="A4" t="s">
        <v>1063</v>
      </c>
      <c r="B4" s="138" t="str">
        <f>COVER!A17</f>
        <v>Woodstock CUSD 200</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060-003973</v>
      </c>
    </row>
    <row r="16" spans="1:2" x14ac:dyDescent="0.2">
      <c r="A16" t="s">
        <v>441</v>
      </c>
      <c r="B16" s="138" t="str">
        <f>COVER!T13</f>
        <v>Evans, Marshall and Pease, PC</v>
      </c>
    </row>
    <row r="17" spans="1:2" x14ac:dyDescent="0.2">
      <c r="A17" t="s">
        <v>938</v>
      </c>
      <c r="B17" s="138" t="str">
        <f>COVER!T15</f>
        <v>Jeffery M. Rollefson, CPA</v>
      </c>
    </row>
    <row r="18" spans="1:2" x14ac:dyDescent="0.2">
      <c r="A18" t="s">
        <v>1211</v>
      </c>
      <c r="B18" s="138" t="str">
        <f>COVER!T17</f>
        <v>1875 Hicks Road</v>
      </c>
    </row>
    <row r="19" spans="1:2" x14ac:dyDescent="0.2">
      <c r="A19" t="s">
        <v>940</v>
      </c>
      <c r="B19" s="138" t="str">
        <f>COVER!T25</f>
        <v>jeff@empcpa.com</v>
      </c>
    </row>
    <row r="20" spans="1:2" x14ac:dyDescent="0.2">
      <c r="A20" t="s">
        <v>941</v>
      </c>
      <c r="B20" s="138" t="str">
        <f>COVER!T19</f>
        <v>Rolling Meadows</v>
      </c>
    </row>
    <row r="21" spans="1:2" x14ac:dyDescent="0.2">
      <c r="A21" t="s">
        <v>499</v>
      </c>
      <c r="B21" s="138" t="str">
        <f>COVER!X19</f>
        <v>IL</v>
      </c>
    </row>
    <row r="22" spans="1:2" x14ac:dyDescent="0.2">
      <c r="A22" t="s">
        <v>942</v>
      </c>
      <c r="B22" s="138">
        <f>COVER!Z19</f>
        <v>60008</v>
      </c>
    </row>
    <row r="23" spans="1:2" x14ac:dyDescent="0.2">
      <c r="A23" t="s">
        <v>1213</v>
      </c>
      <c r="B23" s="138" t="str">
        <f>COVER!T21</f>
        <v>847-221-5700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43653122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166748</v>
      </c>
      <c r="D76" s="2" t="str">
        <f t="shared" si="0"/>
        <v>Error?</v>
      </c>
    </row>
    <row r="77" spans="1:4" x14ac:dyDescent="0.2">
      <c r="A77" s="5">
        <v>16</v>
      </c>
      <c r="B77" s="138">
        <f>'Assets-Liab 5-6'!C13</f>
        <v>45497769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45497769</v>
      </c>
      <c r="D92" s="2" t="str">
        <f t="shared" si="0"/>
        <v>Error?</v>
      </c>
    </row>
    <row r="93" spans="1:4" x14ac:dyDescent="0.2">
      <c r="A93" s="5">
        <v>32</v>
      </c>
      <c r="B93" s="138">
        <f>'Assets-Liab 5-6'!C41</f>
        <v>45497769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4417342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4417342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4417342</v>
      </c>
      <c r="D123" s="2" t="str">
        <f t="shared" si="0"/>
        <v>Error?</v>
      </c>
    </row>
    <row r="124" spans="1:4" x14ac:dyDescent="0.2">
      <c r="A124" s="5">
        <v>63</v>
      </c>
      <c r="B124" s="138">
        <f>'Assets-Liab 5-6'!D41</f>
        <v>4417342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5369670</v>
      </c>
      <c r="D129" s="2" t="str">
        <f t="shared" si="1"/>
        <v>Error?</v>
      </c>
    </row>
    <row r="130" spans="1:4" x14ac:dyDescent="0.2">
      <c r="A130" s="5">
        <v>69</v>
      </c>
      <c r="B130" s="138">
        <f>'Assets-Liab 5-6'!E12</f>
        <v>0</v>
      </c>
      <c r="D130" s="2" t="str">
        <f t="shared" si="1"/>
        <v>Error?</v>
      </c>
    </row>
    <row r="131" spans="1:4" x14ac:dyDescent="0.2">
      <c r="A131" s="5">
        <v>70</v>
      </c>
      <c r="B131" s="138">
        <f>'Assets-Liab 5-6'!E13</f>
        <v>5369670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5369670</v>
      </c>
      <c r="D140" s="2" t="str">
        <f t="shared" si="1"/>
        <v>Error?</v>
      </c>
    </row>
    <row r="141" spans="1:4" x14ac:dyDescent="0.2">
      <c r="A141" s="5">
        <v>80</v>
      </c>
      <c r="B141" s="138">
        <f>'Assets-Liab 5-6'!E41</f>
        <v>5369670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4868426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4868426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4868426</v>
      </c>
      <c r="D170" s="2" t="str">
        <f t="shared" si="1"/>
        <v>Error?</v>
      </c>
    </row>
    <row r="171" spans="1:4" x14ac:dyDescent="0.2">
      <c r="A171" s="5">
        <v>110</v>
      </c>
      <c r="B171" s="138">
        <f>'Assets-Liab 5-6'!F41</f>
        <v>4868426</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2067655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2067655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2067655</v>
      </c>
      <c r="D189" s="2" t="str">
        <f t="shared" si="1"/>
        <v>Error?</v>
      </c>
    </row>
    <row r="190" spans="1:4" x14ac:dyDescent="0.2">
      <c r="A190" s="5">
        <v>129</v>
      </c>
      <c r="B190" s="138">
        <f>'Assets-Liab 5-6'!G41</f>
        <v>2067655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313779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313779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313779</v>
      </c>
      <c r="D212" s="2" t="str">
        <f t="shared" si="2"/>
        <v>Error?</v>
      </c>
    </row>
    <row r="213" spans="1:4" x14ac:dyDescent="0.2">
      <c r="A213" s="12">
        <v>152</v>
      </c>
      <c r="B213" s="138">
        <f>'Assets-Liab 5-6'!H41</f>
        <v>313779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6009087</v>
      </c>
      <c r="D273" s="2" t="str">
        <f t="shared" si="3"/>
        <v>Error?</v>
      </c>
    </row>
    <row r="274" spans="1:4" x14ac:dyDescent="0.2">
      <c r="A274" s="5">
        <v>213</v>
      </c>
      <c r="B274" s="138">
        <f>'Assets-Liab 5-6'!M17</f>
        <v>154899676</v>
      </c>
      <c r="D274" s="2" t="str">
        <f t="shared" si="3"/>
        <v>Error?</v>
      </c>
    </row>
    <row r="275" spans="1:4" x14ac:dyDescent="0.2">
      <c r="A275" s="5">
        <v>214</v>
      </c>
      <c r="B275" s="138">
        <f>'Assets-Liab 5-6'!M18</f>
        <v>10231021</v>
      </c>
      <c r="D275" s="2" t="str">
        <f t="shared" si="3"/>
        <v>Error?</v>
      </c>
    </row>
    <row r="276" spans="1:4" x14ac:dyDescent="0.2">
      <c r="A276" s="5">
        <v>215</v>
      </c>
      <c r="B276" s="138">
        <f>'Assets-Liab 5-6'!M19</f>
        <v>20584429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191817059</v>
      </c>
      <c r="C279" s="2" t="s">
        <v>593</v>
      </c>
      <c r="D279" s="2" t="str">
        <f t="shared" si="3"/>
        <v>Error?</v>
      </c>
    </row>
    <row r="280" spans="1:4" x14ac:dyDescent="0.2">
      <c r="A280" s="5">
        <v>219</v>
      </c>
      <c r="B280" s="138">
        <f>'Assets-Liab 5-6'!M40</f>
        <v>191817059</v>
      </c>
      <c r="D280" s="2" t="str">
        <f t="shared" si="3"/>
        <v>Error?</v>
      </c>
    </row>
    <row r="281" spans="1:4" x14ac:dyDescent="0.2">
      <c r="A281" s="5">
        <v>220</v>
      </c>
      <c r="B281" s="138">
        <f>'Assets-Liab 5-6'!M41</f>
        <v>191817059</v>
      </c>
      <c r="C281" s="2" t="s">
        <v>593</v>
      </c>
      <c r="D281" s="2" t="str">
        <f t="shared" si="3"/>
        <v>Error?</v>
      </c>
    </row>
    <row r="282" spans="1:4" x14ac:dyDescent="0.2">
      <c r="A282" s="5">
        <v>221</v>
      </c>
      <c r="B282" s="138">
        <f>'Assets-Liab 5-6'!N21</f>
        <v>5369670</v>
      </c>
      <c r="D282" s="2" t="str">
        <f t="shared" si="3"/>
        <v>Error?</v>
      </c>
    </row>
    <row r="283" spans="1:4" x14ac:dyDescent="0.2">
      <c r="A283" s="5">
        <v>222</v>
      </c>
      <c r="B283" s="138">
        <f>'Assets-Liab 5-6'!N22</f>
        <v>95767270</v>
      </c>
      <c r="D283" s="2" t="str">
        <f t="shared" si="3"/>
        <v>Error?</v>
      </c>
    </row>
    <row r="284" spans="1:4" x14ac:dyDescent="0.2">
      <c r="A284" s="5">
        <v>223</v>
      </c>
      <c r="B284" s="138">
        <f>'Assets-Liab 5-6'!N23</f>
        <v>101136940</v>
      </c>
      <c r="C284" s="2" t="s">
        <v>593</v>
      </c>
      <c r="D284" s="2" t="str">
        <f t="shared" si="3"/>
        <v>Error?</v>
      </c>
    </row>
    <row r="285" spans="1:4" x14ac:dyDescent="0.2">
      <c r="A285" s="5">
        <v>224</v>
      </c>
      <c r="B285" s="138">
        <f>'Assets-Liab 5-6'!N36</f>
        <v>101136940</v>
      </c>
      <c r="D285" s="2" t="str">
        <f t="shared" si="3"/>
        <v>Error?</v>
      </c>
    </row>
    <row r="286" spans="1:4" x14ac:dyDescent="0.2">
      <c r="A286" s="10">
        <v>225</v>
      </c>
      <c r="D286" s="2" t="str">
        <f t="shared" si="3"/>
        <v>OK</v>
      </c>
    </row>
    <row r="287" spans="1:4" x14ac:dyDescent="0.2">
      <c r="A287" s="5">
        <v>226</v>
      </c>
      <c r="B287" s="138">
        <f>'Assets-Liab 5-6'!N37</f>
        <v>101136940</v>
      </c>
      <c r="C287" s="2" t="s">
        <v>593</v>
      </c>
      <c r="D287" s="2" t="str">
        <f t="shared" si="3"/>
        <v>Error?</v>
      </c>
    </row>
    <row r="288" spans="1:4" x14ac:dyDescent="0.2">
      <c r="A288" s="5">
        <v>227</v>
      </c>
      <c r="B288" s="138">
        <f>'Assets-Liab 5-6'!N41</f>
        <v>101136940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16469356</v>
      </c>
      <c r="D705" s="2" t="str">
        <f t="shared" si="10"/>
        <v>Error?</v>
      </c>
    </row>
    <row r="706" spans="1:4" x14ac:dyDescent="0.2">
      <c r="A706" s="5">
        <v>645</v>
      </c>
      <c r="B706" s="138">
        <f>'Expenditures 15-22'!C16</f>
        <v>230948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3912500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971204</v>
      </c>
      <c r="D717" s="2" t="str">
        <f t="shared" si="10"/>
        <v>Error?</v>
      </c>
    </row>
    <row r="718" spans="1:4" x14ac:dyDescent="0.2">
      <c r="A718" s="5">
        <v>657</v>
      </c>
      <c r="B718" s="138">
        <f>'Expenditures 15-22'!C14</f>
        <v>1569087</v>
      </c>
      <c r="D718" s="2" t="str">
        <f t="shared" si="10"/>
        <v>Error?</v>
      </c>
    </row>
    <row r="719" spans="1:4" x14ac:dyDescent="0.2">
      <c r="A719" s="5">
        <v>658</v>
      </c>
      <c r="B719" s="138">
        <f>'Expenditures 15-22'!C15</f>
        <v>262931</v>
      </c>
      <c r="D719" s="2" t="str">
        <f t="shared" si="10"/>
        <v>Error?</v>
      </c>
    </row>
    <row r="720" spans="1:4" x14ac:dyDescent="0.2">
      <c r="A720" s="5">
        <v>659</v>
      </c>
      <c r="B720" s="138">
        <f>'Expenditures 15-22'!C33</f>
        <v>32107233</v>
      </c>
      <c r="C720" s="2" t="s">
        <v>593</v>
      </c>
      <c r="D720" s="2" t="str">
        <f t="shared" si="10"/>
        <v>Error?</v>
      </c>
    </row>
    <row r="721" spans="1:4" x14ac:dyDescent="0.2">
      <c r="A721" s="5">
        <v>660</v>
      </c>
      <c r="B721" s="138">
        <f>'Expenditures 15-22'!C36</f>
        <v>929953</v>
      </c>
      <c r="D721" s="2" t="str">
        <f t="shared" si="10"/>
        <v>Error?</v>
      </c>
    </row>
    <row r="722" spans="1:4" x14ac:dyDescent="0.2">
      <c r="A722" s="5">
        <v>661</v>
      </c>
      <c r="B722" s="138">
        <f>'Expenditures 15-22'!C37</f>
        <v>700959</v>
      </c>
      <c r="D722" s="2" t="str">
        <f t="shared" si="10"/>
        <v>Error?</v>
      </c>
    </row>
    <row r="723" spans="1:4" x14ac:dyDescent="0.2">
      <c r="A723" s="5">
        <v>662</v>
      </c>
      <c r="B723" s="138">
        <f>'Expenditures 15-22'!C38</f>
        <v>1633508</v>
      </c>
      <c r="D723" s="2" t="str">
        <f t="shared" si="10"/>
        <v>Error?</v>
      </c>
    </row>
    <row r="724" spans="1:4" x14ac:dyDescent="0.2">
      <c r="A724" s="5">
        <v>663</v>
      </c>
      <c r="B724" s="138">
        <f>'Expenditures 15-22'!C39</f>
        <v>404721</v>
      </c>
      <c r="D724" s="2" t="str">
        <f t="shared" si="10"/>
        <v>Error?</v>
      </c>
    </row>
    <row r="725" spans="1:4" x14ac:dyDescent="0.2">
      <c r="A725" s="5">
        <v>664</v>
      </c>
      <c r="B725" s="138">
        <f>'Expenditures 15-22'!C40</f>
        <v>1203688</v>
      </c>
      <c r="D725" s="2" t="str">
        <f t="shared" si="10"/>
        <v>Error?</v>
      </c>
    </row>
    <row r="726" spans="1:4" x14ac:dyDescent="0.2">
      <c r="A726" s="5">
        <v>665</v>
      </c>
      <c r="B726" s="138">
        <f>'Expenditures 15-22'!C41</f>
        <v>45584</v>
      </c>
      <c r="D726" s="2" t="str">
        <f t="shared" si="10"/>
        <v>Error?</v>
      </c>
    </row>
    <row r="727" spans="1:4" x14ac:dyDescent="0.2">
      <c r="A727" s="5">
        <v>666</v>
      </c>
      <c r="B727" s="138">
        <f>'Expenditures 15-22'!C42</f>
        <v>4918413</v>
      </c>
      <c r="C727" s="2" t="s">
        <v>593</v>
      </c>
      <c r="D727" s="2" t="str">
        <f t="shared" si="10"/>
        <v>Error?</v>
      </c>
    </row>
    <row r="728" spans="1:4" x14ac:dyDescent="0.2">
      <c r="A728" s="5">
        <v>667</v>
      </c>
      <c r="B728" s="138">
        <f>'Expenditures 15-22'!C44</f>
        <v>1248586</v>
      </c>
      <c r="D728" s="2" t="str">
        <f t="shared" si="10"/>
        <v>Error?</v>
      </c>
    </row>
    <row r="729" spans="1:4" x14ac:dyDescent="0.2">
      <c r="A729" s="5">
        <v>668</v>
      </c>
      <c r="B729" s="138">
        <f>'Expenditures 15-22'!C45</f>
        <v>781072</v>
      </c>
      <c r="D729" s="2" t="str">
        <f t="shared" si="10"/>
        <v>Error?</v>
      </c>
    </row>
    <row r="730" spans="1:4" x14ac:dyDescent="0.2">
      <c r="A730" s="5">
        <v>669</v>
      </c>
      <c r="B730" s="138">
        <f>'Expenditures 15-22'!C46</f>
        <v>62714</v>
      </c>
      <c r="D730" s="2" t="str">
        <f t="shared" si="10"/>
        <v>Error?</v>
      </c>
    </row>
    <row r="731" spans="1:4" x14ac:dyDescent="0.2">
      <c r="A731" s="5">
        <v>670</v>
      </c>
      <c r="B731" s="138">
        <f>'Expenditures 15-22'!C47</f>
        <v>2092372</v>
      </c>
      <c r="C731" s="2" t="s">
        <v>593</v>
      </c>
      <c r="D731" s="2" t="str">
        <f t="shared" si="10"/>
        <v>Error?</v>
      </c>
    </row>
    <row r="732" spans="1:4" x14ac:dyDescent="0.2">
      <c r="A732" s="5">
        <v>671</v>
      </c>
      <c r="B732" s="138">
        <f>'Expenditures 15-22'!C49</f>
        <v>172013</v>
      </c>
      <c r="D732" s="2" t="str">
        <f t="shared" si="10"/>
        <v>Error?</v>
      </c>
    </row>
    <row r="733" spans="1:4" x14ac:dyDescent="0.2">
      <c r="A733" s="5">
        <v>672</v>
      </c>
      <c r="B733" s="138">
        <f>'Expenditures 15-22'!C50</f>
        <v>253744</v>
      </c>
      <c r="D733" s="2" t="str">
        <f t="shared" si="10"/>
        <v>Error?</v>
      </c>
    </row>
    <row r="734" spans="1:4" x14ac:dyDescent="0.2">
      <c r="A734" s="5">
        <v>673</v>
      </c>
      <c r="B734" s="138">
        <f>'Expenditures 15-22'!C53</f>
        <v>448583</v>
      </c>
      <c r="C734" s="2" t="s">
        <v>593</v>
      </c>
      <c r="D734" s="2" t="str">
        <f t="shared" si="10"/>
        <v>Error?</v>
      </c>
    </row>
    <row r="735" spans="1:4" x14ac:dyDescent="0.2">
      <c r="A735" s="5">
        <v>674</v>
      </c>
      <c r="B735" s="138">
        <f>'Expenditures 15-22'!C55</f>
        <v>3119807</v>
      </c>
      <c r="D735" s="2" t="str">
        <f t="shared" si="10"/>
        <v>Error?</v>
      </c>
    </row>
    <row r="736" spans="1:4" x14ac:dyDescent="0.2">
      <c r="A736" s="5">
        <v>675</v>
      </c>
      <c r="B736" s="138">
        <f>'Expenditures 15-22'!C56</f>
        <v>101034</v>
      </c>
      <c r="D736" s="2" t="str">
        <f t="shared" si="10"/>
        <v>Error?</v>
      </c>
    </row>
    <row r="737" spans="1:4" x14ac:dyDescent="0.2">
      <c r="A737" s="5">
        <v>676</v>
      </c>
      <c r="B737" s="138">
        <f>'Expenditures 15-22'!C57</f>
        <v>3220841</v>
      </c>
      <c r="C737" s="2" t="s">
        <v>593</v>
      </c>
      <c r="D737" s="2" t="str">
        <f t="shared" si="10"/>
        <v>Error?</v>
      </c>
    </row>
    <row r="738" spans="1:4" x14ac:dyDescent="0.2">
      <c r="A738" s="5">
        <v>677</v>
      </c>
      <c r="B738" s="138">
        <f>'Expenditures 15-22'!C59</f>
        <v>154443</v>
      </c>
      <c r="D738" s="2" t="str">
        <f t="shared" si="10"/>
        <v>Error?</v>
      </c>
    </row>
    <row r="739" spans="1:4" x14ac:dyDescent="0.2">
      <c r="A739" s="5">
        <v>678</v>
      </c>
      <c r="B739" s="138">
        <f>'Expenditures 15-22'!C60</f>
        <v>343622</v>
      </c>
      <c r="D739" s="2" t="str">
        <f t="shared" si="10"/>
        <v>Error?</v>
      </c>
    </row>
    <row r="740" spans="1:4" x14ac:dyDescent="0.2">
      <c r="A740" s="5">
        <v>679</v>
      </c>
      <c r="B740" s="138">
        <f>'Expenditures 15-22'!C61</f>
        <v>49160</v>
      </c>
      <c r="D740" s="2" t="str">
        <f t="shared" si="10"/>
        <v>Error?</v>
      </c>
    </row>
    <row r="741" spans="1:4" x14ac:dyDescent="0.2">
      <c r="A741" s="5">
        <v>680</v>
      </c>
      <c r="B741" s="138">
        <f>'Expenditures 15-22'!C62</f>
        <v>36521</v>
      </c>
      <c r="D741" s="2" t="str">
        <f t="shared" si="10"/>
        <v>Error?</v>
      </c>
    </row>
    <row r="742" spans="1:4" x14ac:dyDescent="0.2">
      <c r="A742" s="5">
        <v>681</v>
      </c>
      <c r="B742" s="138">
        <f>'Expenditures 15-22'!C63</f>
        <v>1126440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1710186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156042</v>
      </c>
      <c r="D748" s="2" t="str">
        <f t="shared" si="10"/>
        <v>Error?</v>
      </c>
    </row>
    <row r="749" spans="1:4" x14ac:dyDescent="0.2">
      <c r="A749" s="5">
        <v>688</v>
      </c>
      <c r="B749" s="138">
        <f>'Expenditures 15-22'!C70</f>
        <v>463871</v>
      </c>
      <c r="D749" s="2" t="str">
        <f t="shared" si="10"/>
        <v>Error?</v>
      </c>
    </row>
    <row r="750" spans="1:4" x14ac:dyDescent="0.2">
      <c r="A750" s="10">
        <v>689</v>
      </c>
      <c r="D750" s="2" t="str">
        <f t="shared" si="10"/>
        <v>OK</v>
      </c>
    </row>
    <row r="751" spans="1:4" x14ac:dyDescent="0.2">
      <c r="A751" s="5">
        <v>690</v>
      </c>
      <c r="B751" s="138">
        <f>'Expenditures 15-22'!C71</f>
        <v>573659</v>
      </c>
      <c r="D751" s="2" t="str">
        <f t="shared" si="10"/>
        <v>Error?</v>
      </c>
    </row>
    <row r="752" spans="1:4" x14ac:dyDescent="0.2">
      <c r="A752" s="10">
        <v>691</v>
      </c>
      <c r="D752" s="2" t="str">
        <f t="shared" si="10"/>
        <v>OK</v>
      </c>
    </row>
    <row r="753" spans="1:4" x14ac:dyDescent="0.2">
      <c r="A753" s="5">
        <v>692</v>
      </c>
      <c r="B753" s="138">
        <f>'Expenditures 15-22'!C72</f>
        <v>1193572</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13583967</v>
      </c>
      <c r="C755" s="2" t="s">
        <v>593</v>
      </c>
      <c r="D755" s="2" t="str">
        <f t="shared" si="10"/>
        <v>Error?</v>
      </c>
    </row>
    <row r="756" spans="1:4" x14ac:dyDescent="0.2">
      <c r="A756" s="5">
        <v>695</v>
      </c>
      <c r="B756" s="138">
        <f>'Expenditures 15-22'!C75</f>
        <v>397542</v>
      </c>
      <c r="D756" s="2" t="str">
        <f t="shared" si="10"/>
        <v>Error?</v>
      </c>
    </row>
    <row r="757" spans="1:4" x14ac:dyDescent="0.2">
      <c r="A757" s="5">
        <v>696</v>
      </c>
      <c r="B757" s="138">
        <f>'Expenditures 15-22'!C114</f>
        <v>46088742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5298496</v>
      </c>
      <c r="D763" s="2" t="str">
        <f t="shared" si="10"/>
        <v>Error?</v>
      </c>
    </row>
    <row r="764" spans="1:4" x14ac:dyDescent="0.2">
      <c r="A764" s="5">
        <v>703</v>
      </c>
      <c r="B764" s="138">
        <f>'Expenditures 15-22'!D16</f>
        <v>87029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1243551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269995</v>
      </c>
      <c r="D775" s="2" t="str">
        <f t="shared" si="11"/>
        <v>Error?</v>
      </c>
    </row>
    <row r="776" spans="1:4" x14ac:dyDescent="0.2">
      <c r="A776" s="5">
        <v>715</v>
      </c>
      <c r="B776" s="138">
        <f>'Expenditures 15-22'!D14</f>
        <v>133477</v>
      </c>
      <c r="D776" s="2" t="str">
        <f t="shared" si="11"/>
        <v>Error?</v>
      </c>
    </row>
    <row r="777" spans="1:4" x14ac:dyDescent="0.2">
      <c r="A777" s="5">
        <v>716</v>
      </c>
      <c r="B777" s="138">
        <f>'Expenditures 15-22'!D15</f>
        <v>6418</v>
      </c>
      <c r="D777" s="2" t="str">
        <f t="shared" si="11"/>
        <v>Error?</v>
      </c>
    </row>
    <row r="778" spans="1:4" x14ac:dyDescent="0.2">
      <c r="A778" s="5">
        <v>717</v>
      </c>
      <c r="B778" s="138">
        <f>'Expenditures 15-22'!D33</f>
        <v>9383591</v>
      </c>
      <c r="C778" s="2" t="s">
        <v>593</v>
      </c>
      <c r="D778" s="2" t="str">
        <f t="shared" si="11"/>
        <v>Error?</v>
      </c>
    </row>
    <row r="779" spans="1:4" x14ac:dyDescent="0.2">
      <c r="A779" s="5">
        <v>718</v>
      </c>
      <c r="B779" s="138">
        <f>'Expenditures 15-22'!D36</f>
        <v>267443</v>
      </c>
      <c r="D779" s="2" t="str">
        <f t="shared" si="11"/>
        <v>Error?</v>
      </c>
    </row>
    <row r="780" spans="1:4" x14ac:dyDescent="0.2">
      <c r="A780" s="5">
        <v>719</v>
      </c>
      <c r="B780" s="138">
        <f>'Expenditures 15-22'!D37</f>
        <v>176593</v>
      </c>
      <c r="D780" s="2" t="str">
        <f t="shared" si="11"/>
        <v>Error?</v>
      </c>
    </row>
    <row r="781" spans="1:4" x14ac:dyDescent="0.2">
      <c r="A781" s="5">
        <v>720</v>
      </c>
      <c r="B781" s="138">
        <f>'Expenditures 15-22'!D38</f>
        <v>332084</v>
      </c>
      <c r="D781" s="2" t="str">
        <f t="shared" si="11"/>
        <v>Error?</v>
      </c>
    </row>
    <row r="782" spans="1:4" x14ac:dyDescent="0.2">
      <c r="A782" s="5">
        <v>721</v>
      </c>
      <c r="B782" s="138">
        <f>'Expenditures 15-22'!D39</f>
        <v>115711</v>
      </c>
      <c r="D782" s="2" t="str">
        <f t="shared" si="11"/>
        <v>Error?</v>
      </c>
    </row>
    <row r="783" spans="1:4" x14ac:dyDescent="0.2">
      <c r="A783" s="5">
        <v>722</v>
      </c>
      <c r="B783" s="138">
        <f>'Expenditures 15-22'!D40</f>
        <v>389578</v>
      </c>
      <c r="D783" s="2" t="str">
        <f t="shared" si="11"/>
        <v>Error?</v>
      </c>
    </row>
    <row r="784" spans="1:4" x14ac:dyDescent="0.2">
      <c r="A784" s="5">
        <v>723</v>
      </c>
      <c r="B784" s="138">
        <f>'Expenditures 15-22'!D41</f>
        <v>1235</v>
      </c>
      <c r="D784" s="2" t="str">
        <f t="shared" si="11"/>
        <v>Error?</v>
      </c>
    </row>
    <row r="785" spans="1:4" x14ac:dyDescent="0.2">
      <c r="A785" s="5">
        <v>724</v>
      </c>
      <c r="B785" s="138">
        <f>'Expenditures 15-22'!D42</f>
        <v>1282644</v>
      </c>
      <c r="C785" s="2" t="s">
        <v>593</v>
      </c>
      <c r="D785" s="2" t="str">
        <f t="shared" si="11"/>
        <v>Error?</v>
      </c>
    </row>
    <row r="786" spans="1:4" x14ac:dyDescent="0.2">
      <c r="A786" s="5">
        <v>725</v>
      </c>
      <c r="B786" s="138">
        <f>'Expenditures 15-22'!D44</f>
        <v>434804</v>
      </c>
      <c r="D786" s="2" t="str">
        <f t="shared" si="11"/>
        <v>Error?</v>
      </c>
    </row>
    <row r="787" spans="1:4" x14ac:dyDescent="0.2">
      <c r="A787" s="5">
        <v>726</v>
      </c>
      <c r="B787" s="138">
        <f>'Expenditures 15-22'!D45</f>
        <v>293495</v>
      </c>
      <c r="D787" s="2" t="str">
        <f t="shared" si="11"/>
        <v>Error?</v>
      </c>
    </row>
    <row r="788" spans="1:4" x14ac:dyDescent="0.2">
      <c r="A788" s="5">
        <v>727</v>
      </c>
      <c r="B788" s="138">
        <f>'Expenditures 15-22'!D46</f>
        <v>13350</v>
      </c>
      <c r="D788" s="2" t="str">
        <f t="shared" si="11"/>
        <v>Error?</v>
      </c>
    </row>
    <row r="789" spans="1:4" x14ac:dyDescent="0.2">
      <c r="A789" s="5">
        <v>728</v>
      </c>
      <c r="B789" s="138">
        <f>'Expenditures 15-22'!D47</f>
        <v>741649</v>
      </c>
      <c r="C789" s="2" t="s">
        <v>593</v>
      </c>
      <c r="D789" s="2" t="str">
        <f t="shared" si="11"/>
        <v>Error?</v>
      </c>
    </row>
    <row r="790" spans="1:4" x14ac:dyDescent="0.2">
      <c r="A790" s="5">
        <v>729</v>
      </c>
      <c r="B790" s="138">
        <f>'Expenditures 15-22'!D49</f>
        <v>43759</v>
      </c>
      <c r="D790" s="2" t="str">
        <f t="shared" si="11"/>
        <v>Error?</v>
      </c>
    </row>
    <row r="791" spans="1:4" x14ac:dyDescent="0.2">
      <c r="A791" s="5">
        <v>730</v>
      </c>
      <c r="B791" s="138">
        <f>'Expenditures 15-22'!D50</f>
        <v>63836</v>
      </c>
      <c r="D791" s="2" t="str">
        <f t="shared" si="11"/>
        <v>Error?</v>
      </c>
    </row>
    <row r="792" spans="1:4" x14ac:dyDescent="0.2">
      <c r="A792" s="5">
        <v>731</v>
      </c>
      <c r="B792" s="138">
        <f>'Expenditures 15-22'!D53</f>
        <v>112336</v>
      </c>
      <c r="C792" s="2" t="s">
        <v>593</v>
      </c>
      <c r="D792" s="2" t="str">
        <f t="shared" si="11"/>
        <v>Error?</v>
      </c>
    </row>
    <row r="793" spans="1:4" x14ac:dyDescent="0.2">
      <c r="A793" s="5">
        <v>732</v>
      </c>
      <c r="B793" s="138">
        <f>'Expenditures 15-22'!D55</f>
        <v>911951</v>
      </c>
      <c r="D793" s="2" t="str">
        <f t="shared" si="11"/>
        <v>Error?</v>
      </c>
    </row>
    <row r="794" spans="1:4" x14ac:dyDescent="0.2">
      <c r="A794" s="5">
        <v>733</v>
      </c>
      <c r="B794" s="138">
        <f>'Expenditures 15-22'!D56</f>
        <v>34302</v>
      </c>
      <c r="D794" s="2" t="str">
        <f t="shared" si="11"/>
        <v>Error?</v>
      </c>
    </row>
    <row r="795" spans="1:4" x14ac:dyDescent="0.2">
      <c r="A795" s="5">
        <v>734</v>
      </c>
      <c r="B795" s="138">
        <f>'Expenditures 15-22'!D57</f>
        <v>946253</v>
      </c>
      <c r="C795" s="2" t="s">
        <v>593</v>
      </c>
      <c r="D795" s="2" t="str">
        <f t="shared" si="11"/>
        <v>Error?</v>
      </c>
    </row>
    <row r="796" spans="1:4" x14ac:dyDescent="0.2">
      <c r="A796" s="5">
        <v>735</v>
      </c>
      <c r="B796" s="138">
        <f>'Expenditures 15-22'!D59</f>
        <v>32305</v>
      </c>
      <c r="D796" s="2" t="str">
        <f t="shared" si="11"/>
        <v>Error?</v>
      </c>
    </row>
    <row r="797" spans="1:4" x14ac:dyDescent="0.2">
      <c r="A797" s="5">
        <v>736</v>
      </c>
      <c r="B797" s="138">
        <f>'Expenditures 15-22'!D60</f>
        <v>103994</v>
      </c>
      <c r="D797" s="2" t="str">
        <f t="shared" si="11"/>
        <v>Error?</v>
      </c>
    </row>
    <row r="798" spans="1:4" x14ac:dyDescent="0.2">
      <c r="A798" s="5">
        <v>737</v>
      </c>
      <c r="B798" s="138">
        <f>'Expenditures 15-22'!D61</f>
        <v>26041</v>
      </c>
      <c r="D798" s="2" t="str">
        <f t="shared" si="11"/>
        <v>Error?</v>
      </c>
    </row>
    <row r="799" spans="1:4" x14ac:dyDescent="0.2">
      <c r="A799" s="5">
        <v>738</v>
      </c>
      <c r="B799" s="138">
        <f>'Expenditures 15-22'!D62</f>
        <v>3295</v>
      </c>
      <c r="D799" s="2" t="str">
        <f t="shared" si="11"/>
        <v>Error?</v>
      </c>
    </row>
    <row r="800" spans="1:4" x14ac:dyDescent="0.2">
      <c r="A800" s="5">
        <v>739</v>
      </c>
      <c r="B800" s="138">
        <f>'Expenditures 15-22'!D63</f>
        <v>325118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490753</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18316</v>
      </c>
      <c r="D806" s="2" t="str">
        <f t="shared" si="11"/>
        <v>Error?</v>
      </c>
    </row>
    <row r="807" spans="1:4" x14ac:dyDescent="0.2">
      <c r="A807" s="5">
        <v>746</v>
      </c>
      <c r="B807" s="138">
        <f>'Expenditures 15-22'!D70</f>
        <v>101952</v>
      </c>
      <c r="D807" s="2" t="str">
        <f t="shared" si="11"/>
        <v>Error?</v>
      </c>
    </row>
    <row r="808" spans="1:4" x14ac:dyDescent="0.2">
      <c r="A808" s="10">
        <v>747</v>
      </c>
      <c r="D808" s="2" t="str">
        <f t="shared" si="11"/>
        <v>OK</v>
      </c>
    </row>
    <row r="809" spans="1:4" x14ac:dyDescent="0.2">
      <c r="A809" s="5">
        <v>748</v>
      </c>
      <c r="B809" s="138">
        <f>'Expenditures 15-22'!D71</f>
        <v>100959</v>
      </c>
      <c r="D809" s="2" t="str">
        <f t="shared" si="11"/>
        <v>Error?</v>
      </c>
    </row>
    <row r="810" spans="1:4" x14ac:dyDescent="0.2">
      <c r="A810" s="10">
        <v>749</v>
      </c>
      <c r="D810" s="2" t="str">
        <f t="shared" si="11"/>
        <v>OK</v>
      </c>
    </row>
    <row r="811" spans="1:4" x14ac:dyDescent="0.2">
      <c r="A811" s="5">
        <v>750</v>
      </c>
      <c r="B811" s="138">
        <f>'Expenditures 15-22'!D72</f>
        <v>221227</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3794862</v>
      </c>
      <c r="C813" s="2" t="s">
        <v>593</v>
      </c>
      <c r="D813" s="2" t="str">
        <f t="shared" si="11"/>
        <v>Error?</v>
      </c>
    </row>
    <row r="814" spans="1:4" x14ac:dyDescent="0.2">
      <c r="A814" s="5">
        <v>753</v>
      </c>
      <c r="B814" s="138">
        <f>'Expenditures 15-22'!D75</f>
        <v>138076</v>
      </c>
      <c r="D814" s="2" t="str">
        <f t="shared" si="11"/>
        <v>Error?</v>
      </c>
    </row>
    <row r="815" spans="1:4" x14ac:dyDescent="0.2">
      <c r="A815" s="5">
        <v>754</v>
      </c>
      <c r="B815" s="138">
        <f>'Expenditures 15-22'!D114</f>
        <v>13316529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399880</v>
      </c>
      <c r="D821" s="2" t="str">
        <f t="shared" si="11"/>
        <v>Error?</v>
      </c>
    </row>
    <row r="822" spans="1:4" x14ac:dyDescent="0.2">
      <c r="A822" s="5">
        <v>761</v>
      </c>
      <c r="B822" s="138">
        <f>'Expenditures 15-22'!E16</f>
        <v>3665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2974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5281</v>
      </c>
      <c r="D833" s="2" t="str">
        <f t="shared" si="12"/>
        <v>Error?</v>
      </c>
    </row>
    <row r="834" spans="1:4" x14ac:dyDescent="0.2">
      <c r="A834" s="5">
        <v>773</v>
      </c>
      <c r="B834" s="138">
        <f>'Expenditures 15-22'!E14</f>
        <v>165595</v>
      </c>
      <c r="D834" s="2" t="str">
        <f t="shared" si="12"/>
        <v>Error?</v>
      </c>
    </row>
    <row r="835" spans="1:4" x14ac:dyDescent="0.2">
      <c r="A835" s="5">
        <v>774</v>
      </c>
      <c r="B835" s="138">
        <f>'Expenditures 15-22'!E15</f>
        <v>113</v>
      </c>
      <c r="D835" s="2" t="str">
        <f t="shared" si="12"/>
        <v>Error?</v>
      </c>
    </row>
    <row r="836" spans="1:4" x14ac:dyDescent="0.2">
      <c r="A836" s="5">
        <v>775</v>
      </c>
      <c r="B836" s="138">
        <f>'Expenditures 15-22'!E33</f>
        <v>780442</v>
      </c>
      <c r="C836" s="2" t="s">
        <v>593</v>
      </c>
      <c r="D836" s="2" t="str">
        <f t="shared" si="12"/>
        <v>Error?</v>
      </c>
    </row>
    <row r="837" spans="1:4" x14ac:dyDescent="0.2">
      <c r="A837" s="5">
        <v>776</v>
      </c>
      <c r="B837" s="138">
        <f>'Expenditures 15-22'!E36</f>
        <v>504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4598</v>
      </c>
      <c r="D839" s="2" t="str">
        <f t="shared" si="12"/>
        <v>Error?</v>
      </c>
    </row>
    <row r="840" spans="1:4" x14ac:dyDescent="0.2">
      <c r="A840" s="5">
        <v>779</v>
      </c>
      <c r="B840" s="138">
        <f>'Expenditures 15-22'!E39</f>
        <v>6375</v>
      </c>
      <c r="D840" s="2" t="str">
        <f t="shared" si="12"/>
        <v>Error?</v>
      </c>
    </row>
    <row r="841" spans="1:4" x14ac:dyDescent="0.2">
      <c r="A841" s="5">
        <v>780</v>
      </c>
      <c r="B841" s="138">
        <f>'Expenditures 15-22'!E40</f>
        <v>48783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60260</v>
      </c>
      <c r="C843" s="2" t="s">
        <v>593</v>
      </c>
      <c r="D843" s="2" t="str">
        <f t="shared" si="12"/>
        <v>Error?</v>
      </c>
    </row>
    <row r="844" spans="1:4" x14ac:dyDescent="0.2">
      <c r="A844" s="5">
        <v>783</v>
      </c>
      <c r="B844" s="138">
        <f>'Expenditures 15-22'!E44</f>
        <v>189464</v>
      </c>
      <c r="D844" s="2" t="str">
        <f t="shared" si="12"/>
        <v>Error?</v>
      </c>
    </row>
    <row r="845" spans="1:4" x14ac:dyDescent="0.2">
      <c r="A845" s="5">
        <v>784</v>
      </c>
      <c r="B845" s="138">
        <f>'Expenditures 15-22'!E45</f>
        <v>5036</v>
      </c>
      <c r="D845" s="2" t="str">
        <f t="shared" si="12"/>
        <v>Error?</v>
      </c>
    </row>
    <row r="846" spans="1:4" x14ac:dyDescent="0.2">
      <c r="A846" s="5">
        <v>785</v>
      </c>
      <c r="B846" s="138">
        <f>'Expenditures 15-22'!E46</f>
        <v>61002</v>
      </c>
      <c r="D846" s="2" t="str">
        <f t="shared" si="12"/>
        <v>Error?</v>
      </c>
    </row>
    <row r="847" spans="1:4" x14ac:dyDescent="0.2">
      <c r="A847" s="5">
        <v>786</v>
      </c>
      <c r="B847" s="138">
        <f>'Expenditures 15-22'!E47</f>
        <v>255502</v>
      </c>
      <c r="C847" s="2" t="s">
        <v>593</v>
      </c>
      <c r="D847" s="2" t="str">
        <f t="shared" si="12"/>
        <v>Error?</v>
      </c>
    </row>
    <row r="848" spans="1:4" x14ac:dyDescent="0.2">
      <c r="A848" s="5">
        <v>787</v>
      </c>
      <c r="B848" s="138">
        <f>'Expenditures 15-22'!E49</f>
        <v>163192</v>
      </c>
      <c r="D848" s="2" t="str">
        <f t="shared" si="12"/>
        <v>Error?</v>
      </c>
    </row>
    <row r="849" spans="1:4" x14ac:dyDescent="0.2">
      <c r="A849" s="5">
        <v>788</v>
      </c>
      <c r="B849" s="138">
        <f>'Expenditures 15-22'!E50</f>
        <v>5061</v>
      </c>
      <c r="D849" s="2" t="str">
        <f t="shared" si="12"/>
        <v>Error?</v>
      </c>
    </row>
    <row r="850" spans="1:4" x14ac:dyDescent="0.2">
      <c r="A850" s="5">
        <v>789</v>
      </c>
      <c r="B850" s="138">
        <f>'Expenditures 15-22'!E53</f>
        <v>171370</v>
      </c>
      <c r="C850" s="2" t="s">
        <v>593</v>
      </c>
      <c r="D850" s="2" t="str">
        <f t="shared" si="12"/>
        <v>Error?</v>
      </c>
    </row>
    <row r="851" spans="1:4" x14ac:dyDescent="0.2">
      <c r="A851" s="5">
        <v>790</v>
      </c>
      <c r="B851" s="138">
        <f>'Expenditures 15-22'!E55</f>
        <v>7947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7947</v>
      </c>
      <c r="C853" s="2" t="s">
        <v>593</v>
      </c>
      <c r="D853" s="2" t="str">
        <f t="shared" si="12"/>
        <v>Error?</v>
      </c>
    </row>
    <row r="854" spans="1:4" x14ac:dyDescent="0.2">
      <c r="A854" s="5">
        <v>793</v>
      </c>
      <c r="B854" s="138">
        <f>'Expenditures 15-22'!E59</f>
        <v>1819</v>
      </c>
      <c r="D854" s="2" t="str">
        <f t="shared" si="12"/>
        <v>Error?</v>
      </c>
    </row>
    <row r="855" spans="1:4" x14ac:dyDescent="0.2">
      <c r="A855" s="5">
        <v>794</v>
      </c>
      <c r="B855" s="138">
        <f>'Expenditures 15-22'!E60</f>
        <v>225092</v>
      </c>
      <c r="D855" s="2" t="str">
        <f t="shared" si="12"/>
        <v>Error?</v>
      </c>
    </row>
    <row r="856" spans="1:4" x14ac:dyDescent="0.2">
      <c r="A856" s="5">
        <v>795</v>
      </c>
      <c r="B856" s="138">
        <f>'Expenditures 15-22'!E61</f>
        <v>4255</v>
      </c>
      <c r="D856" s="2" t="str">
        <f t="shared" si="12"/>
        <v>Error?</v>
      </c>
    </row>
    <row r="857" spans="1:4" x14ac:dyDescent="0.2">
      <c r="A857" s="5">
        <v>796</v>
      </c>
      <c r="B857" s="138">
        <f>'Expenditures 15-22'!E62</f>
        <v>54180</v>
      </c>
      <c r="D857" s="2" t="str">
        <f t="shared" si="12"/>
        <v>Error?</v>
      </c>
    </row>
    <row r="858" spans="1:4" x14ac:dyDescent="0.2">
      <c r="A858" s="5">
        <v>797</v>
      </c>
      <c r="B858" s="138">
        <f>'Expenditures 15-22'!E63</f>
        <v>21062</v>
      </c>
      <c r="D858" s="2" t="str">
        <f t="shared" si="12"/>
        <v>Error?</v>
      </c>
    </row>
    <row r="859" spans="1:4" x14ac:dyDescent="0.2">
      <c r="A859" s="5">
        <v>798</v>
      </c>
      <c r="B859" s="138">
        <f>'Expenditures 15-22'!E64</f>
        <v>175</v>
      </c>
      <c r="D859" s="2" t="str">
        <f t="shared" si="12"/>
        <v>Error?</v>
      </c>
    </row>
    <row r="860" spans="1:4" x14ac:dyDescent="0.2">
      <c r="A860" s="10">
        <v>799</v>
      </c>
      <c r="D860" s="2" t="str">
        <f t="shared" si="12"/>
        <v>OK</v>
      </c>
    </row>
    <row r="861" spans="1:4" x14ac:dyDescent="0.2">
      <c r="A861" s="5">
        <v>800</v>
      </c>
      <c r="B861" s="138">
        <f>'Expenditures 15-22'!E65</f>
        <v>306583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14529</v>
      </c>
      <c r="D864" s="2" t="str">
        <f t="shared" si="12"/>
        <v>Error?</v>
      </c>
    </row>
    <row r="865" spans="1:4" x14ac:dyDescent="0.2">
      <c r="A865" s="5">
        <v>804</v>
      </c>
      <c r="B865" s="138">
        <f>'Expenditures 15-22'!E70</f>
        <v>27522</v>
      </c>
      <c r="D865" s="2" t="str">
        <f t="shared" si="12"/>
        <v>Error?</v>
      </c>
    </row>
    <row r="866" spans="1:4" x14ac:dyDescent="0.2">
      <c r="A866" s="10">
        <v>805</v>
      </c>
      <c r="D866" s="2" t="str">
        <f t="shared" si="12"/>
        <v>OK</v>
      </c>
    </row>
    <row r="867" spans="1:4" x14ac:dyDescent="0.2">
      <c r="A867" s="5">
        <v>806</v>
      </c>
      <c r="B867" s="138">
        <f>'Expenditures 15-22'!E71</f>
        <v>18725</v>
      </c>
      <c r="D867" s="2" t="str">
        <f t="shared" si="12"/>
        <v>Error?</v>
      </c>
    </row>
    <row r="868" spans="1:4" x14ac:dyDescent="0.2">
      <c r="A868" s="10">
        <v>807</v>
      </c>
      <c r="D868" s="2" t="str">
        <f t="shared" si="12"/>
        <v>OK</v>
      </c>
    </row>
    <row r="869" spans="1:4" x14ac:dyDescent="0.2">
      <c r="A869" s="5">
        <v>808</v>
      </c>
      <c r="B869" s="138">
        <f>'Expenditures 15-22'!E72</f>
        <v>60776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862438</v>
      </c>
      <c r="C871" s="2" t="s">
        <v>593</v>
      </c>
      <c r="D871" s="2" t="str">
        <f t="shared" si="12"/>
        <v>Error?</v>
      </c>
    </row>
    <row r="872" spans="1:4" x14ac:dyDescent="0.2">
      <c r="A872" s="5">
        <v>811</v>
      </c>
      <c r="B872" s="138">
        <f>'Expenditures 15-22'!E75</f>
        <v>69203</v>
      </c>
      <c r="D872" s="2" t="str">
        <f t="shared" si="12"/>
        <v>Error?</v>
      </c>
    </row>
    <row r="873" spans="1:4" x14ac:dyDescent="0.2">
      <c r="A873" s="5">
        <v>812</v>
      </c>
      <c r="B873" s="138">
        <f>'Expenditures 15-22'!E114</f>
        <v>1712083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463717</v>
      </c>
      <c r="D879" s="2" t="str">
        <f t="shared" si="12"/>
        <v>Error?</v>
      </c>
    </row>
    <row r="880" spans="1:4" x14ac:dyDescent="0.2">
      <c r="A880" s="5">
        <v>819</v>
      </c>
      <c r="B880" s="138">
        <f>'Expenditures 15-22'!F16</f>
        <v>4669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76495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31357</v>
      </c>
      <c r="D891" s="2" t="str">
        <f t="shared" si="12"/>
        <v>Error?</v>
      </c>
    </row>
    <row r="892" spans="1:4" x14ac:dyDescent="0.2">
      <c r="A892" s="5">
        <v>831</v>
      </c>
      <c r="B892" s="138">
        <f>'Expenditures 15-22'!F14</f>
        <v>5732</v>
      </c>
      <c r="D892" s="2" t="str">
        <f t="shared" si="12"/>
        <v>Error?</v>
      </c>
    </row>
    <row r="893" spans="1:4" x14ac:dyDescent="0.2">
      <c r="A893" s="5">
        <v>832</v>
      </c>
      <c r="B893" s="138">
        <f>'Expenditures 15-22'!F15</f>
        <v>3117</v>
      </c>
      <c r="D893" s="2" t="str">
        <f t="shared" si="12"/>
        <v>Error?</v>
      </c>
    </row>
    <row r="894" spans="1:4" x14ac:dyDescent="0.2">
      <c r="A894" s="5">
        <v>833</v>
      </c>
      <c r="B894" s="138">
        <f>'Expenditures 15-22'!F33</f>
        <v>1233945</v>
      </c>
      <c r="C894" s="2" t="s">
        <v>593</v>
      </c>
      <c r="D894" s="2" t="str">
        <f t="shared" si="12"/>
        <v>Error?</v>
      </c>
    </row>
    <row r="895" spans="1:4" x14ac:dyDescent="0.2">
      <c r="A895" s="5">
        <v>834</v>
      </c>
      <c r="B895" s="138">
        <f>'Expenditures 15-22'!F36</f>
        <v>403</v>
      </c>
      <c r="D895" s="2" t="str">
        <f t="shared" ref="D895:D958" si="13">IF(ISBLANK(B895),"OK",IF(A895-B895=0,"OK","Error?"))</f>
        <v>Error?</v>
      </c>
    </row>
    <row r="896" spans="1:4" x14ac:dyDescent="0.2">
      <c r="A896" s="5">
        <v>835</v>
      </c>
      <c r="B896" s="138">
        <f>'Expenditures 15-22'!F37</f>
        <v>847</v>
      </c>
      <c r="D896" s="2" t="str">
        <f t="shared" si="13"/>
        <v>Error?</v>
      </c>
    </row>
    <row r="897" spans="1:4" x14ac:dyDescent="0.2">
      <c r="A897" s="5">
        <v>836</v>
      </c>
      <c r="B897" s="138">
        <f>'Expenditures 15-22'!F38</f>
        <v>20293</v>
      </c>
      <c r="D897" s="2" t="str">
        <f t="shared" si="13"/>
        <v>Error?</v>
      </c>
    </row>
    <row r="898" spans="1:4" x14ac:dyDescent="0.2">
      <c r="A898" s="5">
        <v>837</v>
      </c>
      <c r="B898" s="138">
        <f>'Expenditures 15-22'!F39</f>
        <v>12388</v>
      </c>
      <c r="D898" s="2" t="str">
        <f t="shared" si="13"/>
        <v>Error?</v>
      </c>
    </row>
    <row r="899" spans="1:4" x14ac:dyDescent="0.2">
      <c r="A899" s="5">
        <v>838</v>
      </c>
      <c r="B899" s="138">
        <f>'Expenditures 15-22'!F40</f>
        <v>12394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46325</v>
      </c>
      <c r="C901" s="2" t="s">
        <v>593</v>
      </c>
      <c r="D901" s="2" t="str">
        <f t="shared" si="13"/>
        <v>Error?</v>
      </c>
    </row>
    <row r="902" spans="1:4" x14ac:dyDescent="0.2">
      <c r="A902" s="5">
        <v>841</v>
      </c>
      <c r="B902" s="138">
        <f>'Expenditures 15-22'!F44</f>
        <v>28392</v>
      </c>
      <c r="D902" s="2" t="str">
        <f t="shared" si="13"/>
        <v>Error?</v>
      </c>
    </row>
    <row r="903" spans="1:4" x14ac:dyDescent="0.2">
      <c r="A903" s="5">
        <v>842</v>
      </c>
      <c r="B903" s="138">
        <f>'Expenditures 15-22'!F45</f>
        <v>36070</v>
      </c>
      <c r="D903" s="2" t="str">
        <f t="shared" si="13"/>
        <v>Error?</v>
      </c>
    </row>
    <row r="904" spans="1:4" x14ac:dyDescent="0.2">
      <c r="A904" s="5">
        <v>843</v>
      </c>
      <c r="B904" s="138">
        <f>'Expenditures 15-22'!F46</f>
        <v>20390</v>
      </c>
      <c r="D904" s="2" t="str">
        <f t="shared" si="13"/>
        <v>Error?</v>
      </c>
    </row>
    <row r="905" spans="1:4" x14ac:dyDescent="0.2">
      <c r="A905" s="5">
        <v>844</v>
      </c>
      <c r="B905" s="138">
        <f>'Expenditures 15-22'!F47</f>
        <v>84852</v>
      </c>
      <c r="C905" s="2" t="s">
        <v>593</v>
      </c>
      <c r="D905" s="2" t="str">
        <f t="shared" si="13"/>
        <v>Error?</v>
      </c>
    </row>
    <row r="906" spans="1:4" x14ac:dyDescent="0.2">
      <c r="A906" s="5">
        <v>845</v>
      </c>
      <c r="B906" s="138">
        <f>'Expenditures 15-22'!F49</f>
        <v>19629</v>
      </c>
      <c r="D906" s="2" t="str">
        <f t="shared" si="13"/>
        <v>Error?</v>
      </c>
    </row>
    <row r="907" spans="1:4" x14ac:dyDescent="0.2">
      <c r="A907" s="5">
        <v>846</v>
      </c>
      <c r="B907" s="138">
        <f>'Expenditures 15-22'!F50</f>
        <v>3361</v>
      </c>
      <c r="D907" s="2" t="str">
        <f t="shared" si="13"/>
        <v>Error?</v>
      </c>
    </row>
    <row r="908" spans="1:4" x14ac:dyDescent="0.2">
      <c r="A908" s="5">
        <v>847</v>
      </c>
      <c r="B908" s="138">
        <f>'Expenditures 15-22'!F53</f>
        <v>23911</v>
      </c>
      <c r="C908" s="2" t="s">
        <v>593</v>
      </c>
      <c r="D908" s="2" t="str">
        <f t="shared" si="13"/>
        <v>Error?</v>
      </c>
    </row>
    <row r="909" spans="1:4" x14ac:dyDescent="0.2">
      <c r="A909" s="5">
        <v>848</v>
      </c>
      <c r="B909" s="138">
        <f>'Expenditures 15-22'!F55</f>
        <v>38379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38379</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34762</v>
      </c>
      <c r="D913" s="2" t="str">
        <f t="shared" si="13"/>
        <v>Error?</v>
      </c>
    </row>
    <row r="914" spans="1:4" x14ac:dyDescent="0.2">
      <c r="A914" s="5">
        <v>853</v>
      </c>
      <c r="B914" s="138">
        <f>'Expenditures 15-22'!F61</f>
        <v>8235</v>
      </c>
      <c r="D914" s="2" t="str">
        <f t="shared" si="13"/>
        <v>Error?</v>
      </c>
    </row>
    <row r="915" spans="1:4" x14ac:dyDescent="0.2">
      <c r="A915" s="5">
        <v>854</v>
      </c>
      <c r="B915" s="138">
        <f>'Expenditures 15-22'!F62</f>
        <v>-345</v>
      </c>
      <c r="D915" s="2" t="str">
        <f t="shared" si="13"/>
        <v>Error?</v>
      </c>
    </row>
    <row r="916" spans="1:4" x14ac:dyDescent="0.2">
      <c r="A916" s="5">
        <v>855</v>
      </c>
      <c r="B916" s="138">
        <f>'Expenditures 15-22'!F63</f>
        <v>859825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902477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976</v>
      </c>
      <c r="D922" s="2" t="str">
        <f t="shared" si="13"/>
        <v>Error?</v>
      </c>
    </row>
    <row r="923" spans="1:4" x14ac:dyDescent="0.2">
      <c r="A923" s="5">
        <v>862</v>
      </c>
      <c r="B923" s="138">
        <f>'Expenditures 15-22'!F70</f>
        <v>3227</v>
      </c>
      <c r="D923" s="2" t="str">
        <f t="shared" si="13"/>
        <v>Error?</v>
      </c>
    </row>
    <row r="924" spans="1:4" x14ac:dyDescent="0.2">
      <c r="A924" s="10">
        <v>863</v>
      </c>
      <c r="D924" s="2" t="str">
        <f t="shared" si="13"/>
        <v>OK</v>
      </c>
    </row>
    <row r="925" spans="1:4" x14ac:dyDescent="0.2">
      <c r="A925" s="5">
        <v>864</v>
      </c>
      <c r="B925" s="138">
        <f>'Expenditures 15-22'!F71</f>
        <v>1446854</v>
      </c>
      <c r="D925" s="2" t="str">
        <f t="shared" si="13"/>
        <v>Error?</v>
      </c>
    </row>
    <row r="926" spans="1:4" x14ac:dyDescent="0.2">
      <c r="A926" s="10">
        <v>865</v>
      </c>
      <c r="D926" s="2" t="str">
        <f t="shared" si="13"/>
        <v>OK</v>
      </c>
    </row>
    <row r="927" spans="1:4" x14ac:dyDescent="0.2">
      <c r="A927" s="5">
        <v>866</v>
      </c>
      <c r="B927" s="138">
        <f>'Expenditures 15-22'!F72</f>
        <v>1451057</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2547001</v>
      </c>
      <c r="C929" s="2" t="s">
        <v>593</v>
      </c>
      <c r="D929" s="2" t="str">
        <f t="shared" si="13"/>
        <v>Error?</v>
      </c>
    </row>
    <row r="930" spans="1:4" x14ac:dyDescent="0.2">
      <c r="A930" s="5">
        <v>869</v>
      </c>
      <c r="B930" s="138">
        <f>'Expenditures 15-22'!F75</f>
        <v>44719</v>
      </c>
      <c r="D930" s="2" t="str">
        <f t="shared" si="13"/>
        <v>Error?</v>
      </c>
    </row>
    <row r="931" spans="1:4" x14ac:dyDescent="0.2">
      <c r="A931" s="5">
        <v>870</v>
      </c>
      <c r="B931" s="138">
        <f>'Expenditures 15-22'!F114</f>
        <v>3825665</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62623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1800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120838</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43314</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43314</v>
      </c>
      <c r="C959" s="2" t="s">
        <v>593</v>
      </c>
      <c r="D959" s="2" t="str">
        <f t="shared" ref="D959:D1022" si="14">IF(ISBLANK(B959),"OK",IF(A959-B959=0,"OK","Error?"))</f>
        <v>Error?</v>
      </c>
    </row>
    <row r="960" spans="1:4" x14ac:dyDescent="0.2">
      <c r="A960" s="5">
        <v>899</v>
      </c>
      <c r="B960" s="138">
        <f>'Expenditures 15-22'!G44</f>
        <v>2597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2597</v>
      </c>
      <c r="C963" s="2" t="s">
        <v>593</v>
      </c>
      <c r="D963" s="2" t="str">
        <f t="shared" si="14"/>
        <v>Error?</v>
      </c>
    </row>
    <row r="964" spans="1:4" x14ac:dyDescent="0.2">
      <c r="A964" s="5">
        <v>903</v>
      </c>
      <c r="B964" s="138">
        <f>'Expenditures 15-22'!G49</f>
        <v>2180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2180</v>
      </c>
      <c r="C966" s="2" t="s">
        <v>593</v>
      </c>
      <c r="D966" s="2" t="str">
        <f t="shared" si="14"/>
        <v>Error?</v>
      </c>
    </row>
    <row r="967" spans="1:4" x14ac:dyDescent="0.2">
      <c r="A967" s="5">
        <v>906</v>
      </c>
      <c r="B967" s="138">
        <f>'Expenditures 15-22'!G55</f>
        <v>2939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2939</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113545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113545</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108910</v>
      </c>
      <c r="D983" s="2" t="str">
        <f t="shared" si="14"/>
        <v>Error?</v>
      </c>
    </row>
    <row r="984" spans="1:4" x14ac:dyDescent="0.2">
      <c r="A984" s="10">
        <v>923</v>
      </c>
      <c r="D984" s="2" t="str">
        <f t="shared" si="14"/>
        <v>OK</v>
      </c>
    </row>
    <row r="985" spans="1:4" x14ac:dyDescent="0.2">
      <c r="A985" s="5">
        <v>924</v>
      </c>
      <c r="B985" s="138">
        <f>'Expenditures 15-22'!G72</f>
        <v>108910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273485</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394323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61161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41384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730553</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30273</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30273</v>
      </c>
      <c r="C1017" s="2" t="s">
        <v>593</v>
      </c>
      <c r="D1017" s="2" t="str">
        <f t="shared" si="14"/>
        <v>Error?</v>
      </c>
    </row>
    <row r="1018" spans="1:4" x14ac:dyDescent="0.2">
      <c r="A1018" s="5">
        <v>957</v>
      </c>
      <c r="B1018" s="138">
        <f>'Expenditures 15-22'!H44</f>
        <v>3268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3268</v>
      </c>
      <c r="C1021" s="2" t="s">
        <v>593</v>
      </c>
      <c r="D1021" s="2" t="str">
        <f t="shared" si="14"/>
        <v>Error?</v>
      </c>
    </row>
    <row r="1022" spans="1:4" x14ac:dyDescent="0.2">
      <c r="A1022" s="5">
        <v>961</v>
      </c>
      <c r="B1022" s="138">
        <f>'Expenditures 15-22'!H49</f>
        <v>1500</v>
      </c>
      <c r="D1022" s="2" t="str">
        <f t="shared" si="14"/>
        <v>Error?</v>
      </c>
    </row>
    <row r="1023" spans="1:4" x14ac:dyDescent="0.2">
      <c r="A1023" s="5">
        <v>962</v>
      </c>
      <c r="B1023" s="138">
        <f>'Expenditures 15-22'!H50</f>
        <v>4621</v>
      </c>
      <c r="D1023" s="2" t="str">
        <f t="shared" ref="D1023:D1086" si="15">IF(ISBLANK(B1023),"OK",IF(A1023-B1023=0,"OK","Error?"))</f>
        <v>Error?</v>
      </c>
    </row>
    <row r="1024" spans="1:4" x14ac:dyDescent="0.2">
      <c r="A1024" s="5">
        <v>963</v>
      </c>
      <c r="B1024" s="138">
        <f>'Expenditures 15-22'!H53</f>
        <v>6121</v>
      </c>
      <c r="C1024" s="2" t="s">
        <v>593</v>
      </c>
      <c r="D1024" s="2" t="str">
        <f t="shared" si="15"/>
        <v>Error?</v>
      </c>
    </row>
    <row r="1025" spans="1:4" x14ac:dyDescent="0.2">
      <c r="A1025" s="5">
        <v>964</v>
      </c>
      <c r="B1025" s="138">
        <f>'Expenditures 15-22'!H55</f>
        <v>3817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3817</v>
      </c>
      <c r="C1027" s="2" t="s">
        <v>593</v>
      </c>
      <c r="D1027" s="2" t="str">
        <f t="shared" si="15"/>
        <v>Error?</v>
      </c>
    </row>
    <row r="1028" spans="1:4" x14ac:dyDescent="0.2">
      <c r="A1028" s="5">
        <v>967</v>
      </c>
      <c r="B1028" s="138">
        <f>'Expenditures 15-22'!H59</f>
        <v>225</v>
      </c>
      <c r="D1028" s="2" t="str">
        <f t="shared" si="15"/>
        <v>Error?</v>
      </c>
    </row>
    <row r="1029" spans="1:4" x14ac:dyDescent="0.2">
      <c r="A1029" s="5">
        <v>968</v>
      </c>
      <c r="B1029" s="138">
        <f>'Expenditures 15-22'!H60</f>
        <v>1279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3941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5445</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515</v>
      </c>
      <c r="D1038" s="2" t="str">
        <f t="shared" si="15"/>
        <v>Error?</v>
      </c>
    </row>
    <row r="1039" spans="1:4" x14ac:dyDescent="0.2">
      <c r="A1039" s="5">
        <v>978</v>
      </c>
      <c r="B1039" s="138">
        <f>'Expenditures 15-22'!H70</f>
        <v>500</v>
      </c>
      <c r="D1039" s="2" t="str">
        <f t="shared" si="15"/>
        <v>Error?</v>
      </c>
    </row>
    <row r="1040" spans="1:4" x14ac:dyDescent="0.2">
      <c r="A1040" s="10">
        <v>979</v>
      </c>
      <c r="D1040" s="2" t="str">
        <f t="shared" si="15"/>
        <v>OK</v>
      </c>
    </row>
    <row r="1041" spans="1:4" x14ac:dyDescent="0.2">
      <c r="A1041" s="5">
        <v>980</v>
      </c>
      <c r="B1041" s="138">
        <f>'Expenditures 15-22'!H71</f>
        <v>403263</v>
      </c>
      <c r="D1041" s="2" t="str">
        <f t="shared" si="15"/>
        <v>Error?</v>
      </c>
    </row>
    <row r="1042" spans="1:4" x14ac:dyDescent="0.2">
      <c r="A1042" s="10">
        <v>981</v>
      </c>
      <c r="D1042" s="2" t="str">
        <f t="shared" si="15"/>
        <v>OK</v>
      </c>
    </row>
    <row r="1043" spans="1:4" x14ac:dyDescent="0.2">
      <c r="A1043" s="5">
        <v>982</v>
      </c>
      <c r="B1043" s="138">
        <f>'Expenditures 15-22'!H72</f>
        <v>404278</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453202</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18737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1202492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22816180</v>
      </c>
      <c r="C1093" s="2" t="s">
        <v>593</v>
      </c>
      <c r="D1093" s="2" t="str">
        <f t="shared" si="16"/>
        <v>Error?</v>
      </c>
    </row>
    <row r="1094" spans="1:4" x14ac:dyDescent="0.2">
      <c r="A1094" s="5">
        <v>1033</v>
      </c>
      <c r="B1094" s="138">
        <f>'Expenditures 15-22'!K16</f>
        <v>326311</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5235520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1283992</v>
      </c>
      <c r="C1105" s="2" t="s">
        <v>593</v>
      </c>
      <c r="D1105" s="2" t="str">
        <f t="shared" si="16"/>
        <v>Error?</v>
      </c>
    </row>
    <row r="1106" spans="1:4" x14ac:dyDescent="0.2">
      <c r="A1106" s="5">
        <v>1045</v>
      </c>
      <c r="B1106" s="138">
        <f>'Expenditures 15-22'!K14</f>
        <v>1915275</v>
      </c>
      <c r="C1106" s="2" t="s">
        <v>593</v>
      </c>
      <c r="D1106" s="2" t="str">
        <f t="shared" si="16"/>
        <v>Error?</v>
      </c>
    </row>
    <row r="1107" spans="1:4" x14ac:dyDescent="0.2">
      <c r="A1107" s="5">
        <v>1046</v>
      </c>
      <c r="B1107" s="138">
        <f>'Expenditures 15-22'!K15</f>
        <v>272579</v>
      </c>
      <c r="C1107" s="2" t="s">
        <v>593</v>
      </c>
      <c r="D1107" s="2" t="str">
        <f t="shared" si="16"/>
        <v>Error?</v>
      </c>
    </row>
    <row r="1108" spans="1:4" x14ac:dyDescent="0.2">
      <c r="A1108" s="5">
        <v>1047</v>
      </c>
      <c r="B1108" s="138">
        <f>'Expenditures 15-22'!K33</f>
        <v>44421904</v>
      </c>
      <c r="C1108" s="2" t="s">
        <v>593</v>
      </c>
      <c r="D1108" s="2" t="str">
        <f t="shared" si="16"/>
        <v>Error?</v>
      </c>
    </row>
    <row r="1109" spans="1:4" x14ac:dyDescent="0.2">
      <c r="A1109" s="5">
        <v>1048</v>
      </c>
      <c r="B1109" s="138">
        <f>'Expenditures 15-22'!K36</f>
        <v>1198303</v>
      </c>
      <c r="C1109" s="2" t="s">
        <v>593</v>
      </c>
      <c r="D1109" s="2" t="str">
        <f t="shared" si="16"/>
        <v>Error?</v>
      </c>
    </row>
    <row r="1110" spans="1:4" x14ac:dyDescent="0.2">
      <c r="A1110" s="5">
        <v>1049</v>
      </c>
      <c r="B1110" s="138">
        <f>'Expenditures 15-22'!K37</f>
        <v>878399</v>
      </c>
      <c r="C1110" s="2" t="s">
        <v>593</v>
      </c>
      <c r="D1110" s="2" t="str">
        <f t="shared" si="16"/>
        <v>Error?</v>
      </c>
    </row>
    <row r="1111" spans="1:4" x14ac:dyDescent="0.2">
      <c r="A1111" s="5">
        <v>1050</v>
      </c>
      <c r="B1111" s="138">
        <f>'Expenditures 15-22'!K38</f>
        <v>2065020</v>
      </c>
      <c r="C1111" s="2" t="s">
        <v>593</v>
      </c>
      <c r="D1111" s="2" t="str">
        <f t="shared" si="16"/>
        <v>Error?</v>
      </c>
    </row>
    <row r="1112" spans="1:4" x14ac:dyDescent="0.2">
      <c r="A1112" s="5">
        <v>1051</v>
      </c>
      <c r="B1112" s="138">
        <f>'Expenditures 15-22'!K39</f>
        <v>539195</v>
      </c>
      <c r="C1112" s="2" t="s">
        <v>593</v>
      </c>
      <c r="D1112" s="2" t="str">
        <f t="shared" si="16"/>
        <v>Error?</v>
      </c>
    </row>
    <row r="1113" spans="1:4" x14ac:dyDescent="0.2">
      <c r="A1113" s="5">
        <v>1052</v>
      </c>
      <c r="B1113" s="138">
        <f>'Expenditures 15-22'!K40</f>
        <v>1657643</v>
      </c>
      <c r="C1113" s="2" t="s">
        <v>593</v>
      </c>
      <c r="D1113" s="2" t="str">
        <f t="shared" si="16"/>
        <v>Error?</v>
      </c>
    </row>
    <row r="1114" spans="1:4" x14ac:dyDescent="0.2">
      <c r="A1114" s="5">
        <v>1053</v>
      </c>
      <c r="B1114" s="138">
        <f>'Expenditures 15-22'!K41</f>
        <v>46819</v>
      </c>
      <c r="C1114" s="2" t="s">
        <v>593</v>
      </c>
      <c r="D1114" s="2" t="str">
        <f t="shared" si="16"/>
        <v>Error?</v>
      </c>
    </row>
    <row r="1115" spans="1:4" x14ac:dyDescent="0.2">
      <c r="A1115" s="5">
        <v>1054</v>
      </c>
      <c r="B1115" s="138">
        <f>'Expenditures 15-22'!K42</f>
        <v>6385379</v>
      </c>
      <c r="C1115" s="2" t="s">
        <v>593</v>
      </c>
      <c r="D1115" s="2" t="str">
        <f t="shared" si="16"/>
        <v>Error?</v>
      </c>
    </row>
    <row r="1116" spans="1:4" x14ac:dyDescent="0.2">
      <c r="A1116" s="5">
        <v>1055</v>
      </c>
      <c r="B1116" s="138">
        <f>'Expenditures 15-22'!K44</f>
        <v>1910941</v>
      </c>
      <c r="C1116" s="2" t="s">
        <v>593</v>
      </c>
      <c r="D1116" s="2" t="str">
        <f t="shared" si="16"/>
        <v>Error?</v>
      </c>
    </row>
    <row r="1117" spans="1:4" x14ac:dyDescent="0.2">
      <c r="A1117" s="5">
        <v>1056</v>
      </c>
      <c r="B1117" s="138">
        <f>'Expenditures 15-22'!K45</f>
        <v>1115673</v>
      </c>
      <c r="C1117" s="2" t="s">
        <v>593</v>
      </c>
      <c r="D1117" s="2" t="str">
        <f t="shared" si="16"/>
        <v>Error?</v>
      </c>
    </row>
    <row r="1118" spans="1:4" x14ac:dyDescent="0.2">
      <c r="A1118" s="5">
        <v>1057</v>
      </c>
      <c r="B1118" s="138">
        <f>'Expenditures 15-22'!K46</f>
        <v>157456</v>
      </c>
      <c r="C1118" s="2" t="s">
        <v>593</v>
      </c>
      <c r="D1118" s="2" t="str">
        <f t="shared" si="16"/>
        <v>Error?</v>
      </c>
    </row>
    <row r="1119" spans="1:4" x14ac:dyDescent="0.2">
      <c r="A1119" s="5">
        <v>1058</v>
      </c>
      <c r="B1119" s="138">
        <f>'Expenditures 15-22'!K47</f>
        <v>3184070</v>
      </c>
      <c r="C1119" s="2" t="s">
        <v>593</v>
      </c>
      <c r="D1119" s="2" t="str">
        <f t="shared" si="16"/>
        <v>Error?</v>
      </c>
    </row>
    <row r="1120" spans="1:4" x14ac:dyDescent="0.2">
      <c r="A1120" s="5">
        <v>1059</v>
      </c>
      <c r="B1120" s="138">
        <f>'Expenditures 15-22'!K49</f>
        <v>402273</v>
      </c>
      <c r="C1120" s="2" t="s">
        <v>593</v>
      </c>
      <c r="D1120" s="2" t="str">
        <f t="shared" si="16"/>
        <v>Error?</v>
      </c>
    </row>
    <row r="1121" spans="1:4" x14ac:dyDescent="0.2">
      <c r="A1121" s="5">
        <v>1060</v>
      </c>
      <c r="B1121" s="138">
        <f>'Expenditures 15-22'!K50</f>
        <v>330623</v>
      </c>
      <c r="C1121" s="2" t="s">
        <v>593</v>
      </c>
      <c r="D1121" s="2" t="str">
        <f t="shared" si="16"/>
        <v>Error?</v>
      </c>
    </row>
    <row r="1122" spans="1:4" x14ac:dyDescent="0.2">
      <c r="A1122" s="5">
        <v>1061</v>
      </c>
      <c r="B1122" s="138">
        <f>'Expenditures 15-22'!K53</f>
        <v>764501</v>
      </c>
      <c r="C1122" s="2" t="s">
        <v>593</v>
      </c>
      <c r="D1122" s="2" t="str">
        <f t="shared" si="16"/>
        <v>Error?</v>
      </c>
    </row>
    <row r="1123" spans="1:4" x14ac:dyDescent="0.2">
      <c r="A1123" s="5">
        <v>1062</v>
      </c>
      <c r="B1123" s="138">
        <f>'Expenditures 15-22'!K55</f>
        <v>4086739</v>
      </c>
      <c r="C1123" s="2" t="s">
        <v>593</v>
      </c>
      <c r="D1123" s="2" t="str">
        <f t="shared" si="16"/>
        <v>Error?</v>
      </c>
    </row>
    <row r="1124" spans="1:4" x14ac:dyDescent="0.2">
      <c r="A1124" s="5">
        <v>1063</v>
      </c>
      <c r="B1124" s="138">
        <f>'Expenditures 15-22'!K56</f>
        <v>135336</v>
      </c>
      <c r="C1124" s="2" t="s">
        <v>593</v>
      </c>
      <c r="D1124" s="2" t="str">
        <f t="shared" si="16"/>
        <v>Error?</v>
      </c>
    </row>
    <row r="1125" spans="1:4" x14ac:dyDescent="0.2">
      <c r="A1125" s="5">
        <v>1064</v>
      </c>
      <c r="B1125" s="138">
        <f>'Expenditures 15-22'!K57</f>
        <v>4222075</v>
      </c>
      <c r="C1125" s="2" t="s">
        <v>593</v>
      </c>
      <c r="D1125" s="2" t="str">
        <f t="shared" si="16"/>
        <v>Error?</v>
      </c>
    </row>
    <row r="1126" spans="1:4" x14ac:dyDescent="0.2">
      <c r="A1126" s="5">
        <v>1065</v>
      </c>
      <c r="B1126" s="138">
        <f>'Expenditures 15-22'!K59</f>
        <v>188792</v>
      </c>
      <c r="C1126" s="2" t="s">
        <v>593</v>
      </c>
      <c r="D1126" s="2" t="str">
        <f t="shared" si="16"/>
        <v>Error?</v>
      </c>
    </row>
    <row r="1127" spans="1:4" x14ac:dyDescent="0.2">
      <c r="A1127" s="5">
        <v>1066</v>
      </c>
      <c r="B1127" s="138">
        <f>'Expenditures 15-22'!K60</f>
        <v>708749</v>
      </c>
      <c r="C1127" s="2" t="s">
        <v>593</v>
      </c>
      <c r="D1127" s="2" t="str">
        <f t="shared" si="16"/>
        <v>Error?</v>
      </c>
    </row>
    <row r="1128" spans="1:4" x14ac:dyDescent="0.2">
      <c r="A1128" s="5">
        <v>1067</v>
      </c>
      <c r="B1128" s="138">
        <f>'Expenditures 15-22'!K61</f>
        <v>201236</v>
      </c>
      <c r="C1128" s="2" t="s">
        <v>593</v>
      </c>
      <c r="D1128" s="2" t="str">
        <f t="shared" si="16"/>
        <v>Error?</v>
      </c>
    </row>
    <row r="1129" spans="1:4" x14ac:dyDescent="0.2">
      <c r="A1129" s="5">
        <v>1068</v>
      </c>
      <c r="B1129" s="138">
        <f>'Expenditures 15-22'!K62</f>
        <v>93651</v>
      </c>
      <c r="C1129" s="2" t="s">
        <v>593</v>
      </c>
      <c r="D1129" s="2" t="str">
        <f t="shared" si="16"/>
        <v>Error?</v>
      </c>
    </row>
    <row r="1130" spans="1:4" x14ac:dyDescent="0.2">
      <c r="A1130" s="5">
        <v>1069</v>
      </c>
      <c r="B1130" s="138">
        <f>'Expenditures 15-22'!K63</f>
        <v>2336386</v>
      </c>
      <c r="C1130" s="2" t="s">
        <v>593</v>
      </c>
      <c r="D1130" s="2" t="str">
        <f t="shared" si="16"/>
        <v>Error?</v>
      </c>
    </row>
    <row r="1131" spans="1:4" x14ac:dyDescent="0.2">
      <c r="A1131" s="5">
        <v>1070</v>
      </c>
      <c r="B1131" s="138">
        <f>'Expenditures 15-22'!K64</f>
        <v>175</v>
      </c>
      <c r="C1131" s="2" t="s">
        <v>593</v>
      </c>
      <c r="D1131" s="2" t="str">
        <f t="shared" si="16"/>
        <v>Error?</v>
      </c>
    </row>
    <row r="1132" spans="1:4" x14ac:dyDescent="0.2">
      <c r="A1132" s="10">
        <v>1071</v>
      </c>
      <c r="D1132" s="2" t="str">
        <f t="shared" si="16"/>
        <v>OK</v>
      </c>
    </row>
    <row r="1133" spans="1:4" x14ac:dyDescent="0.2">
      <c r="A1133" s="5">
        <v>1072</v>
      </c>
      <c r="B1133" s="138">
        <f>'Expenditures 15-22'!K65</f>
        <v>3528989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190378</v>
      </c>
      <c r="C1136" s="2" t="s">
        <v>593</v>
      </c>
      <c r="D1136" s="2" t="str">
        <f t="shared" si="16"/>
        <v>Error?</v>
      </c>
    </row>
    <row r="1137" spans="1:4" x14ac:dyDescent="0.2">
      <c r="A1137" s="5">
        <v>1076</v>
      </c>
      <c r="B1137" s="138">
        <f>'Expenditures 15-22'!K70</f>
        <v>597072</v>
      </c>
      <c r="C1137" s="2" t="s">
        <v>593</v>
      </c>
      <c r="D1137" s="2" t="str">
        <f t="shared" si="16"/>
        <v>Error?</v>
      </c>
    </row>
    <row r="1138" spans="1:4" x14ac:dyDescent="0.2">
      <c r="A1138" s="10">
        <v>1077</v>
      </c>
      <c r="D1138" s="2" t="str">
        <f t="shared" si="16"/>
        <v>OK</v>
      </c>
    </row>
    <row r="1139" spans="1:4" x14ac:dyDescent="0.2">
      <c r="A1139" s="5">
        <v>1078</v>
      </c>
      <c r="B1139" s="138">
        <f>'Expenditures 15-22'!K71</f>
        <v>2786799</v>
      </c>
      <c r="C1139" s="2" t="s">
        <v>593</v>
      </c>
      <c r="D1139" s="2" t="str">
        <f t="shared" si="16"/>
        <v>Error?</v>
      </c>
    </row>
    <row r="1140" spans="1:4" x14ac:dyDescent="0.2">
      <c r="A1140" s="10">
        <v>1079</v>
      </c>
      <c r="D1140" s="2" t="str">
        <f t="shared" si="16"/>
        <v>OK</v>
      </c>
    </row>
    <row r="1141" spans="1:4" x14ac:dyDescent="0.2">
      <c r="A1141" s="5">
        <v>1080</v>
      </c>
      <c r="B1141" s="138">
        <f>'Expenditures 15-22'!K72</f>
        <v>3574249</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21659263</v>
      </c>
      <c r="C1143" s="2" t="s">
        <v>593</v>
      </c>
      <c r="D1143" s="2" t="str">
        <f t="shared" si="16"/>
        <v>Error?</v>
      </c>
    </row>
    <row r="1144" spans="1:4" x14ac:dyDescent="0.2">
      <c r="A1144" s="5">
        <v>1083</v>
      </c>
      <c r="B1144" s="138">
        <f>'Expenditures 15-22'!K75</f>
        <v>651038</v>
      </c>
      <c r="C1144" s="2" t="s">
        <v>593</v>
      </c>
      <c r="D1144" s="2" t="str">
        <f t="shared" si="16"/>
        <v>Error?</v>
      </c>
    </row>
    <row r="1145" spans="1:4" x14ac:dyDescent="0.2">
      <c r="A1145" s="5">
        <v>1084</v>
      </c>
      <c r="B1145" s="138">
        <f>'Expenditures 15-22'!K102</f>
        <v>18737</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66750942</v>
      </c>
      <c r="C1152" s="2" t="s">
        <v>593</v>
      </c>
      <c r="D1152" s="2" t="str">
        <f t="shared" si="17"/>
        <v>Error?</v>
      </c>
    </row>
    <row r="1153" spans="1:4" x14ac:dyDescent="0.2">
      <c r="A1153" s="5">
        <v>1092</v>
      </c>
      <c r="B1153" s="138">
        <f>'Expenditures 15-22'!K115</f>
        <v>5363852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2864322</v>
      </c>
      <c r="D1221" s="2" t="str">
        <f t="shared" si="18"/>
        <v>Error?</v>
      </c>
    </row>
    <row r="1222" spans="1:4" x14ac:dyDescent="0.2">
      <c r="A1222" s="10">
        <v>1161</v>
      </c>
      <c r="D1222" s="2" t="str">
        <f t="shared" si="18"/>
        <v>OK</v>
      </c>
    </row>
    <row r="1223" spans="1:4" x14ac:dyDescent="0.2">
      <c r="A1223" s="5">
        <v>1162</v>
      </c>
      <c r="B1223" s="138">
        <f>'Expenditures 15-22'!C127</f>
        <v>2864322</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2864322</v>
      </c>
      <c r="C1225" s="2" t="s">
        <v>593</v>
      </c>
      <c r="D1225" s="2" t="str">
        <f t="shared" si="18"/>
        <v>Error?</v>
      </c>
    </row>
    <row r="1226" spans="1:4" x14ac:dyDescent="0.2">
      <c r="A1226" s="5">
        <v>1165</v>
      </c>
      <c r="B1226" s="138">
        <f>'Expenditures 15-22'!C151</f>
        <v>2864322</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683453</v>
      </c>
      <c r="D1229" s="2" t="str">
        <f t="shared" si="18"/>
        <v>Error?</v>
      </c>
    </row>
    <row r="1230" spans="1:4" x14ac:dyDescent="0.2">
      <c r="A1230" s="10">
        <v>1169</v>
      </c>
      <c r="D1230" s="2" t="str">
        <f t="shared" si="18"/>
        <v>OK</v>
      </c>
    </row>
    <row r="1231" spans="1:4" x14ac:dyDescent="0.2">
      <c r="A1231" s="5">
        <v>1170</v>
      </c>
      <c r="B1231" s="138">
        <f>'Expenditures 15-22'!D127</f>
        <v>683453</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683453</v>
      </c>
      <c r="C1233" s="2" t="s">
        <v>593</v>
      </c>
      <c r="D1233" s="2" t="str">
        <f t="shared" si="18"/>
        <v>Error?</v>
      </c>
    </row>
    <row r="1234" spans="1:4" x14ac:dyDescent="0.2">
      <c r="A1234" s="5">
        <v>1173</v>
      </c>
      <c r="B1234" s="138">
        <f>'Expenditures 15-22'!D151</f>
        <v>683453</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1127720</v>
      </c>
      <c r="D1237" s="2" t="str">
        <f t="shared" si="18"/>
        <v>Error?</v>
      </c>
    </row>
    <row r="1238" spans="1:4" x14ac:dyDescent="0.2">
      <c r="A1238" s="10">
        <v>1177</v>
      </c>
      <c r="D1238" s="2" t="str">
        <f t="shared" si="18"/>
        <v>OK</v>
      </c>
    </row>
    <row r="1239" spans="1:4" x14ac:dyDescent="0.2">
      <c r="A1239" s="5">
        <v>1178</v>
      </c>
      <c r="B1239" s="138">
        <f>'Expenditures 15-22'!E127</f>
        <v>1127720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1127720</v>
      </c>
      <c r="C1241" s="2" t="s">
        <v>593</v>
      </c>
      <c r="D1241" s="2" t="str">
        <f t="shared" si="18"/>
        <v>Error?</v>
      </c>
    </row>
    <row r="1242" spans="1:4" x14ac:dyDescent="0.2">
      <c r="A1242" s="5">
        <v>1181</v>
      </c>
      <c r="B1242" s="138">
        <f>'Expenditures 15-22'!E151</f>
        <v>1127720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1991187</v>
      </c>
      <c r="D1245" s="2" t="str">
        <f t="shared" si="18"/>
        <v>Error?</v>
      </c>
    </row>
    <row r="1246" spans="1:4" x14ac:dyDescent="0.2">
      <c r="A1246" s="10">
        <v>1185</v>
      </c>
      <c r="D1246" s="2" t="str">
        <f t="shared" si="18"/>
        <v>OK</v>
      </c>
    </row>
    <row r="1247" spans="1:4" x14ac:dyDescent="0.2">
      <c r="A1247" s="5">
        <v>1186</v>
      </c>
      <c r="B1247" s="138">
        <f>'Expenditures 15-22'!F127</f>
        <v>1991187</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1991187</v>
      </c>
      <c r="C1249" s="2" t="s">
        <v>593</v>
      </c>
      <c r="D1249" s="2" t="str">
        <f t="shared" si="18"/>
        <v>Error?</v>
      </c>
    </row>
    <row r="1250" spans="1:4" x14ac:dyDescent="0.2">
      <c r="A1250" s="5">
        <v>1189</v>
      </c>
      <c r="B1250" s="138">
        <f>'Expenditures 15-22'!F151</f>
        <v>1991187</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126571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126571</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126571</v>
      </c>
      <c r="C1258" s="2" t="s">
        <v>593</v>
      </c>
      <c r="D1258" s="2" t="str">
        <f t="shared" si="18"/>
        <v>Error?</v>
      </c>
    </row>
    <row r="1259" spans="1:4" x14ac:dyDescent="0.2">
      <c r="A1259" s="5">
        <v>1198</v>
      </c>
      <c r="B1259" s="138">
        <f>'Expenditures 15-22'!G151</f>
        <v>126571</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1450</v>
      </c>
      <c r="D1262" s="2" t="str">
        <f t="shared" si="18"/>
        <v>Error?</v>
      </c>
    </row>
    <row r="1263" spans="1:4" x14ac:dyDescent="0.2">
      <c r="A1263" s="10">
        <v>1202</v>
      </c>
      <c r="D1263" s="2" t="str">
        <f t="shared" si="18"/>
        <v>OK</v>
      </c>
    </row>
    <row r="1264" spans="1:4" x14ac:dyDescent="0.2">
      <c r="A1264" s="5">
        <v>1203</v>
      </c>
      <c r="B1264" s="138">
        <f>'Expenditures 15-22'!H127</f>
        <v>1450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1450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1450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6798768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6798768</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6798768</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6798768</v>
      </c>
      <c r="C1288" s="2" t="s">
        <v>593</v>
      </c>
      <c r="D1288" s="2" t="str">
        <f t="shared" si="19"/>
        <v>Error?</v>
      </c>
    </row>
    <row r="1289" spans="1:4" x14ac:dyDescent="0.2">
      <c r="A1289" s="5">
        <v>1228</v>
      </c>
      <c r="B1289" s="138">
        <f>'Expenditures 15-22'!K152</f>
        <v>409966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4025944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5892435</v>
      </c>
      <c r="D1315" s="2" t="str">
        <f t="shared" si="19"/>
        <v>Error?</v>
      </c>
    </row>
    <row r="1316" spans="1:4" x14ac:dyDescent="0.2">
      <c r="A1316" s="5">
        <v>1255</v>
      </c>
      <c r="B1316" s="138">
        <f>'Expenditures 15-22'!H171</f>
        <v>6883</v>
      </c>
      <c r="D1316" s="2" t="str">
        <f t="shared" si="19"/>
        <v>Error?</v>
      </c>
    </row>
    <row r="1317" spans="1:4" x14ac:dyDescent="0.2">
      <c r="A1317" s="5">
        <v>1256</v>
      </c>
      <c r="B1317" s="138">
        <f>'Expenditures 15-22'!H172</f>
        <v>9925262</v>
      </c>
      <c r="C1317" s="2" t="s">
        <v>593</v>
      </c>
      <c r="D1317" s="2" t="str">
        <f t="shared" si="19"/>
        <v>Error?</v>
      </c>
    </row>
    <row r="1318" spans="1:4" x14ac:dyDescent="0.2">
      <c r="A1318" s="5">
        <v>1257</v>
      </c>
      <c r="B1318" s="138">
        <f>'Expenditures 15-22'!H174</f>
        <v>9925262</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4025944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5892435</v>
      </c>
      <c r="C1329" s="2" t="s">
        <v>593</v>
      </c>
      <c r="D1329" s="2" t="str">
        <f t="shared" si="19"/>
        <v>Error?</v>
      </c>
    </row>
    <row r="1330" spans="1:4" x14ac:dyDescent="0.2">
      <c r="A1330" s="5">
        <v>1269</v>
      </c>
      <c r="B1330" s="138">
        <f>'Expenditures 15-22'!K171</f>
        <v>6883</v>
      </c>
      <c r="C1330" s="2" t="s">
        <v>593</v>
      </c>
      <c r="D1330" s="2" t="str">
        <f t="shared" si="19"/>
        <v>Error?</v>
      </c>
    </row>
    <row r="1331" spans="1:4" x14ac:dyDescent="0.2">
      <c r="A1331" s="5">
        <v>1270</v>
      </c>
      <c r="B1331" s="138">
        <f>'Expenditures 15-22'!K172</f>
        <v>9925262</v>
      </c>
      <c r="C1331" s="2" t="s">
        <v>593</v>
      </c>
      <c r="D1331" s="2" t="str">
        <f t="shared" si="19"/>
        <v>Error?</v>
      </c>
    </row>
    <row r="1332" spans="1:4" x14ac:dyDescent="0.2">
      <c r="A1332" s="5">
        <v>1271</v>
      </c>
      <c r="B1332" s="138">
        <f>'Expenditures 15-22'!K174</f>
        <v>9925262</v>
      </c>
      <c r="C1332" s="2" t="s">
        <v>593</v>
      </c>
      <c r="D1332" s="2" t="str">
        <f t="shared" si="19"/>
        <v>Error?</v>
      </c>
    </row>
    <row r="1333" spans="1:4" x14ac:dyDescent="0.2">
      <c r="A1333" s="5">
        <v>1272</v>
      </c>
      <c r="B1333" s="138">
        <f>'Expenditures 15-22'!K175</f>
        <v>-419991</v>
      </c>
      <c r="C1333" s="2" t="s">
        <v>593</v>
      </c>
      <c r="D1333" s="2" t="str">
        <f t="shared" si="19"/>
        <v>Error?</v>
      </c>
    </row>
    <row r="1334" spans="1:4" x14ac:dyDescent="0.2">
      <c r="A1334" s="10">
        <v>1273</v>
      </c>
      <c r="D1334" s="2" t="str">
        <f t="shared" si="19"/>
        <v>OK</v>
      </c>
    </row>
    <row r="1335" spans="1:4" x14ac:dyDescent="0.2">
      <c r="A1335" s="5">
        <v>1274</v>
      </c>
      <c r="B1335" s="138">
        <f>'Expenditures 15-22'!C182</f>
        <v>2822288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2822288</v>
      </c>
      <c r="C1339" s="2" t="s">
        <v>593</v>
      </c>
      <c r="D1339" s="2" t="str">
        <f t="shared" si="19"/>
        <v>Error?</v>
      </c>
    </row>
    <row r="1340" spans="1:4" x14ac:dyDescent="0.2">
      <c r="A1340" s="5">
        <v>1279</v>
      </c>
      <c r="B1340" s="138">
        <f>'Expenditures 15-22'!C210</f>
        <v>2822288</v>
      </c>
      <c r="C1340" s="2" t="s">
        <v>593</v>
      </c>
      <c r="D1340" s="2" t="str">
        <f t="shared" si="19"/>
        <v>Error?</v>
      </c>
    </row>
    <row r="1341" spans="1:4" x14ac:dyDescent="0.2">
      <c r="A1341" s="5">
        <v>1280</v>
      </c>
      <c r="B1341" s="138">
        <f>'Expenditures 15-22'!D182</f>
        <v>351135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351135</v>
      </c>
      <c r="C1345" s="2" t="s">
        <v>593</v>
      </c>
      <c r="D1345" s="2" t="str">
        <f t="shared" si="20"/>
        <v>Error?</v>
      </c>
    </row>
    <row r="1346" spans="1:4" x14ac:dyDescent="0.2">
      <c r="A1346" s="5">
        <v>1285</v>
      </c>
      <c r="B1346" s="138">
        <f>'Expenditures 15-22'!D210</f>
        <v>351135</v>
      </c>
      <c r="C1346" s="2" t="s">
        <v>593</v>
      </c>
      <c r="D1346" s="2" t="str">
        <f t="shared" si="20"/>
        <v>Error?</v>
      </c>
    </row>
    <row r="1347" spans="1:4" x14ac:dyDescent="0.2">
      <c r="A1347" s="5">
        <v>1286</v>
      </c>
      <c r="B1347" s="138">
        <f>'Expenditures 15-22'!E182</f>
        <v>166737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166737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166737</v>
      </c>
      <c r="C1353" s="2" t="s">
        <v>593</v>
      </c>
      <c r="D1353" s="2" t="str">
        <f t="shared" si="20"/>
        <v>Error?</v>
      </c>
    </row>
    <row r="1354" spans="1:4" x14ac:dyDescent="0.2">
      <c r="A1354" s="5">
        <v>1293</v>
      </c>
      <c r="B1354" s="138">
        <f>'Expenditures 15-22'!F182</f>
        <v>1067359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1067359</v>
      </c>
      <c r="C1358" s="2" t="s">
        <v>593</v>
      </c>
      <c r="D1358" s="2" t="str">
        <f t="shared" si="20"/>
        <v>Error?</v>
      </c>
    </row>
    <row r="1359" spans="1:4" x14ac:dyDescent="0.2">
      <c r="A1359" s="5">
        <v>1298</v>
      </c>
      <c r="B1359" s="138">
        <f>'Expenditures 15-22'!F210</f>
        <v>1067359</v>
      </c>
      <c r="C1359" s="2" t="s">
        <v>593</v>
      </c>
      <c r="D1359" s="2" t="str">
        <f t="shared" si="20"/>
        <v>Error?</v>
      </c>
    </row>
    <row r="1360" spans="1:4" x14ac:dyDescent="0.2">
      <c r="A1360" s="5">
        <v>1299</v>
      </c>
      <c r="B1360" s="138">
        <f>'Expenditures 15-22'!G182</f>
        <v>516356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516356</v>
      </c>
      <c r="C1364" s="2" t="s">
        <v>593</v>
      </c>
      <c r="D1364" s="2" t="str">
        <f t="shared" si="20"/>
        <v>Error?</v>
      </c>
    </row>
    <row r="1365" spans="1:4" x14ac:dyDescent="0.2">
      <c r="A1365" s="5">
        <v>1304</v>
      </c>
      <c r="B1365" s="138">
        <f>'Expenditures 15-22'!G210</f>
        <v>516356</v>
      </c>
      <c r="C1365" s="2" t="s">
        <v>593</v>
      </c>
      <c r="D1365" s="2" t="str">
        <f t="shared" si="20"/>
        <v>Error?</v>
      </c>
    </row>
    <row r="1366" spans="1:4" x14ac:dyDescent="0.2">
      <c r="A1366" s="5">
        <v>1305</v>
      </c>
      <c r="B1366" s="138">
        <f>'Expenditures 15-22'!H182</f>
        <v>980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980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980</v>
      </c>
      <c r="C1376" s="2" t="s">
        <v>593</v>
      </c>
      <c r="D1376" s="2" t="str">
        <f t="shared" si="20"/>
        <v>Error?</v>
      </c>
    </row>
    <row r="1377" spans="1:4" x14ac:dyDescent="0.2">
      <c r="A1377" s="5">
        <v>1316</v>
      </c>
      <c r="B1377" s="138">
        <f>'Expenditures 15-22'!K182</f>
        <v>4924855</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4924855</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4924855</v>
      </c>
      <c r="C1388" s="2" t="s">
        <v>593</v>
      </c>
      <c r="D1388" s="2" t="str">
        <f t="shared" si="20"/>
        <v>Error?</v>
      </c>
    </row>
    <row r="1389" spans="1:4" x14ac:dyDescent="0.2">
      <c r="A1389" s="5">
        <v>1328</v>
      </c>
      <c r="B1389" s="138">
        <f>'Expenditures 15-22'!K211</f>
        <v>400470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3071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65576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36569</v>
      </c>
      <c r="D1407" s="2" t="str">
        <f t="shared" ref="D1407:D1470" si="21">IF(ISBLANK(B1407),"OK",IF(A1407-B1407=0,"OK","Error?"))</f>
        <v>Error?</v>
      </c>
    </row>
    <row r="1408" spans="1:4" x14ac:dyDescent="0.2">
      <c r="A1408" s="5">
        <v>1347</v>
      </c>
      <c r="B1408" s="138">
        <f>'Expenditures 15-22'!D223</f>
        <v>62422</v>
      </c>
      <c r="D1408" s="2" t="str">
        <f t="shared" si="21"/>
        <v>Error?</v>
      </c>
    </row>
    <row r="1409" spans="1:4" x14ac:dyDescent="0.2">
      <c r="A1409" s="5">
        <v>1348</v>
      </c>
      <c r="B1409" s="138">
        <f>'Expenditures 15-22'!D224</f>
        <v>20655</v>
      </c>
      <c r="D1409" s="2" t="str">
        <f t="shared" si="21"/>
        <v>Error?</v>
      </c>
    </row>
    <row r="1410" spans="1:4" x14ac:dyDescent="0.2">
      <c r="A1410" s="5">
        <v>1349</v>
      </c>
      <c r="B1410" s="138">
        <f>'Expenditures 15-22'!D229</f>
        <v>799615</v>
      </c>
      <c r="C1410" s="2" t="s">
        <v>593</v>
      </c>
      <c r="D1410" s="2" t="str">
        <f t="shared" si="21"/>
        <v>Error?</v>
      </c>
    </row>
    <row r="1411" spans="1:4" x14ac:dyDescent="0.2">
      <c r="A1411" s="5">
        <v>1350</v>
      </c>
      <c r="B1411" s="138">
        <f>'Expenditures 15-22'!D232</f>
        <v>42387</v>
      </c>
      <c r="D1411" s="2" t="str">
        <f t="shared" si="21"/>
        <v>Error?</v>
      </c>
    </row>
    <row r="1412" spans="1:4" x14ac:dyDescent="0.2">
      <c r="A1412" s="5">
        <v>1351</v>
      </c>
      <c r="B1412" s="138">
        <f>'Expenditures 15-22'!D233</f>
        <v>9424</v>
      </c>
      <c r="D1412" s="2" t="str">
        <f t="shared" si="21"/>
        <v>Error?</v>
      </c>
    </row>
    <row r="1413" spans="1:4" x14ac:dyDescent="0.2">
      <c r="A1413" s="5">
        <v>1352</v>
      </c>
      <c r="B1413" s="138">
        <f>'Expenditures 15-22'!D234</f>
        <v>212811</v>
      </c>
      <c r="D1413" s="2" t="str">
        <f t="shared" si="21"/>
        <v>Error?</v>
      </c>
    </row>
    <row r="1414" spans="1:4" x14ac:dyDescent="0.2">
      <c r="A1414" s="5">
        <v>1353</v>
      </c>
      <c r="B1414" s="138">
        <f>'Expenditures 15-22'!D235</f>
        <v>5878</v>
      </c>
      <c r="D1414" s="2" t="str">
        <f t="shared" si="21"/>
        <v>Error?</v>
      </c>
    </row>
    <row r="1415" spans="1:4" x14ac:dyDescent="0.2">
      <c r="A1415" s="5">
        <v>1354</v>
      </c>
      <c r="B1415" s="138">
        <f>'Expenditures 15-22'!D236</f>
        <v>15103</v>
      </c>
      <c r="D1415" s="2" t="str">
        <f t="shared" si="21"/>
        <v>Error?</v>
      </c>
    </row>
    <row r="1416" spans="1:4" x14ac:dyDescent="0.2">
      <c r="A1416" s="5">
        <v>1355</v>
      </c>
      <c r="B1416" s="138">
        <f>'Expenditures 15-22'!D237</f>
        <v>8618</v>
      </c>
      <c r="D1416" s="2" t="str">
        <f t="shared" si="21"/>
        <v>Error?</v>
      </c>
    </row>
    <row r="1417" spans="1:4" x14ac:dyDescent="0.2">
      <c r="A1417" s="5">
        <v>1356</v>
      </c>
      <c r="B1417" s="138">
        <f>'Expenditures 15-22'!D238</f>
        <v>294221</v>
      </c>
      <c r="C1417" s="2" t="s">
        <v>593</v>
      </c>
      <c r="D1417" s="2" t="str">
        <f t="shared" si="21"/>
        <v>Error?</v>
      </c>
    </row>
    <row r="1418" spans="1:4" x14ac:dyDescent="0.2">
      <c r="A1418" s="5">
        <v>1357</v>
      </c>
      <c r="B1418" s="138">
        <f>'Expenditures 15-22'!D240</f>
        <v>36002</v>
      </c>
      <c r="D1418" s="2" t="str">
        <f t="shared" si="21"/>
        <v>Error?</v>
      </c>
    </row>
    <row r="1419" spans="1:4" x14ac:dyDescent="0.2">
      <c r="A1419" s="5">
        <v>1358</v>
      </c>
      <c r="B1419" s="138">
        <f>'Expenditures 15-22'!D241</f>
        <v>24274</v>
      </c>
      <c r="D1419" s="2" t="str">
        <f t="shared" si="21"/>
        <v>Error?</v>
      </c>
    </row>
    <row r="1420" spans="1:4" x14ac:dyDescent="0.2">
      <c r="A1420" s="5">
        <v>1359</v>
      </c>
      <c r="B1420" s="138">
        <f>'Expenditures 15-22'!D242</f>
        <v>6819</v>
      </c>
      <c r="D1420" s="2" t="str">
        <f t="shared" si="21"/>
        <v>Error?</v>
      </c>
    </row>
    <row r="1421" spans="1:4" x14ac:dyDescent="0.2">
      <c r="A1421" s="5">
        <v>1360</v>
      </c>
      <c r="B1421" s="138">
        <f>'Expenditures 15-22'!D243</f>
        <v>67095</v>
      </c>
      <c r="C1421" s="2" t="s">
        <v>593</v>
      </c>
      <c r="D1421" s="2" t="str">
        <f t="shared" si="21"/>
        <v>Error?</v>
      </c>
    </row>
    <row r="1422" spans="1:4" x14ac:dyDescent="0.2">
      <c r="A1422" s="5">
        <v>1361</v>
      </c>
      <c r="B1422" s="138">
        <f>'Expenditures 15-22'!D245</f>
        <v>11299</v>
      </c>
      <c r="D1422" s="2" t="str">
        <f t="shared" si="21"/>
        <v>Error?</v>
      </c>
    </row>
    <row r="1423" spans="1:4" x14ac:dyDescent="0.2">
      <c r="A1423" s="5">
        <v>1362</v>
      </c>
      <c r="B1423" s="138">
        <f>'Expenditures 15-22'!D246</f>
        <v>13667</v>
      </c>
      <c r="D1423" s="2" t="str">
        <f t="shared" si="21"/>
        <v>Error?</v>
      </c>
    </row>
    <row r="1424" spans="1:4" x14ac:dyDescent="0.2">
      <c r="A1424" s="5">
        <v>1363</v>
      </c>
      <c r="B1424" s="138">
        <f>'Expenditures 15-22'!D257</f>
        <v>24966</v>
      </c>
      <c r="C1424" s="2" t="s">
        <v>593</v>
      </c>
      <c r="D1424" s="2" t="str">
        <f t="shared" si="21"/>
        <v>Error?</v>
      </c>
    </row>
    <row r="1425" spans="1:4" x14ac:dyDescent="0.2">
      <c r="A1425" s="5">
        <v>1364</v>
      </c>
      <c r="B1425" s="138">
        <f>'Expenditures 15-22'!D259</f>
        <v>215382</v>
      </c>
      <c r="D1425" s="2" t="str">
        <f t="shared" si="21"/>
        <v>Error?</v>
      </c>
    </row>
    <row r="1426" spans="1:4" x14ac:dyDescent="0.2">
      <c r="A1426" s="5">
        <v>1365</v>
      </c>
      <c r="B1426" s="138">
        <f>'Expenditures 15-22'!D260</f>
        <v>18673</v>
      </c>
      <c r="D1426" s="2" t="str">
        <f t="shared" si="21"/>
        <v>Error?</v>
      </c>
    </row>
    <row r="1427" spans="1:4" x14ac:dyDescent="0.2">
      <c r="A1427" s="5">
        <v>1366</v>
      </c>
      <c r="B1427" s="138">
        <f>'Expenditures 15-22'!D261</f>
        <v>234055</v>
      </c>
      <c r="C1427" s="2" t="s">
        <v>593</v>
      </c>
      <c r="D1427" s="2" t="str">
        <f t="shared" si="21"/>
        <v>Error?</v>
      </c>
    </row>
    <row r="1428" spans="1:4" x14ac:dyDescent="0.2">
      <c r="A1428" s="5">
        <v>1367</v>
      </c>
      <c r="B1428" s="138">
        <f>'Expenditures 15-22'!D263</f>
        <v>2200</v>
      </c>
      <c r="D1428" s="2" t="str">
        <f t="shared" si="21"/>
        <v>Error?</v>
      </c>
    </row>
    <row r="1429" spans="1:4" x14ac:dyDescent="0.2">
      <c r="A1429" s="5">
        <v>1368</v>
      </c>
      <c r="B1429" s="138">
        <f>'Expenditures 15-22'!D264</f>
        <v>63316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525399</v>
      </c>
      <c r="D1431" s="2" t="str">
        <f t="shared" si="21"/>
        <v>Error?</v>
      </c>
    </row>
    <row r="1432" spans="1:4" x14ac:dyDescent="0.2">
      <c r="A1432" s="5">
        <v>1371</v>
      </c>
      <c r="B1432" s="138">
        <f>'Expenditures 15-22'!D267</f>
        <v>511722</v>
      </c>
      <c r="D1432" s="2" t="str">
        <f t="shared" si="21"/>
        <v>Error?</v>
      </c>
    </row>
    <row r="1433" spans="1:4" x14ac:dyDescent="0.2">
      <c r="A1433" s="5">
        <v>1372</v>
      </c>
      <c r="B1433" s="138">
        <f>'Expenditures 15-22'!D268</f>
        <v>191804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1294441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28025</v>
      </c>
      <c r="D1439" s="2" t="str">
        <f t="shared" si="21"/>
        <v>Error?</v>
      </c>
    </row>
    <row r="1440" spans="1:4" x14ac:dyDescent="0.2">
      <c r="A1440" s="5">
        <v>1379</v>
      </c>
      <c r="B1440" s="138">
        <f>'Expenditures 15-22'!D275</f>
        <v>55815</v>
      </c>
      <c r="D1440" s="2" t="str">
        <f t="shared" si="21"/>
        <v>Error?</v>
      </c>
    </row>
    <row r="1441" spans="1:4" x14ac:dyDescent="0.2">
      <c r="A1441" s="10">
        <v>1380</v>
      </c>
      <c r="D1441" s="2" t="str">
        <f t="shared" si="21"/>
        <v>OK</v>
      </c>
    </row>
    <row r="1442" spans="1:4" x14ac:dyDescent="0.2">
      <c r="A1442" s="5">
        <v>1381</v>
      </c>
      <c r="B1442" s="138">
        <f>'Expenditures 15-22'!D276</f>
        <v>82230</v>
      </c>
      <c r="D1442" s="2" t="str">
        <f t="shared" si="21"/>
        <v>Error?</v>
      </c>
    </row>
    <row r="1443" spans="1:4" x14ac:dyDescent="0.2">
      <c r="A1443" s="10">
        <v>1382</v>
      </c>
      <c r="D1443" s="2" t="str">
        <f t="shared" si="21"/>
        <v>OK</v>
      </c>
    </row>
    <row r="1444" spans="1:4" x14ac:dyDescent="0.2">
      <c r="A1444" s="5">
        <v>1383</v>
      </c>
      <c r="B1444" s="138">
        <f>'Expenditures 15-22'!D277</f>
        <v>166070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2080848</v>
      </c>
      <c r="C1446" s="2" t="s">
        <v>593</v>
      </c>
      <c r="D1446" s="2" t="str">
        <f t="shared" si="21"/>
        <v>Error?</v>
      </c>
    </row>
    <row r="1447" spans="1:4" x14ac:dyDescent="0.2">
      <c r="A1447" s="5">
        <v>1386</v>
      </c>
      <c r="B1447" s="138">
        <f>'Expenditures 15-22'!D280</f>
        <v>80</v>
      </c>
      <c r="D1447" s="2" t="str">
        <f t="shared" si="21"/>
        <v>Error?</v>
      </c>
    </row>
    <row r="1448" spans="1:4" x14ac:dyDescent="0.2">
      <c r="A1448" s="5">
        <v>1387</v>
      </c>
      <c r="B1448" s="138">
        <f>'Expenditures 15-22'!D295</f>
        <v>2880543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3071</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65576</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36569</v>
      </c>
      <c r="C1471" s="2" t="s">
        <v>593</v>
      </c>
      <c r="D1471" s="2" t="str">
        <f t="shared" ref="D1471:D1534" si="22">IF(ISBLANK(B1471),"OK",IF(A1471-B1471=0,"OK","Error?"))</f>
        <v>Error?</v>
      </c>
    </row>
    <row r="1472" spans="1:4" x14ac:dyDescent="0.2">
      <c r="A1472" s="5">
        <v>1411</v>
      </c>
      <c r="B1472" s="138">
        <f>'Expenditures 15-22'!K223</f>
        <v>62422</v>
      </c>
      <c r="C1472" s="2" t="s">
        <v>593</v>
      </c>
      <c r="D1472" s="2" t="str">
        <f t="shared" si="22"/>
        <v>Error?</v>
      </c>
    </row>
    <row r="1473" spans="1:4" x14ac:dyDescent="0.2">
      <c r="A1473" s="5">
        <v>1412</v>
      </c>
      <c r="B1473" s="138">
        <f>'Expenditures 15-22'!K224</f>
        <v>20655</v>
      </c>
      <c r="C1473" s="2" t="s">
        <v>593</v>
      </c>
      <c r="D1473" s="2" t="str">
        <f t="shared" si="22"/>
        <v>Error?</v>
      </c>
    </row>
    <row r="1474" spans="1:4" x14ac:dyDescent="0.2">
      <c r="A1474" s="5">
        <v>1413</v>
      </c>
      <c r="B1474" s="138">
        <f>'Expenditures 15-22'!K229</f>
        <v>799615</v>
      </c>
      <c r="C1474" s="2" t="s">
        <v>593</v>
      </c>
      <c r="D1474" s="2" t="str">
        <f t="shared" si="22"/>
        <v>Error?</v>
      </c>
    </row>
    <row r="1475" spans="1:4" x14ac:dyDescent="0.2">
      <c r="A1475" s="5">
        <v>1414</v>
      </c>
      <c r="B1475" s="138">
        <f>'Expenditures 15-22'!K232</f>
        <v>42387</v>
      </c>
      <c r="C1475" s="2" t="s">
        <v>593</v>
      </c>
      <c r="D1475" s="2" t="str">
        <f t="shared" si="22"/>
        <v>Error?</v>
      </c>
    </row>
    <row r="1476" spans="1:4" x14ac:dyDescent="0.2">
      <c r="A1476" s="5">
        <v>1415</v>
      </c>
      <c r="B1476" s="138">
        <f>'Expenditures 15-22'!K233</f>
        <v>9424</v>
      </c>
      <c r="C1476" s="2" t="s">
        <v>593</v>
      </c>
      <c r="D1476" s="2" t="str">
        <f t="shared" si="22"/>
        <v>Error?</v>
      </c>
    </row>
    <row r="1477" spans="1:4" x14ac:dyDescent="0.2">
      <c r="A1477" s="5">
        <v>1416</v>
      </c>
      <c r="B1477" s="138">
        <f>'Expenditures 15-22'!K234</f>
        <v>212811</v>
      </c>
      <c r="C1477" s="2" t="s">
        <v>593</v>
      </c>
      <c r="D1477" s="2" t="str">
        <f t="shared" si="22"/>
        <v>Error?</v>
      </c>
    </row>
    <row r="1478" spans="1:4" x14ac:dyDescent="0.2">
      <c r="A1478" s="5">
        <v>1417</v>
      </c>
      <c r="B1478" s="138">
        <f>'Expenditures 15-22'!K235</f>
        <v>5878</v>
      </c>
      <c r="C1478" s="2" t="s">
        <v>593</v>
      </c>
      <c r="D1478" s="2" t="str">
        <f t="shared" si="22"/>
        <v>Error?</v>
      </c>
    </row>
    <row r="1479" spans="1:4" x14ac:dyDescent="0.2">
      <c r="A1479" s="5">
        <v>1418</v>
      </c>
      <c r="B1479" s="138">
        <f>'Expenditures 15-22'!K236</f>
        <v>15103</v>
      </c>
      <c r="C1479" s="2" t="s">
        <v>593</v>
      </c>
      <c r="D1479" s="2" t="str">
        <f t="shared" si="22"/>
        <v>Error?</v>
      </c>
    </row>
    <row r="1480" spans="1:4" x14ac:dyDescent="0.2">
      <c r="A1480" s="5">
        <v>1419</v>
      </c>
      <c r="B1480" s="138">
        <f>'Expenditures 15-22'!K237</f>
        <v>8618</v>
      </c>
      <c r="C1480" s="2" t="s">
        <v>593</v>
      </c>
      <c r="D1480" s="2" t="str">
        <f t="shared" si="22"/>
        <v>Error?</v>
      </c>
    </row>
    <row r="1481" spans="1:4" x14ac:dyDescent="0.2">
      <c r="A1481" s="5">
        <v>1420</v>
      </c>
      <c r="B1481" s="138">
        <f>'Expenditures 15-22'!K238</f>
        <v>294221</v>
      </c>
      <c r="C1481" s="2" t="s">
        <v>593</v>
      </c>
      <c r="D1481" s="2" t="str">
        <f t="shared" si="22"/>
        <v>Error?</v>
      </c>
    </row>
    <row r="1482" spans="1:4" x14ac:dyDescent="0.2">
      <c r="A1482" s="5">
        <v>1421</v>
      </c>
      <c r="B1482" s="138">
        <f>'Expenditures 15-22'!K240</f>
        <v>36002</v>
      </c>
      <c r="C1482" s="2" t="s">
        <v>593</v>
      </c>
      <c r="D1482" s="2" t="str">
        <f t="shared" si="22"/>
        <v>Error?</v>
      </c>
    </row>
    <row r="1483" spans="1:4" x14ac:dyDescent="0.2">
      <c r="A1483" s="5">
        <v>1422</v>
      </c>
      <c r="B1483" s="138">
        <f>'Expenditures 15-22'!K241</f>
        <v>24274</v>
      </c>
      <c r="C1483" s="2" t="s">
        <v>593</v>
      </c>
      <c r="D1483" s="2" t="str">
        <f t="shared" si="22"/>
        <v>Error?</v>
      </c>
    </row>
    <row r="1484" spans="1:4" x14ac:dyDescent="0.2">
      <c r="A1484" s="5">
        <v>1423</v>
      </c>
      <c r="B1484" s="138">
        <f>'Expenditures 15-22'!K242</f>
        <v>6819</v>
      </c>
      <c r="C1484" s="2" t="s">
        <v>593</v>
      </c>
      <c r="D1484" s="2" t="str">
        <f t="shared" si="22"/>
        <v>Error?</v>
      </c>
    </row>
    <row r="1485" spans="1:4" x14ac:dyDescent="0.2">
      <c r="A1485" s="5">
        <v>1424</v>
      </c>
      <c r="B1485" s="138">
        <f>'Expenditures 15-22'!K243</f>
        <v>67095</v>
      </c>
      <c r="C1485" s="2" t="s">
        <v>593</v>
      </c>
      <c r="D1485" s="2" t="str">
        <f t="shared" si="22"/>
        <v>Error?</v>
      </c>
    </row>
    <row r="1486" spans="1:4" x14ac:dyDescent="0.2">
      <c r="A1486" s="5">
        <v>1425</v>
      </c>
      <c r="B1486" s="138">
        <f>'Expenditures 15-22'!K245</f>
        <v>11299</v>
      </c>
      <c r="C1486" s="2" t="s">
        <v>593</v>
      </c>
      <c r="D1486" s="2" t="str">
        <f t="shared" si="22"/>
        <v>Error?</v>
      </c>
    </row>
    <row r="1487" spans="1:4" x14ac:dyDescent="0.2">
      <c r="A1487" s="5">
        <v>1426</v>
      </c>
      <c r="B1487" s="138">
        <f>'Expenditures 15-22'!K246</f>
        <v>13667</v>
      </c>
      <c r="C1487" s="2" t="s">
        <v>593</v>
      </c>
      <c r="D1487" s="2" t="str">
        <f t="shared" si="22"/>
        <v>Error?</v>
      </c>
    </row>
    <row r="1488" spans="1:4" x14ac:dyDescent="0.2">
      <c r="A1488" s="5">
        <v>1427</v>
      </c>
      <c r="B1488" s="138">
        <f>'Expenditures 15-22'!K257</f>
        <v>24966</v>
      </c>
      <c r="C1488" s="2" t="s">
        <v>593</v>
      </c>
      <c r="D1488" s="2" t="str">
        <f t="shared" si="22"/>
        <v>Error?</v>
      </c>
    </row>
    <row r="1489" spans="1:4" x14ac:dyDescent="0.2">
      <c r="A1489" s="5">
        <v>1428</v>
      </c>
      <c r="B1489" s="138">
        <f>'Expenditures 15-22'!K259</f>
        <v>215382</v>
      </c>
      <c r="C1489" s="2" t="s">
        <v>593</v>
      </c>
      <c r="D1489" s="2" t="str">
        <f t="shared" si="22"/>
        <v>Error?</v>
      </c>
    </row>
    <row r="1490" spans="1:4" x14ac:dyDescent="0.2">
      <c r="A1490" s="5">
        <v>1429</v>
      </c>
      <c r="B1490" s="138">
        <f>'Expenditures 15-22'!K260</f>
        <v>18673</v>
      </c>
      <c r="C1490" s="2" t="s">
        <v>593</v>
      </c>
      <c r="D1490" s="2" t="str">
        <f t="shared" si="22"/>
        <v>Error?</v>
      </c>
    </row>
    <row r="1491" spans="1:4" x14ac:dyDescent="0.2">
      <c r="A1491" s="5">
        <v>1430</v>
      </c>
      <c r="B1491" s="138">
        <f>'Expenditures 15-22'!K261</f>
        <v>234055</v>
      </c>
      <c r="C1491" s="2" t="s">
        <v>593</v>
      </c>
      <c r="D1491" s="2" t="str">
        <f t="shared" si="22"/>
        <v>Error?</v>
      </c>
    </row>
    <row r="1492" spans="1:4" x14ac:dyDescent="0.2">
      <c r="A1492" s="5">
        <v>1431</v>
      </c>
      <c r="B1492" s="138">
        <f>'Expenditures 15-22'!K263</f>
        <v>2200</v>
      </c>
      <c r="C1492" s="2" t="s">
        <v>593</v>
      </c>
      <c r="D1492" s="2" t="str">
        <f t="shared" si="22"/>
        <v>Error?</v>
      </c>
    </row>
    <row r="1493" spans="1:4" x14ac:dyDescent="0.2">
      <c r="A1493" s="5">
        <v>1432</v>
      </c>
      <c r="B1493" s="138">
        <f>'Expenditures 15-22'!K264</f>
        <v>63316</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525399</v>
      </c>
      <c r="C1495" s="2" t="s">
        <v>593</v>
      </c>
      <c r="D1495" s="2" t="str">
        <f t="shared" si="22"/>
        <v>Error?</v>
      </c>
    </row>
    <row r="1496" spans="1:4" x14ac:dyDescent="0.2">
      <c r="A1496" s="5">
        <v>1435</v>
      </c>
      <c r="B1496" s="138">
        <f>'Expenditures 15-22'!K267</f>
        <v>511722</v>
      </c>
      <c r="C1496" s="2" t="s">
        <v>593</v>
      </c>
      <c r="D1496" s="2" t="str">
        <f t="shared" si="22"/>
        <v>Error?</v>
      </c>
    </row>
    <row r="1497" spans="1:4" x14ac:dyDescent="0.2">
      <c r="A1497" s="5">
        <v>1436</v>
      </c>
      <c r="B1497" s="138">
        <f>'Expenditures 15-22'!K268</f>
        <v>191804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1294441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28025</v>
      </c>
      <c r="C1503" s="2" t="s">
        <v>593</v>
      </c>
      <c r="D1503" s="2" t="str">
        <f t="shared" si="22"/>
        <v>Error?</v>
      </c>
    </row>
    <row r="1504" spans="1:4" x14ac:dyDescent="0.2">
      <c r="A1504" s="5">
        <v>1443</v>
      </c>
      <c r="B1504" s="138">
        <f>'Expenditures 15-22'!K275</f>
        <v>55815</v>
      </c>
      <c r="C1504" s="2" t="s">
        <v>593</v>
      </c>
      <c r="D1504" s="2" t="str">
        <f t="shared" si="22"/>
        <v>Error?</v>
      </c>
    </row>
    <row r="1505" spans="1:4" x14ac:dyDescent="0.2">
      <c r="A1505" s="10">
        <v>1444</v>
      </c>
      <c r="D1505" s="2" t="str">
        <f t="shared" si="22"/>
        <v>OK</v>
      </c>
    </row>
    <row r="1506" spans="1:4" x14ac:dyDescent="0.2">
      <c r="A1506" s="5">
        <v>1445</v>
      </c>
      <c r="B1506" s="138">
        <f>'Expenditures 15-22'!K276</f>
        <v>82230</v>
      </c>
      <c r="C1506" s="2" t="s">
        <v>593</v>
      </c>
      <c r="D1506" s="2" t="str">
        <f t="shared" si="22"/>
        <v>Error?</v>
      </c>
    </row>
    <row r="1507" spans="1:4" x14ac:dyDescent="0.2">
      <c r="A1507" s="10">
        <v>1446</v>
      </c>
      <c r="D1507" s="2" t="str">
        <f t="shared" si="22"/>
        <v>OK</v>
      </c>
    </row>
    <row r="1508" spans="1:4" x14ac:dyDescent="0.2">
      <c r="A1508" s="5">
        <v>1447</v>
      </c>
      <c r="B1508" s="138">
        <f>'Expenditures 15-22'!K277</f>
        <v>166070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2080848</v>
      </c>
      <c r="C1510" s="2" t="s">
        <v>593</v>
      </c>
      <c r="D1510" s="2" t="str">
        <f t="shared" si="22"/>
        <v>Error?</v>
      </c>
    </row>
    <row r="1511" spans="1:4" x14ac:dyDescent="0.2">
      <c r="A1511" s="5">
        <v>1450</v>
      </c>
      <c r="B1511" s="138">
        <f>'Expenditures 15-22'!K280</f>
        <v>80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2880543</v>
      </c>
      <c r="C1517" s="2" t="s">
        <v>593</v>
      </c>
      <c r="D1517" s="2" t="str">
        <f t="shared" si="22"/>
        <v>Error?</v>
      </c>
    </row>
    <row r="1518" spans="1:4" x14ac:dyDescent="0.2">
      <c r="A1518" s="5">
        <v>1457</v>
      </c>
      <c r="B1518" s="138">
        <f>'Expenditures 15-22'!K296</f>
        <v>227724</v>
      </c>
      <c r="C1518" s="2" t="s">
        <v>593</v>
      </c>
      <c r="D1518" s="2" t="str">
        <f t="shared" si="22"/>
        <v>Error?</v>
      </c>
    </row>
    <row r="1519" spans="1:4" x14ac:dyDescent="0.2">
      <c r="A1519" s="5">
        <v>1458</v>
      </c>
      <c r="B1519" s="138">
        <f>'Expenditures 15-22'!C301</f>
        <v>11944</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11944</v>
      </c>
      <c r="C1523" s="2" t="s">
        <v>593</v>
      </c>
      <c r="D1523" s="2" t="str">
        <f t="shared" si="22"/>
        <v>Error?</v>
      </c>
    </row>
    <row r="1524" spans="1:4" x14ac:dyDescent="0.2">
      <c r="A1524" s="5">
        <v>1463</v>
      </c>
      <c r="B1524" s="138">
        <f>'Expenditures 15-22'!C312</f>
        <v>11944</v>
      </c>
      <c r="C1524" s="2" t="s">
        <v>593</v>
      </c>
      <c r="D1524" s="2" t="str">
        <f t="shared" si="22"/>
        <v>Error?</v>
      </c>
    </row>
    <row r="1525" spans="1:4" x14ac:dyDescent="0.2">
      <c r="A1525" s="5">
        <v>1464</v>
      </c>
      <c r="B1525" s="138">
        <f>'Expenditures 15-22'!D301</f>
        <v>1532</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1532</v>
      </c>
      <c r="C1529" s="2" t="s">
        <v>593</v>
      </c>
      <c r="D1529" s="2" t="str">
        <f t="shared" si="22"/>
        <v>Error?</v>
      </c>
    </row>
    <row r="1530" spans="1:4" x14ac:dyDescent="0.2">
      <c r="A1530" s="5">
        <v>1469</v>
      </c>
      <c r="B1530" s="138">
        <f>'Expenditures 15-22'!D312</f>
        <v>1532</v>
      </c>
      <c r="C1530" s="2" t="s">
        <v>593</v>
      </c>
      <c r="D1530" s="2" t="str">
        <f t="shared" si="22"/>
        <v>Error?</v>
      </c>
    </row>
    <row r="1531" spans="1:4" x14ac:dyDescent="0.2">
      <c r="A1531" s="5">
        <v>1470</v>
      </c>
      <c r="B1531" s="138">
        <f>'Expenditures 15-22'!E301</f>
        <v>1325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1325</v>
      </c>
      <c r="C1535" s="2" t="s">
        <v>593</v>
      </c>
      <c r="D1535" s="2" t="str">
        <f t="shared" ref="D1535:D1598" si="23">IF(ISBLANK(B1535),"OK",IF(A1535-B1535=0,"OK","Error?"))</f>
        <v>Error?</v>
      </c>
    </row>
    <row r="1536" spans="1:4" x14ac:dyDescent="0.2">
      <c r="A1536" s="5">
        <v>1475</v>
      </c>
      <c r="B1536" s="138">
        <f>'Expenditures 15-22'!E312</f>
        <v>1325</v>
      </c>
      <c r="C1536" s="2" t="s">
        <v>593</v>
      </c>
      <c r="D1536" s="2" t="str">
        <f t="shared" si="23"/>
        <v>Error?</v>
      </c>
    </row>
    <row r="1537" spans="1:4" x14ac:dyDescent="0.2">
      <c r="A1537" s="5">
        <v>1476</v>
      </c>
      <c r="B1537" s="138">
        <f>'Expenditures 15-22'!F301</f>
        <v>13680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13680</v>
      </c>
      <c r="C1541" s="2" t="s">
        <v>593</v>
      </c>
      <c r="D1541" s="2" t="str">
        <f t="shared" si="23"/>
        <v>Error?</v>
      </c>
    </row>
    <row r="1542" spans="1:4" x14ac:dyDescent="0.2">
      <c r="A1542" s="5">
        <v>1481</v>
      </c>
      <c r="B1542" s="138">
        <f>'Expenditures 15-22'!F312</f>
        <v>13680</v>
      </c>
      <c r="C1542" s="2" t="s">
        <v>593</v>
      </c>
      <c r="D1542" s="2" t="str">
        <f t="shared" si="23"/>
        <v>Error?</v>
      </c>
    </row>
    <row r="1543" spans="1:4" x14ac:dyDescent="0.2">
      <c r="A1543" s="5">
        <v>1482</v>
      </c>
      <c r="B1543" s="138">
        <f>'Expenditures 15-22'!G301</f>
        <v>10594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10594</v>
      </c>
      <c r="C1547" s="2" t="s">
        <v>593</v>
      </c>
      <c r="D1547" s="2" t="str">
        <f t="shared" si="23"/>
        <v>Error?</v>
      </c>
    </row>
    <row r="1548" spans="1:4" x14ac:dyDescent="0.2">
      <c r="A1548" s="5">
        <v>1487</v>
      </c>
      <c r="B1548" s="138">
        <f>'Expenditures 15-22'!G312</f>
        <v>10594</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39075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39075</v>
      </c>
      <c r="C1559" s="2" t="s">
        <v>593</v>
      </c>
      <c r="D1559" s="2" t="str">
        <f t="shared" si="23"/>
        <v>Error?</v>
      </c>
    </row>
    <row r="1560" spans="1:4" x14ac:dyDescent="0.2">
      <c r="A1560" s="5">
        <v>1499</v>
      </c>
      <c r="B1560" s="138">
        <f>'Expenditures 15-22'!K312</f>
        <v>39075</v>
      </c>
      <c r="C1560" s="2" t="s">
        <v>593</v>
      </c>
      <c r="D1560" s="2" t="str">
        <f t="shared" si="23"/>
        <v>Error?</v>
      </c>
    </row>
    <row r="1561" spans="1:4" x14ac:dyDescent="0.2">
      <c r="A1561" s="5">
        <v>1500</v>
      </c>
      <c r="B1561" s="138">
        <f>'Expenditures 15-22'!K313</f>
        <v>46048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40186876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45497769</v>
      </c>
      <c r="C1630" s="2" t="s">
        <v>593</v>
      </c>
      <c r="D1630" s="2" t="str">
        <f t="shared" si="24"/>
        <v>Error?</v>
      </c>
    </row>
    <row r="1631" spans="1:4" x14ac:dyDescent="0.2">
      <c r="A1631" s="5">
        <v>1570</v>
      </c>
      <c r="B1631" s="138">
        <f>'Acct Summary 7-8'!D79</f>
        <v>4007376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4417342</v>
      </c>
      <c r="C1644" s="2" t="s">
        <v>593</v>
      </c>
      <c r="D1644" s="2" t="str">
        <f t="shared" si="24"/>
        <v>Error?</v>
      </c>
    </row>
    <row r="1645" spans="1:4" x14ac:dyDescent="0.2">
      <c r="A1645" s="5">
        <v>1584</v>
      </c>
      <c r="B1645" s="138">
        <f>'Acct Summary 7-8'!E79</f>
        <v>5124071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5369670</v>
      </c>
      <c r="C1658" s="2" t="s">
        <v>593</v>
      </c>
      <c r="D1658" s="2" t="str">
        <f t="shared" si="24"/>
        <v>Error?</v>
      </c>
    </row>
    <row r="1659" spans="1:4" x14ac:dyDescent="0.2">
      <c r="A1659" s="5">
        <v>1598</v>
      </c>
      <c r="B1659" s="138">
        <f>'Acct Summary 7-8'!F79</f>
        <v>4467956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4868426</v>
      </c>
      <c r="C1672" s="2" t="s">
        <v>593</v>
      </c>
      <c r="D1672" s="2" t="str">
        <f t="shared" si="25"/>
        <v>Error?</v>
      </c>
    </row>
    <row r="1673" spans="1:4" x14ac:dyDescent="0.2">
      <c r="A1673" s="5">
        <v>1612</v>
      </c>
      <c r="B1673" s="138">
        <f>'Acct Summary 7-8'!G79</f>
        <v>1839931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2067655</v>
      </c>
      <c r="C1686" s="2" t="s">
        <v>593</v>
      </c>
      <c r="D1686" s="2" t="str">
        <f t="shared" si="25"/>
        <v>Error?</v>
      </c>
    </row>
    <row r="1687" spans="1:4" x14ac:dyDescent="0.2">
      <c r="A1687" s="5">
        <v>1626</v>
      </c>
      <c r="B1687" s="138">
        <f>'Acct Summary 7-8'!H79</f>
        <v>880362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313779</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30405700</v>
      </c>
      <c r="C1744" s="2" t="s">
        <v>593</v>
      </c>
      <c r="D1744" s="2" t="str">
        <f t="shared" si="26"/>
        <v>Error?</v>
      </c>
    </row>
    <row r="1745" spans="1:5" x14ac:dyDescent="0.2">
      <c r="A1745" s="5">
        <v>1684</v>
      </c>
      <c r="B1745" s="138">
        <f>'Tax Sched 23'!B5</f>
        <v>5924661</v>
      </c>
      <c r="C1745" s="2" t="s">
        <v>593</v>
      </c>
      <c r="D1745" s="2" t="str">
        <f t="shared" si="26"/>
        <v>Error?</v>
      </c>
    </row>
    <row r="1746" spans="1:5" x14ac:dyDescent="0.2">
      <c r="A1746" s="5">
        <v>1685</v>
      </c>
      <c r="B1746" s="138">
        <f>'Tax Sched 23'!B6</f>
        <v>8781164</v>
      </c>
      <c r="C1746" s="2" t="s">
        <v>593</v>
      </c>
      <c r="D1746" s="2" t="str">
        <f t="shared" si="26"/>
        <v>Error?</v>
      </c>
    </row>
    <row r="1747" spans="1:5" x14ac:dyDescent="0.2">
      <c r="A1747" s="5">
        <v>1686</v>
      </c>
      <c r="B1747" s="138">
        <f>'Tax Sched 23'!B7</f>
        <v>1691593</v>
      </c>
      <c r="C1747" s="2" t="s">
        <v>593</v>
      </c>
      <c r="D1747" s="2" t="str">
        <f t="shared" si="26"/>
        <v>Error?</v>
      </c>
    </row>
    <row r="1748" spans="1:5" x14ac:dyDescent="0.2">
      <c r="A1748" s="5">
        <v>1687</v>
      </c>
      <c r="B1748" s="138">
        <f>'Tax Sched 23'!B8</f>
        <v>1503309</v>
      </c>
      <c r="C1748" s="2" t="s">
        <v>593</v>
      </c>
      <c r="D1748" s="2" t="str">
        <f t="shared" si="26"/>
        <v>Error?</v>
      </c>
    </row>
    <row r="1749" spans="1:5" x14ac:dyDescent="0.2">
      <c r="A1749" s="5">
        <v>1688</v>
      </c>
      <c r="B1749" s="138">
        <f>'Tax Sched 23'!B10</f>
        <v>399093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1225837</v>
      </c>
      <c r="C1752" s="2" t="s">
        <v>593</v>
      </c>
      <c r="D1752" s="2" t="str">
        <f t="shared" si="26"/>
        <v>Error?</v>
      </c>
    </row>
    <row r="1753" spans="1:5" x14ac:dyDescent="0.2">
      <c r="A1753" s="5">
        <v>1692</v>
      </c>
      <c r="B1753" s="138">
        <f>'Tax Sched 23'!B12</f>
        <v>799016</v>
      </c>
      <c r="C1753" s="2" t="s">
        <v>593</v>
      </c>
      <c r="D1753" s="2" t="str">
        <f t="shared" si="26"/>
        <v>Error?</v>
      </c>
    </row>
    <row r="1754" spans="1:5" x14ac:dyDescent="0.2">
      <c r="A1754" s="5">
        <v>1693</v>
      </c>
      <c r="B1754" s="138">
        <f>'Tax Sched 23'!B14</f>
        <v>6182631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58416313</v>
      </c>
      <c r="C1759" s="2" t="s">
        <v>593</v>
      </c>
      <c r="D1759" s="2" t="str">
        <f t="shared" si="26"/>
        <v>Error?</v>
      </c>
    </row>
    <row r="1760" spans="1:5" x14ac:dyDescent="0.2">
      <c r="A1760" s="5">
        <v>1699</v>
      </c>
      <c r="B1760" s="138">
        <f>'Tax Sched 23'!D4</f>
        <v>14668441</v>
      </c>
      <c r="C1760" s="2" t="s">
        <v>593</v>
      </c>
      <c r="D1760" s="2" t="str">
        <f t="shared" si="26"/>
        <v>Error?</v>
      </c>
    </row>
    <row r="1761" spans="1:5" x14ac:dyDescent="0.2">
      <c r="A1761" s="5">
        <v>1700</v>
      </c>
      <c r="B1761" s="138">
        <f>'Tax Sched 23'!D5</f>
        <v>2750320</v>
      </c>
      <c r="C1761" s="2" t="s">
        <v>593</v>
      </c>
      <c r="D1761" s="2" t="str">
        <f t="shared" si="26"/>
        <v>Error?</v>
      </c>
    </row>
    <row r="1762" spans="1:5" s="8" customFormat="1" x14ac:dyDescent="0.2">
      <c r="A1762" s="5">
        <v>1701</v>
      </c>
      <c r="B1762" s="138">
        <f>'Tax Sched 23'!D6</f>
        <v>4285297</v>
      </c>
      <c r="C1762" s="2" t="s">
        <v>593</v>
      </c>
      <c r="D1762" s="2" t="str">
        <f t="shared" si="26"/>
        <v>Error?</v>
      </c>
      <c r="E1762" s="9"/>
    </row>
    <row r="1763" spans="1:5" x14ac:dyDescent="0.2">
      <c r="A1763" s="5">
        <v>1702</v>
      </c>
      <c r="B1763" s="138">
        <f>'Tax Sched 23'!D7</f>
        <v>750042</v>
      </c>
      <c r="C1763" s="2" t="s">
        <v>593</v>
      </c>
      <c r="D1763" s="2" t="str">
        <f t="shared" si="26"/>
        <v>Error?</v>
      </c>
    </row>
    <row r="1764" spans="1:5" x14ac:dyDescent="0.2">
      <c r="A1764" s="5">
        <v>1703</v>
      </c>
      <c r="B1764" s="138">
        <f>'Tax Sched 23'!D8</f>
        <v>701664</v>
      </c>
      <c r="C1764" s="2" t="s">
        <v>593</v>
      </c>
      <c r="D1764" s="2" t="str">
        <f t="shared" si="26"/>
        <v>Error?</v>
      </c>
    </row>
    <row r="1765" spans="1:5" x14ac:dyDescent="0.2">
      <c r="A1765" s="5">
        <v>1704</v>
      </c>
      <c r="B1765" s="138">
        <f>'Tax Sched 23'!D10</f>
        <v>183881</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580202</v>
      </c>
      <c r="C1768" s="2" t="s">
        <v>593</v>
      </c>
      <c r="D1768" s="2" t="str">
        <f t="shared" si="26"/>
        <v>Error?</v>
      </c>
    </row>
    <row r="1769" spans="1:5" x14ac:dyDescent="0.2">
      <c r="A1769" s="5">
        <v>1708</v>
      </c>
      <c r="B1769" s="138">
        <f>'Tax Sched 23'!D12</f>
        <v>366702</v>
      </c>
      <c r="C1769" s="2" t="s">
        <v>593</v>
      </c>
      <c r="D1769" s="2" t="str">
        <f t="shared" si="26"/>
        <v>Error?</v>
      </c>
    </row>
    <row r="1770" spans="1:5" x14ac:dyDescent="0.2">
      <c r="A1770" s="5">
        <v>1709</v>
      </c>
      <c r="B1770" s="138">
        <f>'Tax Sched 23'!D14</f>
        <v>2927586</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27915799</v>
      </c>
      <c r="C1775" s="2" t="s">
        <v>593</v>
      </c>
      <c r="D1775" s="2" t="str">
        <f t="shared" si="26"/>
        <v>Error?</v>
      </c>
    </row>
    <row r="1776" spans="1:5" x14ac:dyDescent="0.2">
      <c r="A1776" s="5">
        <v>1715</v>
      </c>
      <c r="B1776" s="138">
        <f>'Tax Sched 23'!C4</f>
        <v>15737259</v>
      </c>
      <c r="D1776" s="2" t="str">
        <f t="shared" si="26"/>
        <v>Error?</v>
      </c>
    </row>
    <row r="1777" spans="1:4" x14ac:dyDescent="0.2">
      <c r="A1777" s="5">
        <v>1716</v>
      </c>
      <c r="B1777" s="138">
        <f>'Tax Sched 23'!C5</f>
        <v>3174341</v>
      </c>
      <c r="D1777" s="2" t="str">
        <f t="shared" si="26"/>
        <v>Error?</v>
      </c>
    </row>
    <row r="1778" spans="1:4" x14ac:dyDescent="0.2">
      <c r="A1778" s="5">
        <v>1717</v>
      </c>
      <c r="B1778" s="138">
        <f>'Tax Sched 23'!C6</f>
        <v>4495867</v>
      </c>
      <c r="D1778" s="2" t="str">
        <f t="shared" si="26"/>
        <v>Error?</v>
      </c>
    </row>
    <row r="1779" spans="1:4" x14ac:dyDescent="0.2">
      <c r="A1779" s="5">
        <v>1718</v>
      </c>
      <c r="B1779" s="138">
        <f>'Tax Sched 23'!C7</f>
        <v>941551</v>
      </c>
      <c r="D1779" s="2" t="str">
        <f t="shared" si="26"/>
        <v>Error?</v>
      </c>
    </row>
    <row r="1780" spans="1:4" x14ac:dyDescent="0.2">
      <c r="A1780" s="5">
        <v>1719</v>
      </c>
      <c r="B1780" s="138">
        <f>'Tax Sched 23'!C8</f>
        <v>801645</v>
      </c>
      <c r="D1780" s="2" t="str">
        <f t="shared" si="26"/>
        <v>Error?</v>
      </c>
    </row>
    <row r="1781" spans="1:4" x14ac:dyDescent="0.2">
      <c r="A1781" s="5">
        <v>1720</v>
      </c>
      <c r="B1781" s="138">
        <f>'Tax Sched 23'!C10</f>
        <v>215212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645635</v>
      </c>
      <c r="D1784" s="2" t="str">
        <f t="shared" si="26"/>
        <v>Error?</v>
      </c>
    </row>
    <row r="1785" spans="1:4" x14ac:dyDescent="0.2">
      <c r="A1785" s="5">
        <v>1724</v>
      </c>
      <c r="B1785" s="138">
        <f>'Tax Sched 23'!C12</f>
        <v>432314</v>
      </c>
      <c r="D1785" s="2" t="str">
        <f t="shared" si="26"/>
        <v>Error?</v>
      </c>
    </row>
    <row r="1786" spans="1:4" x14ac:dyDescent="0.2">
      <c r="A1786" s="5">
        <v>1725</v>
      </c>
      <c r="B1786" s="138">
        <f>'Tax Sched 23'!C14</f>
        <v>3255045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30500514</v>
      </c>
      <c r="C1791" s="2" t="s">
        <v>593</v>
      </c>
      <c r="D1791" s="2" t="str">
        <f t="shared" ref="D1791:D1854" si="27">IF(ISBLANK(B1791),"OK",IF(A1791-B1791=0,"OK","Error?"))</f>
        <v>Error?</v>
      </c>
    </row>
    <row r="1792" spans="1:4" x14ac:dyDescent="0.2">
      <c r="A1792" s="5">
        <v>1731</v>
      </c>
      <c r="B1792" s="138">
        <f>'Tax Sched 23'!F4</f>
        <v>13512742</v>
      </c>
      <c r="C1792" s="2" t="s">
        <v>593</v>
      </c>
      <c r="D1792" s="2" t="str">
        <f t="shared" si="27"/>
        <v>Error?</v>
      </c>
    </row>
    <row r="1793" spans="1:4" x14ac:dyDescent="0.2">
      <c r="A1793" s="5">
        <v>1732</v>
      </c>
      <c r="B1793" s="138">
        <f>'Tax Sched 23'!F5</f>
        <v>2725665</v>
      </c>
      <c r="C1793" s="2" t="s">
        <v>593</v>
      </c>
      <c r="D1793" s="2" t="str">
        <f t="shared" si="27"/>
        <v>Error?</v>
      </c>
    </row>
    <row r="1794" spans="1:4" x14ac:dyDescent="0.2">
      <c r="A1794" s="5">
        <v>1733</v>
      </c>
      <c r="B1794" s="138">
        <f>'Tax Sched 23'!F6</f>
        <v>3860422</v>
      </c>
      <c r="C1794" s="2" t="s">
        <v>593</v>
      </c>
      <c r="D1794" s="2" t="str">
        <f t="shared" si="27"/>
        <v>Error?</v>
      </c>
    </row>
    <row r="1795" spans="1:4" x14ac:dyDescent="0.2">
      <c r="A1795" s="5">
        <v>1734</v>
      </c>
      <c r="B1795" s="138">
        <f>'Tax Sched 23'!F7</f>
        <v>808452</v>
      </c>
      <c r="C1795" s="2" t="s">
        <v>593</v>
      </c>
      <c r="D1795" s="2" t="str">
        <f t="shared" si="27"/>
        <v>Error?</v>
      </c>
    </row>
    <row r="1796" spans="1:4" x14ac:dyDescent="0.2">
      <c r="A1796" s="5">
        <v>1735</v>
      </c>
      <c r="B1796" s="138">
        <f>'Tax Sched 23'!F8</f>
        <v>688360</v>
      </c>
      <c r="C1796" s="2" t="s">
        <v>593</v>
      </c>
      <c r="D1796" s="2" t="str">
        <f t="shared" si="27"/>
        <v>Error?</v>
      </c>
    </row>
    <row r="1797" spans="1:4" x14ac:dyDescent="0.2">
      <c r="A1797" s="5">
        <v>1736</v>
      </c>
      <c r="B1797" s="138">
        <f>'Tax Sched 23'!F10</f>
        <v>184789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554369</v>
      </c>
      <c r="C1800" s="2" t="s">
        <v>593</v>
      </c>
      <c r="D1800" s="2" t="str">
        <f t="shared" si="27"/>
        <v>Error?</v>
      </c>
    </row>
    <row r="1801" spans="1:4" x14ac:dyDescent="0.2">
      <c r="A1801" s="5">
        <v>1740</v>
      </c>
      <c r="B1801" s="138">
        <f>'Tax Sched 23'!F12</f>
        <v>371192</v>
      </c>
      <c r="C1801" s="2" t="s">
        <v>593</v>
      </c>
      <c r="D1801" s="2" t="str">
        <f t="shared" si="27"/>
        <v>Error?</v>
      </c>
    </row>
    <row r="1802" spans="1:4" x14ac:dyDescent="0.2">
      <c r="A1802" s="5">
        <v>1741</v>
      </c>
      <c r="B1802" s="138">
        <f>'Tax Sched 23'!F14</f>
        <v>2794959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26189310</v>
      </c>
      <c r="C1807" s="2" t="s">
        <v>593</v>
      </c>
      <c r="D1807" s="2" t="str">
        <f t="shared" si="27"/>
        <v>Error?</v>
      </c>
    </row>
    <row r="1808" spans="1:4" x14ac:dyDescent="0.2">
      <c r="A1808" s="5">
        <v>1747</v>
      </c>
      <c r="B1808" s="138">
        <f>'Tax Sched 23'!E4</f>
        <v>29250001</v>
      </c>
      <c r="D1808" s="2" t="str">
        <f t="shared" si="27"/>
        <v>Error?</v>
      </c>
    </row>
    <row r="1809" spans="1:4" x14ac:dyDescent="0.2">
      <c r="A1809" s="5">
        <v>1748</v>
      </c>
      <c r="B1809" s="138">
        <f>'Tax Sched 23'!E5</f>
        <v>5900006</v>
      </c>
      <c r="D1809" s="2" t="str">
        <f t="shared" si="27"/>
        <v>Error?</v>
      </c>
    </row>
    <row r="1810" spans="1:4" x14ac:dyDescent="0.2">
      <c r="A1810" s="5">
        <v>1749</v>
      </c>
      <c r="B1810" s="138">
        <f>'Tax Sched 23'!E6</f>
        <v>8356289</v>
      </c>
      <c r="D1810" s="2" t="str">
        <f t="shared" si="27"/>
        <v>Error?</v>
      </c>
    </row>
    <row r="1811" spans="1:4" x14ac:dyDescent="0.2">
      <c r="A1811" s="5">
        <v>1750</v>
      </c>
      <c r="B1811" s="138">
        <f>'Tax Sched 23'!E7</f>
        <v>1750003</v>
      </c>
      <c r="D1811" s="2" t="str">
        <f t="shared" si="27"/>
        <v>Error?</v>
      </c>
    </row>
    <row r="1812" spans="1:4" x14ac:dyDescent="0.2">
      <c r="A1812" s="5">
        <v>1751</v>
      </c>
      <c r="B1812" s="138">
        <f>'Tax Sched 23'!E8</f>
        <v>1490005</v>
      </c>
      <c r="D1812" s="2" t="str">
        <f t="shared" si="27"/>
        <v>Error?</v>
      </c>
    </row>
    <row r="1813" spans="1:4" x14ac:dyDescent="0.2">
      <c r="A1813" s="5">
        <v>1752</v>
      </c>
      <c r="B1813" s="138">
        <f>'Tax Sched 23'!E10</f>
        <v>400001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1200004</v>
      </c>
      <c r="D1816" s="2" t="str">
        <f t="shared" si="27"/>
        <v>Error?</v>
      </c>
    </row>
    <row r="1817" spans="1:4" x14ac:dyDescent="0.2">
      <c r="A1817" s="5">
        <v>1756</v>
      </c>
      <c r="B1817" s="138">
        <f>'Tax Sched 23'!E12</f>
        <v>803506</v>
      </c>
      <c r="D1817" s="2" t="str">
        <f t="shared" si="27"/>
        <v>Error?</v>
      </c>
    </row>
    <row r="1818" spans="1:4" x14ac:dyDescent="0.2">
      <c r="A1818" s="5">
        <v>1757</v>
      </c>
      <c r="B1818" s="138">
        <f>'Tax Sched 23'!E14</f>
        <v>6050004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56689824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107029375</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6182631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6182631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6182631</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6009087</v>
      </c>
      <c r="D2008" s="2" t="str">
        <f t="shared" si="30"/>
        <v>Error?</v>
      </c>
    </row>
    <row r="2009" spans="1:4" x14ac:dyDescent="0.2">
      <c r="A2009" s="5">
        <v>1948</v>
      </c>
      <c r="B2009" s="138">
        <f>'Cap Outlay Deprec 26'!C8</f>
        <v>154331364</v>
      </c>
      <c r="D2009" s="2" t="str">
        <f t="shared" si="30"/>
        <v>Error?</v>
      </c>
    </row>
    <row r="2010" spans="1:4" x14ac:dyDescent="0.2">
      <c r="A2010" s="5">
        <v>1949</v>
      </c>
      <c r="B2010" s="138">
        <f>'Cap Outlay Deprec 26'!C10</f>
        <v>10047938</v>
      </c>
      <c r="D2010" s="2" t="str">
        <f t="shared" si="30"/>
        <v>Error?</v>
      </c>
    </row>
    <row r="2011" spans="1:4" x14ac:dyDescent="0.2">
      <c r="A2011" s="5">
        <v>1950</v>
      </c>
      <c r="B2011" s="138">
        <f>'Cap Outlay Deprec 26'!C12</f>
        <v>13831741</v>
      </c>
      <c r="D2011" s="2" t="str">
        <f t="shared" si="30"/>
        <v>Error?</v>
      </c>
    </row>
    <row r="2012" spans="1:4" x14ac:dyDescent="0.2">
      <c r="A2012" s="5">
        <v>1951</v>
      </c>
      <c r="B2012" s="138">
        <f>'Cap Outlay Deprec 26'!C13</f>
        <v>6152337</v>
      </c>
      <c r="D2012" s="2" t="str">
        <f t="shared" si="30"/>
        <v>Error?</v>
      </c>
    </row>
    <row r="2013" spans="1:4" x14ac:dyDescent="0.2">
      <c r="A2013" s="5">
        <v>1952</v>
      </c>
      <c r="B2013" s="138">
        <f>'Cap Outlay Deprec 26'!C16</f>
        <v>190632765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568312</v>
      </c>
      <c r="D2015" s="2" t="str">
        <f t="shared" si="30"/>
        <v>Error?</v>
      </c>
    </row>
    <row r="2016" spans="1:4" x14ac:dyDescent="0.2">
      <c r="A2016" s="5">
        <v>1955</v>
      </c>
      <c r="B2016" s="138">
        <f>'Cap Outlay Deprec 26'!D10</f>
        <v>183083</v>
      </c>
      <c r="D2016" s="2" t="str">
        <f t="shared" si="30"/>
        <v>Error?</v>
      </c>
    </row>
    <row r="2017" spans="1:4" x14ac:dyDescent="0.2">
      <c r="A2017" s="5">
        <v>1956</v>
      </c>
      <c r="B2017" s="138">
        <f>'Cap Outlay Deprec 26'!D12</f>
        <v>332032</v>
      </c>
      <c r="D2017" s="2" t="str">
        <f t="shared" si="30"/>
        <v>Error?</v>
      </c>
    </row>
    <row r="2018" spans="1:4" x14ac:dyDescent="0.2">
      <c r="A2018" s="5">
        <v>1957</v>
      </c>
      <c r="B2018" s="138">
        <f>'Cap Outlay Deprec 26'!D13</f>
        <v>532363</v>
      </c>
      <c r="D2018" s="2" t="str">
        <f t="shared" si="30"/>
        <v>Error?</v>
      </c>
    </row>
    <row r="2019" spans="1:4" x14ac:dyDescent="0.2">
      <c r="A2019" s="5">
        <v>1958</v>
      </c>
      <c r="B2019" s="138">
        <f>'Cap Outlay Deprec 26'!D16</f>
        <v>1708636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264044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524342</v>
      </c>
      <c r="C2025" s="2" t="s">
        <v>593</v>
      </c>
      <c r="D2025" s="2" t="str">
        <f t="shared" si="30"/>
        <v>Error?</v>
      </c>
    </row>
    <row r="2026" spans="1:4" x14ac:dyDescent="0.2">
      <c r="A2026" s="5">
        <v>1965</v>
      </c>
      <c r="B2026" s="138">
        <f>'Cap Outlay Deprec 26'!F5</f>
        <v>6009087</v>
      </c>
      <c r="C2026" s="2" t="s">
        <v>593</v>
      </c>
      <c r="D2026" s="2" t="str">
        <f t="shared" si="30"/>
        <v>Error?</v>
      </c>
    </row>
    <row r="2027" spans="1:4" x14ac:dyDescent="0.2">
      <c r="A2027" s="5">
        <v>1966</v>
      </c>
      <c r="B2027" s="138">
        <f>'Cap Outlay Deprec 26'!F8</f>
        <v>154899676</v>
      </c>
      <c r="C2027" s="2" t="s">
        <v>593</v>
      </c>
      <c r="D2027" s="2" t="str">
        <f t="shared" si="30"/>
        <v>Error?</v>
      </c>
    </row>
    <row r="2028" spans="1:4" x14ac:dyDescent="0.2">
      <c r="A2028" s="5">
        <v>1967</v>
      </c>
      <c r="B2028" s="138">
        <f>'Cap Outlay Deprec 26'!F10</f>
        <v>10231021</v>
      </c>
      <c r="C2028" s="2" t="s">
        <v>593</v>
      </c>
      <c r="D2028" s="2" t="str">
        <f t="shared" si="30"/>
        <v>Error?</v>
      </c>
    </row>
    <row r="2029" spans="1:4" x14ac:dyDescent="0.2">
      <c r="A2029" s="5">
        <v>1968</v>
      </c>
      <c r="B2029" s="138">
        <f>'Cap Outlay Deprec 26'!F12</f>
        <v>13899729</v>
      </c>
      <c r="C2029" s="2" t="s">
        <v>593</v>
      </c>
      <c r="D2029" s="2" t="str">
        <f t="shared" si="30"/>
        <v>Error?</v>
      </c>
    </row>
    <row r="2030" spans="1:4" x14ac:dyDescent="0.2">
      <c r="A2030" s="5">
        <v>1969</v>
      </c>
      <c r="B2030" s="138">
        <f>'Cap Outlay Deprec 26'!F13</f>
        <v>6684700</v>
      </c>
      <c r="C2030" s="2" t="s">
        <v>593</v>
      </c>
      <c r="D2030" s="2" t="str">
        <f t="shared" si="30"/>
        <v>Error?</v>
      </c>
    </row>
    <row r="2031" spans="1:4" x14ac:dyDescent="0.2">
      <c r="A2031" s="5">
        <v>1970</v>
      </c>
      <c r="B2031" s="138">
        <f>'Cap Outlay Deprec 26'!F16</f>
        <v>191817059</v>
      </c>
      <c r="C2031" s="2" t="s">
        <v>593</v>
      </c>
      <c r="D2031" s="2" t="str">
        <f t="shared" si="30"/>
        <v>Error?</v>
      </c>
    </row>
    <row r="2032" spans="1:4" x14ac:dyDescent="0.2">
      <c r="A2032" s="10">
        <v>1971</v>
      </c>
      <c r="D2032" s="2" t="str">
        <f t="shared" si="30"/>
        <v>OK</v>
      </c>
    </row>
    <row r="2033" spans="1:4" x14ac:dyDescent="0.2">
      <c r="A2033" s="5">
        <v>1972</v>
      </c>
      <c r="B2033" s="138">
        <f>'Cap Outlay Deprec 26'!H8</f>
        <v>55724515</v>
      </c>
      <c r="D2033" s="2" t="str">
        <f t="shared" si="30"/>
        <v>Error?</v>
      </c>
    </row>
    <row r="2034" spans="1:4" x14ac:dyDescent="0.2">
      <c r="A2034" s="5">
        <v>1973</v>
      </c>
      <c r="B2034" s="138">
        <f>'Cap Outlay Deprec 26'!H10</f>
        <v>5079191</v>
      </c>
      <c r="D2034" s="2" t="str">
        <f t="shared" si="30"/>
        <v>Error?</v>
      </c>
    </row>
    <row r="2035" spans="1:4" x14ac:dyDescent="0.2">
      <c r="A2035" s="5">
        <v>1974</v>
      </c>
      <c r="B2035" s="138">
        <f>'Cap Outlay Deprec 26'!H12</f>
        <v>9027366</v>
      </c>
      <c r="D2035" s="2" t="str">
        <f t="shared" si="30"/>
        <v>Error?</v>
      </c>
    </row>
    <row r="2036" spans="1:4" x14ac:dyDescent="0.2">
      <c r="A2036" s="5">
        <v>1975</v>
      </c>
      <c r="B2036" s="138">
        <f>'Cap Outlay Deprec 26'!H13</f>
        <v>4392670</v>
      </c>
      <c r="D2036" s="2" t="str">
        <f t="shared" si="30"/>
        <v>Error?</v>
      </c>
    </row>
    <row r="2037" spans="1:4" x14ac:dyDescent="0.2">
      <c r="A2037" s="5">
        <v>1976</v>
      </c>
      <c r="B2037" s="138">
        <f>'Cap Outlay Deprec 26'!H16</f>
        <v>74223742</v>
      </c>
      <c r="C2037" s="2" t="s">
        <v>593</v>
      </c>
      <c r="D2037" s="2" t="str">
        <f t="shared" si="30"/>
        <v>Error?</v>
      </c>
    </row>
    <row r="2038" spans="1:4" x14ac:dyDescent="0.2">
      <c r="A2038" s="10">
        <v>1977</v>
      </c>
      <c r="D2038" s="2" t="str">
        <f t="shared" si="30"/>
        <v>OK</v>
      </c>
    </row>
    <row r="2039" spans="1:4" x14ac:dyDescent="0.2">
      <c r="A2039" s="5">
        <v>1978</v>
      </c>
      <c r="B2039" s="138">
        <f>'Cap Outlay Deprec 26'!I8</f>
        <v>3653817</v>
      </c>
      <c r="D2039" s="2" t="str">
        <f t="shared" si="30"/>
        <v>Error?</v>
      </c>
    </row>
    <row r="2040" spans="1:4" x14ac:dyDescent="0.2">
      <c r="A2040" s="5">
        <v>1979</v>
      </c>
      <c r="B2040" s="138">
        <f>'Cap Outlay Deprec 26'!I10</f>
        <v>483784</v>
      </c>
      <c r="D2040" s="2" t="str">
        <f t="shared" si="30"/>
        <v>Error?</v>
      </c>
    </row>
    <row r="2041" spans="1:4" x14ac:dyDescent="0.2">
      <c r="A2041" s="5">
        <v>1980</v>
      </c>
      <c r="B2041" s="138">
        <f>'Cap Outlay Deprec 26'!I12</f>
        <v>921372</v>
      </c>
      <c r="D2041" s="2" t="str">
        <f t="shared" si="30"/>
        <v>Error?</v>
      </c>
    </row>
    <row r="2042" spans="1:4" x14ac:dyDescent="0.2">
      <c r="A2042" s="5">
        <v>1981</v>
      </c>
      <c r="B2042" s="138">
        <f>'Cap Outlay Deprec 26'!I13</f>
        <v>397285</v>
      </c>
      <c r="D2042" s="2" t="str">
        <f t="shared" si="30"/>
        <v>Error?</v>
      </c>
    </row>
    <row r="2043" spans="1:4" x14ac:dyDescent="0.2">
      <c r="A2043" s="5">
        <v>1982</v>
      </c>
      <c r="B2043" s="138">
        <f>'Cap Outlay Deprec 26'!I16</f>
        <v>5456258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250235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250235</v>
      </c>
      <c r="C2049" s="2" t="s">
        <v>593</v>
      </c>
      <c r="D2049" s="2" t="str">
        <f t="shared" si="31"/>
        <v>Error?</v>
      </c>
    </row>
    <row r="2050" spans="1:4" x14ac:dyDescent="0.2">
      <c r="A2050" s="10">
        <v>1989</v>
      </c>
      <c r="D2050" s="2" t="str">
        <f t="shared" si="31"/>
        <v>OK</v>
      </c>
    </row>
    <row r="2051" spans="1:4" x14ac:dyDescent="0.2">
      <c r="A2051" s="5">
        <v>1990</v>
      </c>
      <c r="B2051" s="138">
        <f>'Cap Outlay Deprec 26'!K8</f>
        <v>59378332</v>
      </c>
      <c r="C2051" s="2" t="s">
        <v>593</v>
      </c>
      <c r="D2051" s="2" t="str">
        <f t="shared" si="31"/>
        <v>Error?</v>
      </c>
    </row>
    <row r="2052" spans="1:4" x14ac:dyDescent="0.2">
      <c r="A2052" s="5">
        <v>1991</v>
      </c>
      <c r="B2052" s="138">
        <f>'Cap Outlay Deprec 26'!K10</f>
        <v>5562975</v>
      </c>
      <c r="C2052" s="2" t="s">
        <v>593</v>
      </c>
      <c r="D2052" s="2" t="str">
        <f t="shared" si="31"/>
        <v>Error?</v>
      </c>
    </row>
    <row r="2053" spans="1:4" x14ac:dyDescent="0.2">
      <c r="A2053" s="5">
        <v>1992</v>
      </c>
      <c r="B2053" s="138">
        <f>'Cap Outlay Deprec 26'!K12</f>
        <v>9698503</v>
      </c>
      <c r="C2053" s="2" t="s">
        <v>593</v>
      </c>
      <c r="D2053" s="2" t="str">
        <f t="shared" si="31"/>
        <v>Error?</v>
      </c>
    </row>
    <row r="2054" spans="1:4" x14ac:dyDescent="0.2">
      <c r="A2054" s="5">
        <v>1993</v>
      </c>
      <c r="B2054" s="138">
        <f>'Cap Outlay Deprec 26'!K13</f>
        <v>4789955</v>
      </c>
      <c r="C2054" s="2" t="s">
        <v>593</v>
      </c>
      <c r="D2054" s="2" t="str">
        <f t="shared" si="31"/>
        <v>Error?</v>
      </c>
    </row>
    <row r="2055" spans="1:4" x14ac:dyDescent="0.2">
      <c r="A2055" s="5">
        <v>1994</v>
      </c>
      <c r="B2055" s="138">
        <f>'Cap Outlay Deprec 26'!K16</f>
        <v>79429765</v>
      </c>
      <c r="C2055" s="2" t="s">
        <v>593</v>
      </c>
      <c r="D2055" s="2" t="str">
        <f t="shared" si="31"/>
        <v>Error?</v>
      </c>
    </row>
    <row r="2056" spans="1:4" x14ac:dyDescent="0.2">
      <c r="A2056" s="5">
        <v>1995</v>
      </c>
      <c r="B2056" s="138">
        <f>'Cap Outlay Deprec 26'!L5</f>
        <v>6009087</v>
      </c>
      <c r="C2056" s="2" t="s">
        <v>593</v>
      </c>
      <c r="D2056" s="2" t="str">
        <f t="shared" si="31"/>
        <v>Error?</v>
      </c>
    </row>
    <row r="2057" spans="1:4" x14ac:dyDescent="0.2">
      <c r="A2057" s="5">
        <v>1996</v>
      </c>
      <c r="B2057" s="138">
        <f>'Cap Outlay Deprec 26'!L8</f>
        <v>95521344</v>
      </c>
      <c r="C2057" s="2" t="s">
        <v>593</v>
      </c>
      <c r="D2057" s="2" t="str">
        <f t="shared" si="31"/>
        <v>Error?</v>
      </c>
    </row>
    <row r="2058" spans="1:4" x14ac:dyDescent="0.2">
      <c r="A2058" s="5">
        <v>1997</v>
      </c>
      <c r="B2058" s="138">
        <f>'Cap Outlay Deprec 26'!L10</f>
        <v>4668046</v>
      </c>
      <c r="C2058" s="2" t="s">
        <v>593</v>
      </c>
      <c r="D2058" s="2" t="str">
        <f t="shared" si="31"/>
        <v>Error?</v>
      </c>
    </row>
    <row r="2059" spans="1:4" x14ac:dyDescent="0.2">
      <c r="A2059" s="5">
        <v>1998</v>
      </c>
      <c r="B2059" s="138">
        <f>'Cap Outlay Deprec 26'!L12</f>
        <v>4201226</v>
      </c>
      <c r="C2059" s="2" t="s">
        <v>593</v>
      </c>
      <c r="D2059" s="2" t="str">
        <f t="shared" si="31"/>
        <v>Error?</v>
      </c>
    </row>
    <row r="2060" spans="1:4" x14ac:dyDescent="0.2">
      <c r="A2060" s="5">
        <v>1999</v>
      </c>
      <c r="B2060" s="138">
        <f>'Cap Outlay Deprec 26'!L13</f>
        <v>1894745</v>
      </c>
      <c r="C2060" s="2" t="s">
        <v>593</v>
      </c>
      <c r="D2060" s="2" t="str">
        <f t="shared" si="31"/>
        <v>Error?</v>
      </c>
    </row>
    <row r="2061" spans="1:4" x14ac:dyDescent="0.2">
      <c r="A2061" s="5">
        <v>2000</v>
      </c>
      <c r="B2061" s="138">
        <f>'Cap Outlay Deprec 26'!L16</f>
        <v>112387294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18737</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43783464</v>
      </c>
      <c r="C2551" s="2" t="s">
        <v>593</v>
      </c>
      <c r="D2551" s="2" t="str">
        <f t="shared" si="38"/>
        <v>Error?</v>
      </c>
    </row>
    <row r="2552" spans="1:4" x14ac:dyDescent="0.2">
      <c r="A2552" s="10">
        <v>2491</v>
      </c>
      <c r="D2552" s="2" t="str">
        <f t="shared" si="38"/>
        <v>OK</v>
      </c>
    </row>
    <row r="2553" spans="1:4" x14ac:dyDescent="0.2">
      <c r="A2553" s="5">
        <v>2492</v>
      </c>
      <c r="B2553" s="138">
        <f>'Acct Summary 7-8'!C6</f>
        <v>23854237</v>
      </c>
      <c r="C2553" s="2" t="s">
        <v>593</v>
      </c>
      <c r="D2553" s="2" t="str">
        <f t="shared" si="38"/>
        <v>Error?</v>
      </c>
    </row>
    <row r="2554" spans="1:4" x14ac:dyDescent="0.2">
      <c r="A2554" s="5">
        <v>2493</v>
      </c>
      <c r="B2554" s="138">
        <f>'Acct Summary 7-8'!C7</f>
        <v>4477093</v>
      </c>
      <c r="C2554" s="2" t="s">
        <v>593</v>
      </c>
      <c r="D2554" s="2" t="str">
        <f t="shared" si="38"/>
        <v>Error?</v>
      </c>
    </row>
    <row r="2555" spans="1:4" x14ac:dyDescent="0.2">
      <c r="A2555" s="5">
        <v>2494</v>
      </c>
      <c r="B2555" s="138">
        <f>'Acct Summary 7-8'!C8</f>
        <v>72114794</v>
      </c>
      <c r="C2555" s="2" t="s">
        <v>593</v>
      </c>
      <c r="D2555" s="2" t="str">
        <f t="shared" si="38"/>
        <v>Error?</v>
      </c>
    </row>
    <row r="2556" spans="1:4" x14ac:dyDescent="0.2">
      <c r="A2556" s="5">
        <v>2495</v>
      </c>
      <c r="B2556" s="138">
        <f>'Acct Summary 7-8'!C12</f>
        <v>44421904</v>
      </c>
      <c r="C2556" s="2" t="s">
        <v>593</v>
      </c>
      <c r="D2556" s="2" t="str">
        <f t="shared" si="38"/>
        <v>Error?</v>
      </c>
    </row>
    <row r="2557" spans="1:4" x14ac:dyDescent="0.2">
      <c r="A2557" s="5">
        <v>2496</v>
      </c>
      <c r="B2557" s="138">
        <f>'Acct Summary 7-8'!C13</f>
        <v>21659263</v>
      </c>
      <c r="C2557" s="2" t="s">
        <v>593</v>
      </c>
      <c r="D2557" s="2" t="str">
        <f t="shared" si="38"/>
        <v>Error?</v>
      </c>
    </row>
    <row r="2558" spans="1:4" x14ac:dyDescent="0.2">
      <c r="A2558" s="5">
        <v>2497</v>
      </c>
      <c r="B2558" s="138">
        <f>'Acct Summary 7-8'!C14</f>
        <v>651038</v>
      </c>
      <c r="C2558" s="2" t="s">
        <v>593</v>
      </c>
      <c r="D2558" s="2" t="str">
        <f t="shared" si="38"/>
        <v>Error?</v>
      </c>
    </row>
    <row r="2559" spans="1:4" x14ac:dyDescent="0.2">
      <c r="A2559" s="5">
        <v>2498</v>
      </c>
      <c r="B2559" s="138">
        <f>'Acct Summary 7-8'!C15</f>
        <v>18737</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66750942</v>
      </c>
      <c r="C2561" s="2" t="s">
        <v>593</v>
      </c>
      <c r="D2561" s="2" t="str">
        <f t="shared" si="39"/>
        <v>Error?</v>
      </c>
    </row>
    <row r="2562" spans="1:4" x14ac:dyDescent="0.2">
      <c r="A2562" s="5">
        <v>2501</v>
      </c>
      <c r="B2562" s="138">
        <f>'Acct Summary 7-8'!C20</f>
        <v>5363852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6333734</v>
      </c>
      <c r="C2564" s="2" t="s">
        <v>593</v>
      </c>
      <c r="D2564" s="2" t="str">
        <f t="shared" si="39"/>
        <v>Error?</v>
      </c>
    </row>
    <row r="2565" spans="1:4" x14ac:dyDescent="0.2">
      <c r="A2565" s="10">
        <v>2504</v>
      </c>
      <c r="D2565" s="2" t="str">
        <f t="shared" si="39"/>
        <v>OK</v>
      </c>
    </row>
    <row r="2566" spans="1:4" x14ac:dyDescent="0.2">
      <c r="A2566" s="5">
        <v>2505</v>
      </c>
      <c r="B2566" s="138">
        <f>'Acct Summary 7-8'!D6</f>
        <v>875000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7208734</v>
      </c>
      <c r="C2568" s="2" t="s">
        <v>593</v>
      </c>
      <c r="D2568" s="2" t="str">
        <f t="shared" si="39"/>
        <v>Error?</v>
      </c>
    </row>
    <row r="2569" spans="1:4" x14ac:dyDescent="0.2">
      <c r="A2569" s="5">
        <v>2508</v>
      </c>
      <c r="B2569" s="138">
        <f>'Acct Summary 7-8'!D13</f>
        <v>6798768</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6798768</v>
      </c>
      <c r="C2573" s="2" t="s">
        <v>593</v>
      </c>
      <c r="D2573" s="2" t="str">
        <f t="shared" si="39"/>
        <v>Error?</v>
      </c>
    </row>
    <row r="2574" spans="1:4" x14ac:dyDescent="0.2">
      <c r="A2574" s="5">
        <v>2513</v>
      </c>
      <c r="B2574" s="138">
        <f>'Acct Summary 7-8'!D20</f>
        <v>409966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1861627</v>
      </c>
      <c r="C2591" s="2" t="s">
        <v>593</v>
      </c>
      <c r="D2591" s="2" t="str">
        <f t="shared" si="39"/>
        <v>Error?</v>
      </c>
    </row>
    <row r="2592" spans="1:4" x14ac:dyDescent="0.2">
      <c r="A2592" s="10">
        <v>2531</v>
      </c>
      <c r="D2592" s="2" t="str">
        <f t="shared" si="39"/>
        <v>OK</v>
      </c>
    </row>
    <row r="2593" spans="1:4" x14ac:dyDescent="0.2">
      <c r="A2593" s="5">
        <v>2532</v>
      </c>
      <c r="B2593" s="138">
        <f>'Acct Summary 7-8'!F6</f>
        <v>3463698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5325325</v>
      </c>
      <c r="C2595" s="2" t="s">
        <v>593</v>
      </c>
      <c r="D2595" s="2" t="str">
        <f t="shared" si="39"/>
        <v>Error?</v>
      </c>
    </row>
    <row r="2596" spans="1:4" x14ac:dyDescent="0.2">
      <c r="A2596" s="5">
        <v>2535</v>
      </c>
      <c r="B2596" s="138">
        <f>'Acct Summary 7-8'!F13</f>
        <v>4924855</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4924855</v>
      </c>
      <c r="C2600" s="2" t="s">
        <v>593</v>
      </c>
      <c r="D2600" s="2" t="str">
        <f t="shared" si="39"/>
        <v>Error?</v>
      </c>
    </row>
    <row r="2601" spans="1:4" x14ac:dyDescent="0.2">
      <c r="A2601" s="5">
        <v>2540</v>
      </c>
      <c r="B2601" s="138">
        <f>'Acct Summary 7-8'!F20</f>
        <v>400470</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3108267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3108267</v>
      </c>
      <c r="C2606" s="2" t="s">
        <v>593</v>
      </c>
      <c r="D2606" s="2" t="str">
        <f t="shared" si="39"/>
        <v>Error?</v>
      </c>
    </row>
    <row r="2607" spans="1:4" x14ac:dyDescent="0.2">
      <c r="A2607" s="5">
        <v>2546</v>
      </c>
      <c r="B2607" s="138">
        <f>'Acct Summary 7-8'!G12</f>
        <v>799615</v>
      </c>
      <c r="C2607" s="2" t="s">
        <v>593</v>
      </c>
      <c r="D2607" s="2" t="str">
        <f t="shared" si="39"/>
        <v>Error?</v>
      </c>
    </row>
    <row r="2608" spans="1:4" x14ac:dyDescent="0.2">
      <c r="A2608" s="5">
        <v>2547</v>
      </c>
      <c r="B2608" s="138">
        <f>'Acct Summary 7-8'!G13</f>
        <v>2080848</v>
      </c>
      <c r="C2608" s="2" t="s">
        <v>593</v>
      </c>
      <c r="D2608" s="2" t="str">
        <f t="shared" si="39"/>
        <v>Error?</v>
      </c>
    </row>
    <row r="2609" spans="1:4" x14ac:dyDescent="0.2">
      <c r="A2609" s="5">
        <v>2548</v>
      </c>
      <c r="B2609" s="138">
        <f>'Acct Summary 7-8'!G14</f>
        <v>80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2880543</v>
      </c>
      <c r="C2612" s="2" t="s">
        <v>593</v>
      </c>
      <c r="D2612" s="2" t="str">
        <f t="shared" si="39"/>
        <v>Error?</v>
      </c>
    </row>
    <row r="2613" spans="1:4" x14ac:dyDescent="0.2">
      <c r="A2613" s="5">
        <v>2552</v>
      </c>
      <c r="B2613" s="138">
        <f>'Acct Summary 7-8'!G20</f>
        <v>227724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9304333</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9505271</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9925262</v>
      </c>
      <c r="C2634" s="2" t="s">
        <v>593</v>
      </c>
      <c r="D2634" s="2" t="str">
        <f t="shared" si="40"/>
        <v>Error?</v>
      </c>
    </row>
    <row r="2635" spans="1:4" x14ac:dyDescent="0.2">
      <c r="A2635" s="5">
        <v>2574</v>
      </c>
      <c r="B2635" s="138">
        <f>'Acct Summary 7-8'!E17</f>
        <v>9925262</v>
      </c>
      <c r="C2635" s="2" t="s">
        <v>593</v>
      </c>
      <c r="D2635" s="2" t="str">
        <f t="shared" si="40"/>
        <v>Error?</v>
      </c>
    </row>
    <row r="2636" spans="1:4" x14ac:dyDescent="0.2">
      <c r="A2636" s="5">
        <v>2575</v>
      </c>
      <c r="B2636" s="138">
        <f>'Acct Summary 7-8'!E20</f>
        <v>-419991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85123</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85123</v>
      </c>
      <c r="C2658" s="2" t="s">
        <v>593</v>
      </c>
      <c r="D2658" s="2" t="str">
        <f t="shared" si="40"/>
        <v>Error?</v>
      </c>
    </row>
    <row r="2659" spans="1:4" x14ac:dyDescent="0.2">
      <c r="A2659" s="5">
        <v>2598</v>
      </c>
      <c r="B2659" s="138">
        <f>'Acct Summary 7-8'!H13</f>
        <v>39075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39075</v>
      </c>
      <c r="C2661" s="2" t="s">
        <v>593</v>
      </c>
      <c r="D2661" s="2" t="str">
        <f t="shared" si="40"/>
        <v>Error?</v>
      </c>
    </row>
    <row r="2662" spans="1:4" x14ac:dyDescent="0.2">
      <c r="A2662" s="5">
        <v>2601</v>
      </c>
      <c r="B2662" s="138">
        <f>'Acct Summary 7-8'!H20</f>
        <v>46048</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22826</v>
      </c>
      <c r="D2718" s="2" t="str">
        <f t="shared" si="41"/>
        <v>Error?</v>
      </c>
    </row>
    <row r="2719" spans="1:4" x14ac:dyDescent="0.2">
      <c r="A2719" s="5">
        <v>2658</v>
      </c>
      <c r="B2719" s="138">
        <f>'Expenditures 15-22'!D51</f>
        <v>4741</v>
      </c>
      <c r="D2719" s="2" t="str">
        <f t="shared" si="41"/>
        <v>Error?</v>
      </c>
    </row>
    <row r="2720" spans="1:4" x14ac:dyDescent="0.2">
      <c r="A2720" s="5">
        <v>2659</v>
      </c>
      <c r="B2720" s="138">
        <f>'Expenditures 15-22'!E51</f>
        <v>3117</v>
      </c>
      <c r="D2720" s="2" t="str">
        <f t="shared" si="41"/>
        <v>Error?</v>
      </c>
    </row>
    <row r="2721" spans="1:4" x14ac:dyDescent="0.2">
      <c r="A2721" s="5">
        <v>2660</v>
      </c>
      <c r="B2721" s="138">
        <f>'Expenditures 15-22'!F51</f>
        <v>921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31605</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92846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3304259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3304259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920830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920830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3304259</v>
      </c>
      <c r="D2912" s="2" t="str">
        <f t="shared" si="44"/>
        <v>Error?</v>
      </c>
    </row>
    <row r="2913" spans="1:4" x14ac:dyDescent="0.2">
      <c r="A2913" s="5">
        <v>2852</v>
      </c>
      <c r="B2913" s="138">
        <f>'Assets-Liab 5-6'!I41</f>
        <v>3304259</v>
      </c>
      <c r="C2913" s="2" t="s">
        <v>593</v>
      </c>
      <c r="D2913" s="2" t="str">
        <f t="shared" si="44"/>
        <v>Error?</v>
      </c>
    </row>
    <row r="2914" spans="1:4" x14ac:dyDescent="0.2">
      <c r="A2914" s="5">
        <v>2853</v>
      </c>
      <c r="B2914" s="138">
        <f>'Assets-Liab 5-6'!L33</f>
        <v>920830</v>
      </c>
      <c r="D2914" s="2" t="str">
        <f t="shared" si="44"/>
        <v>Error?</v>
      </c>
    </row>
    <row r="2915" spans="1:4" x14ac:dyDescent="0.2">
      <c r="A2915" s="10">
        <v>2854</v>
      </c>
      <c r="D2915" s="2" t="str">
        <f t="shared" si="44"/>
        <v>OK</v>
      </c>
    </row>
    <row r="2916" spans="1:4" x14ac:dyDescent="0.2">
      <c r="A2916" s="5">
        <v>2855</v>
      </c>
      <c r="B2916" s="138">
        <f>'Assets-Liab 5-6'!L34</f>
        <v>920830</v>
      </c>
      <c r="C2916" s="2" t="s">
        <v>593</v>
      </c>
      <c r="D2916" s="2" t="str">
        <f t="shared" si="44"/>
        <v>Error?</v>
      </c>
    </row>
    <row r="2917" spans="1:4" x14ac:dyDescent="0.2">
      <c r="A2917" s="5">
        <v>2856</v>
      </c>
      <c r="B2917" s="138">
        <f>'Assets-Liab 5-6'!L41</f>
        <v>920830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182274</v>
      </c>
      <c r="D3055" s="2" t="str">
        <f t="shared" si="46"/>
        <v>Error?</v>
      </c>
    </row>
    <row r="3056" spans="1:4" x14ac:dyDescent="0.2">
      <c r="A3056" s="5">
        <v>2995</v>
      </c>
      <c r="B3056" s="138">
        <f>'Expenditures 15-22'!D10</f>
        <v>42136</v>
      </c>
      <c r="D3056" s="2" t="str">
        <f t="shared" si="46"/>
        <v>Error?</v>
      </c>
    </row>
    <row r="3057" spans="1:4" x14ac:dyDescent="0.2">
      <c r="A3057" s="5">
        <v>2996</v>
      </c>
      <c r="B3057" s="138">
        <f>'Expenditures 15-22'!E10</f>
        <v>139719</v>
      </c>
      <c r="D3057" s="2" t="str">
        <f t="shared" si="46"/>
        <v>Error?</v>
      </c>
    </row>
    <row r="3058" spans="1:4" x14ac:dyDescent="0.2">
      <c r="A3058" s="5">
        <v>2997</v>
      </c>
      <c r="B3058" s="138">
        <f>'Expenditures 15-22'!F10</f>
        <v>507516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871645</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437309</v>
      </c>
      <c r="C3225" s="2" t="s">
        <v>593</v>
      </c>
      <c r="D3225" s="2" t="str">
        <f t="shared" si="49"/>
        <v>Error?</v>
      </c>
    </row>
    <row r="3226" spans="1:4" x14ac:dyDescent="0.2">
      <c r="A3226" s="5">
        <v>3165</v>
      </c>
      <c r="B3226" s="138">
        <f>'Acct Summary 7-8'!I8</f>
        <v>437309</v>
      </c>
      <c r="C3226" s="2" t="s">
        <v>593</v>
      </c>
      <c r="D3226" s="2" t="str">
        <f t="shared" si="49"/>
        <v>Error?</v>
      </c>
    </row>
    <row r="3227" spans="1:4" x14ac:dyDescent="0.2">
      <c r="A3227" s="5">
        <v>3166</v>
      </c>
      <c r="B3227" s="138">
        <f>'Acct Summary 7-8'!I20</f>
        <v>437309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52959</v>
      </c>
      <c r="C3231" s="2" t="s">
        <v>593</v>
      </c>
      <c r="D3231" s="2" t="str">
        <f t="shared" si="49"/>
        <v>Error?</v>
      </c>
    </row>
    <row r="3232" spans="1:4" x14ac:dyDescent="0.2">
      <c r="A3232" s="5">
        <v>3171</v>
      </c>
      <c r="B3232" s="138">
        <f>'Acct Summary 7-8'!C77</f>
        <v>-52959</v>
      </c>
      <c r="C3232" s="2" t="s">
        <v>593</v>
      </c>
      <c r="D3232" s="2" t="str">
        <f t="shared" si="49"/>
        <v>Error?</v>
      </c>
    </row>
    <row r="3233" spans="1:4" x14ac:dyDescent="0.2">
      <c r="A3233" s="5">
        <v>3172</v>
      </c>
      <c r="B3233" s="138">
        <f>'Acct Summary 7-8'!C78</f>
        <v>5310893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409966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400470</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227724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612631</v>
      </c>
      <c r="D3273" s="2" t="str">
        <f t="shared" si="50"/>
        <v>Error?</v>
      </c>
    </row>
    <row r="3274" spans="1:4" x14ac:dyDescent="0.2">
      <c r="A3274" s="5">
        <v>3213</v>
      </c>
      <c r="B3274" s="138">
        <f>'Acct Summary 7-8'!E44</f>
        <v>665590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665590</v>
      </c>
      <c r="C3277" s="2" t="s">
        <v>593</v>
      </c>
      <c r="D3277" s="2" t="str">
        <f t="shared" si="50"/>
        <v>Error?</v>
      </c>
    </row>
    <row r="3278" spans="1:4" x14ac:dyDescent="0.2">
      <c r="A3278" s="5">
        <v>3217</v>
      </c>
      <c r="B3278" s="138">
        <f>'Acct Summary 7-8'!E78</f>
        <v>245599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612631</v>
      </c>
      <c r="D3297" s="2" t="str">
        <f t="shared" si="50"/>
        <v>Error?</v>
      </c>
    </row>
    <row r="3298" spans="1:4" x14ac:dyDescent="0.2">
      <c r="A3298" s="5">
        <v>3237</v>
      </c>
      <c r="B3298" s="138">
        <f>'Acct Summary 7-8'!H76</f>
        <v>612631</v>
      </c>
      <c r="C3298" s="2" t="s">
        <v>593</v>
      </c>
      <c r="D3298" s="2" t="str">
        <f t="shared" si="50"/>
        <v>Error?</v>
      </c>
    </row>
    <row r="3299" spans="1:4" x14ac:dyDescent="0.2">
      <c r="A3299" s="5">
        <v>3238</v>
      </c>
      <c r="B3299" s="138">
        <f>'Acct Summary 7-8'!H77</f>
        <v>-612631</v>
      </c>
      <c r="C3299" s="2" t="s">
        <v>593</v>
      </c>
      <c r="D3299" s="2" t="str">
        <f t="shared" si="50"/>
        <v>Error?</v>
      </c>
    </row>
    <row r="3300" spans="1:4" x14ac:dyDescent="0.2">
      <c r="A3300" s="5">
        <v>3239</v>
      </c>
      <c r="B3300" s="138">
        <f>'Acct Summary 7-8'!H78</f>
        <v>-566583</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437309</v>
      </c>
      <c r="C3320" s="2" t="s">
        <v>593</v>
      </c>
      <c r="D3320" s="2" t="str">
        <f t="shared" si="50"/>
        <v>Error?</v>
      </c>
    </row>
    <row r="3321" spans="1:4" x14ac:dyDescent="0.2">
      <c r="A3321" s="5">
        <v>3260</v>
      </c>
      <c r="B3321" s="138">
        <f>'Acct Summary 7-8'!I79</f>
        <v>2866950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3304259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7435565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2006273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52447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75102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7363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358816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9935566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262222</v>
      </c>
      <c r="D3387" s="2" t="str">
        <f t="shared" si="51"/>
        <v>Error?</v>
      </c>
    </row>
    <row r="3388" spans="1:4" x14ac:dyDescent="0.2">
      <c r="A3388" s="5">
        <v>3327</v>
      </c>
      <c r="B3388" s="138">
        <f>'Expenditures 15-22'!D217</f>
        <v>340168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262222</v>
      </c>
      <c r="C3390" s="2" t="s">
        <v>593</v>
      </c>
      <c r="D3390" s="2" t="str">
        <f t="shared" si="51"/>
        <v>Error?</v>
      </c>
    </row>
    <row r="3391" spans="1:4" x14ac:dyDescent="0.2">
      <c r="A3391" s="5">
        <v>3330</v>
      </c>
      <c r="B3391" s="138">
        <f>'Expenditures 15-22'!K217</f>
        <v>340168</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1677899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1503309</v>
      </c>
      <c r="C3446" s="2" t="s">
        <v>593</v>
      </c>
      <c r="D3446" s="2" t="str">
        <f t="shared" si="52"/>
        <v>Error?</v>
      </c>
    </row>
    <row r="3447" spans="1:4" x14ac:dyDescent="0.2">
      <c r="A3447" s="5">
        <v>3386</v>
      </c>
      <c r="B3447" s="138">
        <f>'Tax Sched 23'!D16</f>
        <v>701664</v>
      </c>
      <c r="C3447" s="2" t="s">
        <v>593</v>
      </c>
      <c r="D3447" s="2" t="str">
        <f t="shared" si="52"/>
        <v>Error?</v>
      </c>
    </row>
    <row r="3448" spans="1:4" x14ac:dyDescent="0.2">
      <c r="A3448" s="5">
        <v>3387</v>
      </c>
      <c r="B3448" s="138">
        <f>'Tax Sched 23'!C16</f>
        <v>801645</v>
      </c>
      <c r="D3448" s="2" t="str">
        <f t="shared" si="52"/>
        <v>Error?</v>
      </c>
    </row>
    <row r="3449" spans="1:4" x14ac:dyDescent="0.2">
      <c r="A3449" s="5">
        <v>3388</v>
      </c>
      <c r="B3449" s="138">
        <f>'Tax Sched 23'!F16</f>
        <v>688360</v>
      </c>
      <c r="C3449" s="2" t="s">
        <v>593</v>
      </c>
      <c r="D3449" s="2" t="str">
        <f t="shared" si="52"/>
        <v>Error?</v>
      </c>
    </row>
    <row r="3450" spans="1:4" x14ac:dyDescent="0.2">
      <c r="A3450" s="5">
        <v>3389</v>
      </c>
      <c r="B3450" s="138">
        <f>'Tax Sched 23'!E16</f>
        <v>1490005</v>
      </c>
      <c r="D3450" s="2" t="str">
        <f t="shared" si="52"/>
        <v>Error?</v>
      </c>
    </row>
    <row r="3451" spans="1:4" x14ac:dyDescent="0.2">
      <c r="A3451" s="5">
        <v>3390</v>
      </c>
      <c r="B3451" s="138">
        <f>'Cap Outlay Deprec 26'!C15</f>
        <v>260298</v>
      </c>
      <c r="D3451" s="2" t="str">
        <f t="shared" si="52"/>
        <v>Error?</v>
      </c>
    </row>
    <row r="3452" spans="1:4" x14ac:dyDescent="0.2">
      <c r="A3452" s="5">
        <v>3391</v>
      </c>
      <c r="B3452" s="138">
        <f>'Cap Outlay Deprec 26'!D15</f>
        <v>92846</v>
      </c>
      <c r="D3452" s="2" t="str">
        <f t="shared" si="52"/>
        <v>Error?</v>
      </c>
    </row>
    <row r="3453" spans="1:4" x14ac:dyDescent="0.2">
      <c r="A3453" s="5">
        <v>3392</v>
      </c>
      <c r="B3453" s="138">
        <f>'Cap Outlay Deprec 26'!E15</f>
        <v>260298</v>
      </c>
      <c r="D3453" s="2" t="str">
        <f t="shared" si="52"/>
        <v>Error?</v>
      </c>
    </row>
    <row r="3454" spans="1:4" x14ac:dyDescent="0.2">
      <c r="A3454" s="5">
        <v>3393</v>
      </c>
      <c r="B3454" s="138">
        <f>'Cap Outlay Deprec 26'!F15</f>
        <v>92846</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92846</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383380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383380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383380</v>
      </c>
      <c r="D3567" s="2" t="str">
        <f t="shared" si="54"/>
        <v>Error?</v>
      </c>
    </row>
    <row r="3568" spans="1:4" x14ac:dyDescent="0.2">
      <c r="A3568" s="5">
        <v>3507</v>
      </c>
      <c r="B3568" s="138">
        <f>'Assets-Liab 5-6'!K41</f>
        <v>383380</v>
      </c>
      <c r="C3568" s="2" t="s">
        <v>593</v>
      </c>
      <c r="D3568" s="2" t="str">
        <f t="shared" si="54"/>
        <v>Error?</v>
      </c>
    </row>
    <row r="3569" spans="1:4" x14ac:dyDescent="0.2">
      <c r="A3569" s="5">
        <v>3508</v>
      </c>
      <c r="B3569" s="138">
        <f>'Acct Summary 7-8'!K4</f>
        <v>800180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800180</v>
      </c>
      <c r="C3571" s="2" t="s">
        <v>593</v>
      </c>
      <c r="D3571" s="2" t="str">
        <f t="shared" si="54"/>
        <v>Error?</v>
      </c>
    </row>
    <row r="3572" spans="1:4" x14ac:dyDescent="0.2">
      <c r="A3572" s="5">
        <v>3511</v>
      </c>
      <c r="B3572" s="138">
        <f>'Acct Summary 7-8'!K13</f>
        <v>409999</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409999</v>
      </c>
      <c r="C3575" s="2" t="s">
        <v>593</v>
      </c>
      <c r="D3575" s="2" t="str">
        <f t="shared" si="54"/>
        <v>Error?</v>
      </c>
    </row>
    <row r="3576" spans="1:4" x14ac:dyDescent="0.2">
      <c r="A3576" s="5">
        <v>3515</v>
      </c>
      <c r="B3576" s="138">
        <f>'Acct Summary 7-8'!K20</f>
        <v>390181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390181</v>
      </c>
      <c r="C3588" s="2" t="s">
        <v>593</v>
      </c>
      <c r="D3588" s="2" t="str">
        <f t="shared" si="55"/>
        <v>Error?</v>
      </c>
    </row>
    <row r="3589" spans="1:4" x14ac:dyDescent="0.2">
      <c r="A3589" s="5">
        <v>3528</v>
      </c>
      <c r="B3589" s="138">
        <f>'Acct Summary 7-8'!K79</f>
        <v>-6801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383380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9505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9505</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9505</v>
      </c>
      <c r="C3635" s="2" t="s">
        <v>593</v>
      </c>
      <c r="D3635" s="2" t="str">
        <f t="shared" si="55"/>
        <v>Error?</v>
      </c>
    </row>
    <row r="3636" spans="1:4" x14ac:dyDescent="0.2">
      <c r="A3636" s="5">
        <v>3575</v>
      </c>
      <c r="B3636" s="138">
        <f>'Expenditures 15-22'!E367</f>
        <v>9505</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400494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400494</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400494</v>
      </c>
      <c r="C3649" s="2" t="s">
        <v>593</v>
      </c>
      <c r="D3649" s="2" t="str">
        <f t="shared" si="56"/>
        <v>Error?</v>
      </c>
    </row>
    <row r="3650" spans="1:4" x14ac:dyDescent="0.2">
      <c r="A3650" s="5">
        <v>3589</v>
      </c>
      <c r="B3650" s="138">
        <f>'Expenditures 15-22'!G367</f>
        <v>400494</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409999</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409999</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409999</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409999</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390181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880887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27997254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100112048</v>
      </c>
      <c r="C4122" s="2" t="s">
        <v>593</v>
      </c>
      <c r="D4122" s="2" t="str">
        <f t="shared" si="63"/>
        <v>Error?</v>
      </c>
    </row>
    <row r="4123" spans="1:4" x14ac:dyDescent="0.2">
      <c r="A4123" s="5">
        <v>4062</v>
      </c>
      <c r="B4123" s="138">
        <f>'Acct Summary 7-8'!D10</f>
        <v>7208734</v>
      </c>
      <c r="C4123" s="2" t="s">
        <v>593</v>
      </c>
      <c r="D4123" s="2" t="str">
        <f t="shared" si="63"/>
        <v>Error?</v>
      </c>
    </row>
    <row r="4124" spans="1:4" x14ac:dyDescent="0.2">
      <c r="A4124" s="5">
        <v>4063</v>
      </c>
      <c r="B4124" s="138">
        <f>'Acct Summary 7-8'!E10</f>
        <v>9505271</v>
      </c>
      <c r="C4124" s="2" t="s">
        <v>593</v>
      </c>
      <c r="D4124" s="2" t="str">
        <f t="shared" si="63"/>
        <v>Error?</v>
      </c>
    </row>
    <row r="4125" spans="1:4" x14ac:dyDescent="0.2">
      <c r="A4125" s="5">
        <v>4064</v>
      </c>
      <c r="B4125" s="138">
        <f>'Acct Summary 7-8'!F10</f>
        <v>5325325</v>
      </c>
      <c r="C4125" s="2" t="s">
        <v>593</v>
      </c>
      <c r="D4125" s="2" t="str">
        <f t="shared" si="63"/>
        <v>Error?</v>
      </c>
    </row>
    <row r="4126" spans="1:4" x14ac:dyDescent="0.2">
      <c r="A4126" s="5">
        <v>4065</v>
      </c>
      <c r="B4126" s="138">
        <f>'Acct Summary 7-8'!G10</f>
        <v>3108267</v>
      </c>
      <c r="C4126" s="2" t="s">
        <v>593</v>
      </c>
      <c r="D4126" s="2" t="str">
        <f t="shared" si="63"/>
        <v>Error?</v>
      </c>
    </row>
    <row r="4127" spans="1:4" x14ac:dyDescent="0.2">
      <c r="A4127" s="5">
        <v>4066</v>
      </c>
      <c r="B4127" s="138">
        <f>'Acct Summary 7-8'!H10</f>
        <v>85123</v>
      </c>
      <c r="C4127" s="2" t="s">
        <v>593</v>
      </c>
      <c r="D4127" s="2" t="str">
        <f t="shared" si="63"/>
        <v>Error?</v>
      </c>
    </row>
    <row r="4128" spans="1:4" x14ac:dyDescent="0.2">
      <c r="A4128" s="5">
        <v>4067</v>
      </c>
      <c r="B4128" s="138">
        <f>'Acct Summary 7-8'!I10</f>
        <v>437309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800180</v>
      </c>
      <c r="C4130" s="2" t="s">
        <v>593</v>
      </c>
      <c r="D4130" s="2" t="str">
        <f t="shared" si="63"/>
        <v>Error?</v>
      </c>
    </row>
    <row r="4131" spans="1:4" x14ac:dyDescent="0.2">
      <c r="A4131" s="5">
        <v>4070</v>
      </c>
      <c r="B4131" s="138">
        <f>'Acct Summary 7-8'!C18</f>
        <v>27997254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94748196</v>
      </c>
      <c r="C4136" s="2" t="s">
        <v>593</v>
      </c>
      <c r="D4136" s="2" t="str">
        <f t="shared" si="63"/>
        <v>Error?</v>
      </c>
    </row>
    <row r="4137" spans="1:4" x14ac:dyDescent="0.2">
      <c r="A4137" s="5">
        <v>4076</v>
      </c>
      <c r="B4137" s="138">
        <f>'Acct Summary 7-8'!D19</f>
        <v>6798768</v>
      </c>
      <c r="C4137" s="2" t="s">
        <v>593</v>
      </c>
      <c r="D4137" s="2" t="str">
        <f t="shared" si="63"/>
        <v>Error?</v>
      </c>
    </row>
    <row r="4138" spans="1:4" x14ac:dyDescent="0.2">
      <c r="A4138" s="5">
        <v>4077</v>
      </c>
      <c r="B4138" s="138">
        <f>'Acct Summary 7-8'!E19</f>
        <v>9925262</v>
      </c>
      <c r="C4138" s="2" t="s">
        <v>593</v>
      </c>
      <c r="D4138" s="2" t="str">
        <f t="shared" si="63"/>
        <v>Error?</v>
      </c>
    </row>
    <row r="4139" spans="1:4" x14ac:dyDescent="0.2">
      <c r="A4139" s="5">
        <v>4078</v>
      </c>
      <c r="B4139" s="138">
        <f>'Acct Summary 7-8'!F19</f>
        <v>4924855</v>
      </c>
      <c r="C4139" s="2" t="s">
        <v>593</v>
      </c>
      <c r="D4139" s="2" t="str">
        <f t="shared" si="63"/>
        <v>Error?</v>
      </c>
    </row>
    <row r="4140" spans="1:4" x14ac:dyDescent="0.2">
      <c r="A4140" s="5">
        <v>4079</v>
      </c>
      <c r="B4140" s="138">
        <f>'Acct Summary 7-8'!G19</f>
        <v>2880543</v>
      </c>
      <c r="C4140" s="2" t="s">
        <v>593</v>
      </c>
      <c r="D4140" s="2" t="str">
        <f t="shared" si="63"/>
        <v>Error?</v>
      </c>
    </row>
    <row r="4141" spans="1:4" x14ac:dyDescent="0.2">
      <c r="A4141" s="5">
        <v>4080</v>
      </c>
      <c r="B4141" s="138">
        <f>'Acct Summary 7-8'!H19</f>
        <v>39075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409999</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101136940</v>
      </c>
      <c r="C4171" s="2" t="s">
        <v>593</v>
      </c>
      <c r="D4171" s="2" t="str">
        <f t="shared" si="64"/>
        <v>Error?</v>
      </c>
    </row>
    <row r="4172" spans="1:4" x14ac:dyDescent="0.2">
      <c r="A4172" s="5">
        <v>4111</v>
      </c>
      <c r="B4172" s="138">
        <f>'Short-Term Long-Term Debt 24'!J49</f>
        <v>95767270</v>
      </c>
      <c r="C4172" s="2" t="s">
        <v>593</v>
      </c>
      <c r="D4172" s="2" t="str">
        <f t="shared" si="64"/>
        <v>Error?</v>
      </c>
    </row>
    <row r="4173" spans="1:4" x14ac:dyDescent="0.2">
      <c r="A4173" s="5">
        <v>4112</v>
      </c>
      <c r="B4173" s="138">
        <f>'Short-Term Long-Term Debt 24'!H49</f>
        <v>5892435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3640.2999999999997</v>
      </c>
      <c r="C4265" s="2" t="s">
        <v>593</v>
      </c>
      <c r="D4265" s="2" t="str">
        <f t="shared" si="65"/>
        <v>Error?</v>
      </c>
      <c r="E4265" s="128"/>
    </row>
    <row r="4266" spans="1:5" x14ac:dyDescent="0.2">
      <c r="A4266" s="12">
        <v>4205</v>
      </c>
      <c r="B4266" s="138">
        <f>('FP Info 3'!F10)*100000</f>
        <v>734.3</v>
      </c>
      <c r="C4266" s="2" t="s">
        <v>593</v>
      </c>
      <c r="D4266" s="2" t="str">
        <f t="shared" si="65"/>
        <v>Error?</v>
      </c>
      <c r="E4266" s="128"/>
    </row>
    <row r="4267" spans="1:5" x14ac:dyDescent="0.2">
      <c r="A4267" s="12">
        <v>4206</v>
      </c>
      <c r="B4267" s="138">
        <f>('FP Info 3'!H10)*100000</f>
        <v>217.79999999999998</v>
      </c>
      <c r="C4267" s="2" t="s">
        <v>593</v>
      </c>
      <c r="D4267" s="2" t="str">
        <f t="shared" si="65"/>
        <v>Error?</v>
      </c>
      <c r="E4267" s="128"/>
    </row>
    <row r="4268" spans="1:5" x14ac:dyDescent="0.2">
      <c r="A4268" s="12">
        <v>4207</v>
      </c>
      <c r="B4268" s="138">
        <f>('FP Info 3'!J10)*100000</f>
        <v>4592</v>
      </c>
      <c r="C4268" s="2" t="s">
        <v>593</v>
      </c>
      <c r="D4268" s="2" t="str">
        <f t="shared" si="65"/>
        <v>Error?</v>
      </c>
    </row>
    <row r="4269" spans="1:5" x14ac:dyDescent="0.2">
      <c r="A4269" s="12">
        <v>4208</v>
      </c>
      <c r="B4269" s="138">
        <f>'FP Info 3'!J16</f>
        <v>58087796</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251340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317075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1190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155342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216139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200938</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200938</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197472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33737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803505670</v>
      </c>
      <c r="D4995" s="2" t="str">
        <f t="shared" si="77"/>
        <v>Error?</v>
      </c>
    </row>
    <row r="4996" spans="1:4" x14ac:dyDescent="0.2">
      <c r="A4996" s="12">
        <v>4935</v>
      </c>
      <c r="B4996" s="138">
        <f>'FP Info 3'!H31</f>
        <v>110883782.46000001</v>
      </c>
      <c r="D4996" s="2" t="str">
        <f t="shared" si="77"/>
        <v>Error?</v>
      </c>
    </row>
    <row r="4997" spans="1:4" x14ac:dyDescent="0.2">
      <c r="A4997" s="12">
        <v>4936</v>
      </c>
      <c r="B4997" s="138">
        <f>'FP Info 3'!H37</f>
        <v>101136940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30405700</v>
      </c>
      <c r="D5061" s="2" t="str">
        <f t="shared" si="78"/>
        <v>Error?</v>
      </c>
    </row>
    <row r="5062" spans="1:4" x14ac:dyDescent="0.2">
      <c r="A5062" s="10">
        <v>5001</v>
      </c>
      <c r="D5062" s="2" t="str">
        <f t="shared" si="78"/>
        <v>OK</v>
      </c>
    </row>
    <row r="5063" spans="1:4" x14ac:dyDescent="0.2">
      <c r="A5063" s="5">
        <v>5002</v>
      </c>
      <c r="B5063" s="138">
        <f>'Revenues 9-14'!C7</f>
        <v>6182631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36588331</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134815</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32643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3673012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3840470</v>
      </c>
      <c r="C5087" s="2" t="s">
        <v>593</v>
      </c>
      <c r="D5087" s="2" t="str">
        <f t="shared" si="78"/>
        <v>Error?</v>
      </c>
    </row>
    <row r="5088" spans="1:4" x14ac:dyDescent="0.2">
      <c r="A5088" s="5">
        <v>5027</v>
      </c>
      <c r="B5088" s="138">
        <f>'Revenues 9-14'!C65</f>
        <v>437243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437243</v>
      </c>
      <c r="C5090" s="2" t="s">
        <v>593</v>
      </c>
      <c r="D5090" s="2" t="str">
        <f t="shared" si="78"/>
        <v>Error?</v>
      </c>
    </row>
    <row r="5091" spans="1:4" x14ac:dyDescent="0.2">
      <c r="A5091" s="5">
        <v>5030</v>
      </c>
      <c r="B5091" s="138">
        <f>'Revenues 9-14'!C70</f>
        <v>29837</v>
      </c>
      <c r="D5091" s="2" t="str">
        <f t="shared" si="78"/>
        <v>Error?</v>
      </c>
    </row>
    <row r="5092" spans="1:4" x14ac:dyDescent="0.2">
      <c r="A5092" s="5">
        <v>5031</v>
      </c>
      <c r="B5092" s="138">
        <f>'Revenues 9-14'!C71</f>
        <v>121018</v>
      </c>
      <c r="D5092" s="2" t="str">
        <f t="shared" si="78"/>
        <v>Error?</v>
      </c>
    </row>
    <row r="5093" spans="1:4" x14ac:dyDescent="0.2">
      <c r="A5093" s="5">
        <v>5032</v>
      </c>
      <c r="B5093" s="138">
        <f>'Revenues 9-14'!C72</f>
        <v>13933</v>
      </c>
      <c r="D5093" s="2" t="str">
        <f t="shared" si="78"/>
        <v>Error?</v>
      </c>
    </row>
    <row r="5094" spans="1:4" x14ac:dyDescent="0.2">
      <c r="A5094" s="5">
        <v>5033</v>
      </c>
      <c r="B5094" s="138">
        <f>'Revenues 9-14'!C73</f>
        <v>23590</v>
      </c>
      <c r="D5094" s="2" t="str">
        <f t="shared" si="78"/>
        <v>Error?</v>
      </c>
    </row>
    <row r="5095" spans="1:4" x14ac:dyDescent="0.2">
      <c r="A5095" s="5">
        <v>5034</v>
      </c>
      <c r="B5095" s="138">
        <f>'Revenues 9-14'!C74</f>
        <v>91356</v>
      </c>
      <c r="D5095" s="2" t="str">
        <f t="shared" si="78"/>
        <v>Error?</v>
      </c>
    </row>
    <row r="5096" spans="1:4" x14ac:dyDescent="0.2">
      <c r="A5096" s="5">
        <v>5035</v>
      </c>
      <c r="B5096" s="138">
        <f>'Revenues 9-14'!C75</f>
        <v>745001</v>
      </c>
      <c r="C5096" s="2" t="s">
        <v>593</v>
      </c>
      <c r="D5096" s="2" t="str">
        <f t="shared" si="78"/>
        <v>Error?</v>
      </c>
    </row>
    <row r="5097" spans="1:4" x14ac:dyDescent="0.2">
      <c r="A5097" s="5">
        <v>5036</v>
      </c>
      <c r="B5097" s="138">
        <f>'Revenues 9-14'!C77</f>
        <v>195599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96095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291694</v>
      </c>
      <c r="C5102" s="2" t="s">
        <v>593</v>
      </c>
      <c r="D5102" s="2" t="str">
        <f t="shared" si="78"/>
        <v>Error?</v>
      </c>
    </row>
    <row r="5103" spans="1:4" x14ac:dyDescent="0.2">
      <c r="A5103" s="5">
        <v>5042</v>
      </c>
      <c r="B5103" s="138">
        <f>'Revenues 9-14'!C84</f>
        <v>753271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753271</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598412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20390</v>
      </c>
      <c r="D5116" s="2" t="str">
        <f t="shared" si="78"/>
        <v>Error?</v>
      </c>
    </row>
    <row r="5117" spans="1:4" x14ac:dyDescent="0.2">
      <c r="A5117" s="5">
        <v>5056</v>
      </c>
      <c r="B5117" s="138">
        <f>'Revenues 9-14'!C105</f>
        <v>-8953</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399307</v>
      </c>
      <c r="D5119" s="2" t="str">
        <f t="shared" ref="D5119:D5182" si="79">IF(ISBLANK(B5119),"OK",IF(A5119-B5119=0,"OK","Error?"))</f>
        <v>Error?</v>
      </c>
    </row>
    <row r="5120" spans="1:4" x14ac:dyDescent="0.2">
      <c r="A5120" s="5">
        <v>5059</v>
      </c>
      <c r="B5120" s="138">
        <f>'Revenues 9-14'!C108</f>
        <v>1127454</v>
      </c>
      <c r="C5120" s="2" t="s">
        <v>593</v>
      </c>
      <c r="D5120" s="2" t="str">
        <f t="shared" si="79"/>
        <v>Error?</v>
      </c>
    </row>
    <row r="5121" spans="1:4" x14ac:dyDescent="0.2">
      <c r="A5121" s="5">
        <v>5060</v>
      </c>
      <c r="B5121" s="138">
        <f>'Revenues 9-14'!C109</f>
        <v>43783464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18709025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18709025</v>
      </c>
      <c r="C5132" s="2" t="s">
        <v>593</v>
      </c>
      <c r="D5132" s="2" t="str">
        <f t="shared" si="79"/>
        <v>Error?</v>
      </c>
    </row>
    <row r="5133" spans="1:4" x14ac:dyDescent="0.2">
      <c r="A5133" s="5">
        <v>5072</v>
      </c>
      <c r="B5133" s="138">
        <f>'Revenues 9-14'!C124</f>
        <v>128413</v>
      </c>
      <c r="D5133" s="2" t="str">
        <f t="shared" si="79"/>
        <v>Error?</v>
      </c>
    </row>
    <row r="5134" spans="1:4" x14ac:dyDescent="0.2">
      <c r="A5134" s="5">
        <v>5073</v>
      </c>
      <c r="B5134" s="138">
        <f>'Revenues 9-14'!C125</f>
        <v>417586</v>
      </c>
      <c r="D5134" s="2" t="str">
        <f t="shared" si="79"/>
        <v>Error?</v>
      </c>
    </row>
    <row r="5135" spans="1:4" x14ac:dyDescent="0.2">
      <c r="A5135" s="5">
        <v>5074</v>
      </c>
      <c r="B5135" s="138">
        <f>'Revenues 9-14'!C126</f>
        <v>921396</v>
      </c>
      <c r="D5135" s="2" t="str">
        <f t="shared" si="79"/>
        <v>Error?</v>
      </c>
    </row>
    <row r="5136" spans="1:4" x14ac:dyDescent="0.2">
      <c r="A5136" s="10">
        <v>5075</v>
      </c>
      <c r="D5136" s="2" t="str">
        <f t="shared" si="79"/>
        <v>OK</v>
      </c>
    </row>
    <row r="5137" spans="1:4" x14ac:dyDescent="0.2">
      <c r="A5137" s="5">
        <v>5076</v>
      </c>
      <c r="B5137" s="138">
        <f>'Revenues 9-14'!C127</f>
        <v>59644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36791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1563830</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71343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71343</v>
      </c>
      <c r="C5161" s="2" t="s">
        <v>593</v>
      </c>
      <c r="D5161" s="2" t="str">
        <f t="shared" si="79"/>
        <v>Error?</v>
      </c>
    </row>
    <row r="5162" spans="1:4" x14ac:dyDescent="0.2">
      <c r="A5162" s="10">
        <v>5101</v>
      </c>
      <c r="D5162" s="2" t="str">
        <f t="shared" si="79"/>
        <v>OK</v>
      </c>
    </row>
    <row r="5163" spans="1:4" x14ac:dyDescent="0.2">
      <c r="A5163" s="5">
        <v>5102</v>
      </c>
      <c r="B5163" s="138">
        <f>'Revenues 9-14'!C142</f>
        <v>492347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492347</v>
      </c>
      <c r="C5165" s="2" t="s">
        <v>593</v>
      </c>
      <c r="D5165" s="2" t="str">
        <f t="shared" si="79"/>
        <v>Error?</v>
      </c>
    </row>
    <row r="5166" spans="1:4" x14ac:dyDescent="0.2">
      <c r="A5166" s="10">
        <v>5105</v>
      </c>
      <c r="D5166" s="2" t="str">
        <f t="shared" si="79"/>
        <v>OK</v>
      </c>
    </row>
    <row r="5167" spans="1:4" x14ac:dyDescent="0.2">
      <c r="A5167" s="5">
        <v>5106</v>
      </c>
      <c r="B5167" s="138">
        <f>'Revenues 9-14'!C145</f>
        <v>17958</v>
      </c>
      <c r="D5167" s="2" t="str">
        <f t="shared" si="79"/>
        <v>Error?</v>
      </c>
    </row>
    <row r="5168" spans="1:4" x14ac:dyDescent="0.2">
      <c r="A5168" s="5">
        <v>5107</v>
      </c>
      <c r="B5168" s="138">
        <f>'Revenues 9-14'!C147</f>
        <v>67254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2735008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5145212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23854237</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1001791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187496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1189287</v>
      </c>
      <c r="C5246" s="2" t="s">
        <v>593</v>
      </c>
      <c r="D5246" s="2" t="str">
        <f t="shared" si="80"/>
        <v>Error?</v>
      </c>
    </row>
    <row r="5247" spans="1:4" x14ac:dyDescent="0.2">
      <c r="A5247" s="5">
        <v>5186</v>
      </c>
      <c r="B5247" s="138">
        <f>'Revenues 9-14'!C203</f>
        <v>619317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1190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619317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64843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1225089</v>
      </c>
      <c r="D5278" s="2" t="str">
        <f t="shared" si="81"/>
        <v>Error?</v>
      </c>
    </row>
    <row r="5279" spans="1:4" x14ac:dyDescent="0.2">
      <c r="A5279" s="5">
        <v>5218</v>
      </c>
      <c r="B5279" s="138">
        <f>'Revenues 9-14'!C221</f>
        <v>351918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1641850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51816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51816</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4477093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4477093</v>
      </c>
      <c r="C5326" s="2" t="s">
        <v>593</v>
      </c>
      <c r="D5326" s="2" t="str">
        <f t="shared" si="82"/>
        <v>Error?</v>
      </c>
    </row>
    <row r="5327" spans="1:4" x14ac:dyDescent="0.2">
      <c r="A5327" s="5">
        <v>5266</v>
      </c>
      <c r="B5327" s="138">
        <f>'Revenues 9-14'!C275</f>
        <v>72114794</v>
      </c>
      <c r="C5327" s="2" t="s">
        <v>593</v>
      </c>
      <c r="D5327" s="2" t="str">
        <f t="shared" si="82"/>
        <v>Error?</v>
      </c>
    </row>
    <row r="5328" spans="1:4" x14ac:dyDescent="0.2">
      <c r="A5328" s="5">
        <v>5267</v>
      </c>
      <c r="B5328" s="138">
        <f>'Revenues 9-14'!D5</f>
        <v>5924661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5924661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184931</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184931</v>
      </c>
      <c r="C5339" s="2" t="s">
        <v>593</v>
      </c>
      <c r="D5339" s="2" t="str">
        <f t="shared" si="82"/>
        <v>Error?</v>
      </c>
    </row>
    <row r="5340" spans="1:4" x14ac:dyDescent="0.2">
      <c r="A5340" s="5">
        <v>5279</v>
      </c>
      <c r="B5340" s="138">
        <f>'Revenues 9-14'!D65</f>
        <v>44324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44324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34045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34045</v>
      </c>
      <c r="C5348" s="2" t="s">
        <v>593</v>
      </c>
      <c r="D5348" s="2" t="str">
        <f t="shared" si="82"/>
        <v>Error?</v>
      </c>
    </row>
    <row r="5349" spans="1:4" x14ac:dyDescent="0.2">
      <c r="A5349" s="5">
        <v>5288</v>
      </c>
      <c r="B5349" s="138">
        <f>'Revenues 9-14'!D95</f>
        <v>36148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58682</v>
      </c>
      <c r="D5351" s="2" t="str">
        <f t="shared" si="82"/>
        <v>Error?</v>
      </c>
    </row>
    <row r="5352" spans="1:4" x14ac:dyDescent="0.2">
      <c r="A5352" s="5">
        <v>5291</v>
      </c>
      <c r="B5352" s="138">
        <f>'Revenues 9-14'!D99</f>
        <v>1480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49463</v>
      </c>
      <c r="D5354" s="2" t="str">
        <f t="shared" si="82"/>
        <v>Error?</v>
      </c>
    </row>
    <row r="5355" spans="1:4" x14ac:dyDescent="0.2">
      <c r="A5355" s="5">
        <v>5294</v>
      </c>
      <c r="B5355" s="138">
        <f>'Revenues 9-14'!D108</f>
        <v>145773</v>
      </c>
      <c r="C5355" s="2" t="s">
        <v>593</v>
      </c>
      <c r="D5355" s="2" t="str">
        <f t="shared" si="82"/>
        <v>Error?</v>
      </c>
    </row>
    <row r="5356" spans="1:4" x14ac:dyDescent="0.2">
      <c r="A5356" s="5">
        <v>5295</v>
      </c>
      <c r="B5356" s="138">
        <f>'Revenues 9-14'!D109</f>
        <v>6333734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800000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800000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65000</v>
      </c>
      <c r="D5391" s="2" t="str">
        <f t="shared" si="83"/>
        <v>Error?</v>
      </c>
    </row>
    <row r="5392" spans="1:4" x14ac:dyDescent="0.2">
      <c r="A5392" s="10">
        <v>5331</v>
      </c>
      <c r="D5392" s="2" t="str">
        <f t="shared" si="83"/>
        <v>OK</v>
      </c>
    </row>
    <row r="5393" spans="1:4" x14ac:dyDescent="0.2">
      <c r="A5393" s="5">
        <v>5332</v>
      </c>
      <c r="B5393" s="138">
        <f>'Revenues 9-14'!D152</f>
        <v>10000</v>
      </c>
      <c r="D5393" s="2" t="str">
        <f t="shared" si="83"/>
        <v>Error?</v>
      </c>
    </row>
    <row r="5394" spans="1:4" x14ac:dyDescent="0.2">
      <c r="A5394" s="5">
        <v>5333</v>
      </c>
      <c r="B5394" s="138">
        <f>'Revenues 9-14'!D154</f>
        <v>75000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75000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875000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7208734</v>
      </c>
      <c r="C5508" s="2" t="s">
        <v>593</v>
      </c>
      <c r="D5508" s="2" t="str">
        <f t="shared" si="85"/>
        <v>Error?</v>
      </c>
    </row>
    <row r="5509" spans="1:4" x14ac:dyDescent="0.2">
      <c r="A5509" s="5">
        <v>5448</v>
      </c>
      <c r="B5509" s="138">
        <f>'Revenues 9-14'!E5</f>
        <v>8781164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8781164</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474261</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474261</v>
      </c>
      <c r="C5518" s="2" t="s">
        <v>593</v>
      </c>
      <c r="D5518" s="2" t="str">
        <f t="shared" si="85"/>
        <v>Error?</v>
      </c>
    </row>
    <row r="5519" spans="1:4" x14ac:dyDescent="0.2">
      <c r="A5519" s="5">
        <v>5458</v>
      </c>
      <c r="B5519" s="138">
        <f>'Revenues 9-14'!E65</f>
        <v>48908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48908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9304333</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9505271</v>
      </c>
      <c r="C5552" s="2" t="s">
        <v>593</v>
      </c>
      <c r="D5552" s="2" t="str">
        <f t="shared" si="85"/>
        <v>Error?</v>
      </c>
    </row>
    <row r="5553" spans="1:4" x14ac:dyDescent="0.2">
      <c r="A5553" s="5">
        <v>5492</v>
      </c>
      <c r="B5553" s="138">
        <f>'Revenues 9-14'!F5</f>
        <v>1691593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1691593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52080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37306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89386</v>
      </c>
      <c r="C5579" s="2" t="s">
        <v>593</v>
      </c>
      <c r="D5579" s="2" t="str">
        <f t="shared" si="86"/>
        <v>Error?</v>
      </c>
    </row>
    <row r="5580" spans="1:4" x14ac:dyDescent="0.2">
      <c r="A5580" s="5">
        <v>5519</v>
      </c>
      <c r="B5580" s="138">
        <f>'Revenues 9-14'!F65</f>
        <v>55634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55634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25014</v>
      </c>
      <c r="D5586" s="2" t="str">
        <f t="shared" si="86"/>
        <v>Error?</v>
      </c>
    </row>
    <row r="5587" spans="1:4" x14ac:dyDescent="0.2">
      <c r="A5587" s="5">
        <v>5526</v>
      </c>
      <c r="B5587" s="138">
        <f>'Revenues 9-14'!F108</f>
        <v>25014</v>
      </c>
      <c r="C5587" s="2" t="s">
        <v>593</v>
      </c>
      <c r="D5587" s="2" t="str">
        <f t="shared" si="86"/>
        <v>Error?</v>
      </c>
    </row>
    <row r="5588" spans="1:4" x14ac:dyDescent="0.2">
      <c r="A5588" s="5">
        <v>5527</v>
      </c>
      <c r="B5588" s="138">
        <f>'Revenues 9-14'!F109</f>
        <v>1861627</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2884187</v>
      </c>
      <c r="D5615" s="2" t="str">
        <f t="shared" si="86"/>
        <v>Error?</v>
      </c>
    </row>
    <row r="5616" spans="1:4" x14ac:dyDescent="0.2">
      <c r="A5616" s="10">
        <v>5555</v>
      </c>
      <c r="D5616" s="2" t="str">
        <f t="shared" si="86"/>
        <v>OK</v>
      </c>
    </row>
    <row r="5617" spans="1:4" x14ac:dyDescent="0.2">
      <c r="A5617" s="5">
        <v>5556</v>
      </c>
      <c r="B5617" s="138">
        <f>'Revenues 9-14'!F152</f>
        <v>579511</v>
      </c>
      <c r="D5617" s="2" t="str">
        <f t="shared" si="86"/>
        <v>Error?</v>
      </c>
    </row>
    <row r="5618" spans="1:4" x14ac:dyDescent="0.2">
      <c r="A5618" s="5">
        <v>5557</v>
      </c>
      <c r="B5618" s="138">
        <f>'Revenues 9-14'!F154</f>
        <v>3463698</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3463698</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3463698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5325325</v>
      </c>
      <c r="C5720" s="2" t="s">
        <v>593</v>
      </c>
      <c r="D5720" s="2" t="str">
        <f t="shared" si="88"/>
        <v>Error?</v>
      </c>
    </row>
    <row r="5721" spans="1:4" x14ac:dyDescent="0.2">
      <c r="A5721" s="5">
        <v>5660</v>
      </c>
      <c r="B5721" s="138">
        <f>'Revenues 9-14'!G5</f>
        <v>1503309</v>
      </c>
      <c r="D5721" s="2" t="str">
        <f t="shared" si="88"/>
        <v>Error?</v>
      </c>
    </row>
    <row r="5722" spans="1:4" x14ac:dyDescent="0.2">
      <c r="A5722" s="5">
        <v>5661</v>
      </c>
      <c r="B5722" s="138">
        <f>'Revenues 9-14'!G7</f>
        <v>0</v>
      </c>
      <c r="D5722" s="2" t="str">
        <f t="shared" si="88"/>
        <v>Error?</v>
      </c>
    </row>
    <row r="5723" spans="1:4" x14ac:dyDescent="0.2">
      <c r="A5723" s="5">
        <v>5662</v>
      </c>
      <c r="B5723" s="138">
        <f>'Revenues 9-14'!G8</f>
        <v>1503309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3006618</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78739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78739</v>
      </c>
      <c r="C5730" s="2" t="s">
        <v>593</v>
      </c>
      <c r="D5730" s="2" t="str">
        <f t="shared" si="88"/>
        <v>Error?</v>
      </c>
    </row>
    <row r="5731" spans="1:4" x14ac:dyDescent="0.2">
      <c r="A5731" s="5">
        <v>5670</v>
      </c>
      <c r="B5731" s="138">
        <f>'Revenues 9-14'!G65</f>
        <v>22910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22910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3108267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7422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7422</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24500</v>
      </c>
      <c r="D5885" s="2" t="str">
        <f t="shared" si="90"/>
        <v>Error?</v>
      </c>
    </row>
    <row r="5886" spans="1:4" x14ac:dyDescent="0.2">
      <c r="A5886" s="5">
        <v>5825</v>
      </c>
      <c r="B5886" s="138">
        <f>'Revenues 9-14'!H108</f>
        <v>77701</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85123</v>
      </c>
      <c r="C5915" s="2" t="s">
        <v>593</v>
      </c>
      <c r="D5915" s="2" t="str">
        <f t="shared" si="91"/>
        <v>Error?</v>
      </c>
    </row>
    <row r="5916" spans="1:4" x14ac:dyDescent="0.2">
      <c r="A5916" s="5">
        <v>5855</v>
      </c>
      <c r="B5916" s="138">
        <f>'Revenues 9-14'!I5</f>
        <v>399093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399093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38216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38216</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437309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799016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799016</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1164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1164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800180</v>
      </c>
      <c r="C6023" s="2" t="s">
        <v>593</v>
      </c>
      <c r="D6023" s="2" t="str">
        <f t="shared" si="93"/>
        <v>Error?</v>
      </c>
    </row>
    <row r="6024" spans="1:5" x14ac:dyDescent="0.2">
      <c r="A6024" s="5">
        <v>5963</v>
      </c>
      <c r="B6024" s="138">
        <f>'Revenues 9-14'!G109</f>
        <v>3108267</v>
      </c>
      <c r="C6024" s="2" t="s">
        <v>593</v>
      </c>
      <c r="D6024" s="2" t="str">
        <f t="shared" si="93"/>
        <v>Error?</v>
      </c>
    </row>
    <row r="6025" spans="1:5" x14ac:dyDescent="0.2">
      <c r="A6025" s="5">
        <v>5964</v>
      </c>
      <c r="B6025" s="138">
        <f>'Revenues 9-14'!H109</f>
        <v>85123</v>
      </c>
      <c r="C6025" s="2" t="s">
        <v>593</v>
      </c>
      <c r="D6025" s="2" t="str">
        <f t="shared" si="93"/>
        <v>Error?</v>
      </c>
    </row>
    <row r="6026" spans="1:5" x14ac:dyDescent="0.2">
      <c r="A6026" s="5">
        <v>5965</v>
      </c>
      <c r="B6026" s="138">
        <f>'Revenues 9-14'!I109</f>
        <v>437309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800180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465267</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165351</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5890.33</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860223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860223</v>
      </c>
      <c r="D6215" s="2" t="str">
        <f t="shared" si="96"/>
        <v>Error?</v>
      </c>
      <c r="E6215" s="2" t="s">
        <v>199</v>
      </c>
    </row>
    <row r="6216" spans="1:5" x14ac:dyDescent="0.2">
      <c r="A6216">
        <v>6155</v>
      </c>
      <c r="B6216" s="138">
        <f>'Assets-Liab 5-6'!J41</f>
        <v>860223</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860223</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1251075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1251075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1251075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830979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830979</v>
      </c>
      <c r="D6229" s="2" t="str">
        <f t="shared" si="96"/>
        <v>Error?</v>
      </c>
      <c r="E6229" s="2" t="s">
        <v>199</v>
      </c>
    </row>
    <row r="6230" spans="1:5" x14ac:dyDescent="0.2">
      <c r="A6230">
        <v>6169</v>
      </c>
      <c r="B6230" s="138">
        <f>'Acct Summary 7-8'!J20</f>
        <v>420096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420096</v>
      </c>
      <c r="D6263" s="2" t="str">
        <f t="shared" si="96"/>
        <v>Error?</v>
      </c>
      <c r="E6263" s="2" t="s">
        <v>199</v>
      </c>
    </row>
    <row r="6264" spans="1:5" x14ac:dyDescent="0.2">
      <c r="A6264">
        <v>6203</v>
      </c>
      <c r="B6264" s="138">
        <f>'Acct Summary 7-8'!J79</f>
        <v>440127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860223</v>
      </c>
      <c r="D6266" s="2" t="str">
        <f t="shared" si="96"/>
        <v>Error?</v>
      </c>
      <c r="E6266" s="2" t="s">
        <v>199</v>
      </c>
    </row>
    <row r="6267" spans="1:5" x14ac:dyDescent="0.2">
      <c r="A6267">
        <v>6206</v>
      </c>
      <c r="B6267" s="138">
        <f>'Acct Summary 7-8'!C82</f>
        <v>5310893</v>
      </c>
      <c r="D6267" s="2" t="str">
        <f t="shared" si="96"/>
        <v>Error?</v>
      </c>
      <c r="E6267" s="2" t="s">
        <v>199</v>
      </c>
    </row>
    <row r="6268" spans="1:5" x14ac:dyDescent="0.2">
      <c r="A6268">
        <v>6207</v>
      </c>
      <c r="B6268" s="138">
        <f>'Acct Summary 7-8'!D82</f>
        <v>409966</v>
      </c>
      <c r="D6268" s="2" t="str">
        <f t="shared" si="96"/>
        <v>Error?</v>
      </c>
      <c r="E6268" s="2" t="s">
        <v>199</v>
      </c>
    </row>
    <row r="6269" spans="1:5" x14ac:dyDescent="0.2">
      <c r="A6269">
        <v>6208</v>
      </c>
      <c r="B6269" s="138">
        <f>'Acct Summary 7-8'!E82</f>
        <v>245599</v>
      </c>
      <c r="D6269" s="2" t="str">
        <f t="shared" si="96"/>
        <v>Error?</v>
      </c>
      <c r="E6269" s="2" t="s">
        <v>199</v>
      </c>
    </row>
    <row r="6270" spans="1:5" x14ac:dyDescent="0.2">
      <c r="A6270">
        <v>6209</v>
      </c>
      <c r="B6270" s="138">
        <f>'Acct Summary 7-8'!F82</f>
        <v>400470</v>
      </c>
      <c r="D6270" s="2" t="str">
        <f t="shared" si="96"/>
        <v>Error?</v>
      </c>
      <c r="E6270" s="2" t="s">
        <v>199</v>
      </c>
    </row>
    <row r="6271" spans="1:5" x14ac:dyDescent="0.2">
      <c r="A6271">
        <v>6210</v>
      </c>
      <c r="B6271" s="138">
        <f>'Acct Summary 7-8'!G82</f>
        <v>227724</v>
      </c>
      <c r="D6271" s="2" t="str">
        <f t="shared" ref="D6271:D6334" si="97">IF(ISBLANK(B6271),"OK",IF(A6271-B6271=0,"OK","Error?"))</f>
        <v>Error?</v>
      </c>
      <c r="E6271" s="2" t="s">
        <v>199</v>
      </c>
    </row>
    <row r="6272" spans="1:5" x14ac:dyDescent="0.2">
      <c r="A6272">
        <v>6211</v>
      </c>
      <c r="B6272" s="138">
        <f>'Acct Summary 7-8'!H82</f>
        <v>-566583</v>
      </c>
      <c r="D6272" s="2" t="str">
        <f t="shared" si="97"/>
        <v>Error?</v>
      </c>
      <c r="E6272" s="2" t="s">
        <v>199</v>
      </c>
    </row>
    <row r="6273" spans="1:5" x14ac:dyDescent="0.2">
      <c r="A6273">
        <v>6212</v>
      </c>
      <c r="B6273" s="138">
        <f>'Acct Summary 7-8'!I82</f>
        <v>437309</v>
      </c>
      <c r="D6273" s="2" t="str">
        <f t="shared" si="97"/>
        <v>Error?</v>
      </c>
      <c r="E6273" s="2" t="s">
        <v>199</v>
      </c>
    </row>
    <row r="6274" spans="1:5" x14ac:dyDescent="0.2">
      <c r="A6274">
        <v>6213</v>
      </c>
      <c r="B6274" s="138">
        <f>'Acct Summary 7-8'!J82</f>
        <v>420096</v>
      </c>
      <c r="D6274" s="2" t="str">
        <f t="shared" si="97"/>
        <v>Error?</v>
      </c>
      <c r="E6274" s="2" t="s">
        <v>199</v>
      </c>
    </row>
    <row r="6275" spans="1:5" x14ac:dyDescent="0.2">
      <c r="A6275">
        <v>6214</v>
      </c>
      <c r="B6275" s="138">
        <f>'Acct Summary 7-8'!K82</f>
        <v>390181</v>
      </c>
      <c r="D6275" s="2" t="str">
        <f t="shared" si="97"/>
        <v>Error?</v>
      </c>
      <c r="E6275" s="2" t="s">
        <v>199</v>
      </c>
    </row>
    <row r="6276" spans="1:5" x14ac:dyDescent="0.2">
      <c r="A6276">
        <v>6215</v>
      </c>
      <c r="B6276" s="138">
        <f>'Acct Summary 7-8'!C83</f>
        <v>0.11672864662880503</v>
      </c>
      <c r="D6276" s="2" t="str">
        <f t="shared" si="97"/>
        <v>Error?</v>
      </c>
      <c r="E6276" s="2" t="s">
        <v>199</v>
      </c>
    </row>
    <row r="6277" spans="1:5" x14ac:dyDescent="0.2">
      <c r="A6277">
        <v>6216</v>
      </c>
      <c r="B6277" s="138">
        <f>'Acct Summary 7-8'!D83</f>
        <v>9.280829965169099E-2</v>
      </c>
      <c r="D6277" s="2" t="str">
        <f t="shared" si="97"/>
        <v>Error?</v>
      </c>
      <c r="E6277" s="2" t="s">
        <v>199</v>
      </c>
    </row>
    <row r="6278" spans="1:5" x14ac:dyDescent="0.2">
      <c r="A6278">
        <v>6217</v>
      </c>
      <c r="B6278" s="138">
        <f>'Acct Summary 7-8'!E83</f>
        <v>4.5738192477377565E-2</v>
      </c>
      <c r="D6278" s="2" t="str">
        <f t="shared" si="97"/>
        <v>Error?</v>
      </c>
      <c r="E6278" s="2" t="s">
        <v>199</v>
      </c>
    </row>
    <row r="6279" spans="1:5" x14ac:dyDescent="0.2">
      <c r="A6279">
        <v>6218</v>
      </c>
      <c r="B6279" s="138">
        <f>'Acct Summary 7-8'!F83</f>
        <v>8.2258619110160039E-2</v>
      </c>
      <c r="D6279" s="2" t="str">
        <f t="shared" si="97"/>
        <v>Error?</v>
      </c>
      <c r="E6279" s="2" t="s">
        <v>199</v>
      </c>
    </row>
    <row r="6280" spans="1:5" x14ac:dyDescent="0.2">
      <c r="A6280">
        <v>6219</v>
      </c>
      <c r="B6280" s="138">
        <f>'Acct Summary 7-8'!G83</f>
        <v>0.11013636220742822</v>
      </c>
      <c r="D6280" s="2" t="str">
        <f t="shared" si="97"/>
        <v>Error?</v>
      </c>
      <c r="E6280" s="2" t="s">
        <v>199</v>
      </c>
    </row>
    <row r="6281" spans="1:5" x14ac:dyDescent="0.2">
      <c r="A6281">
        <v>6220</v>
      </c>
      <c r="B6281" s="138">
        <f>'Acct Summary 7-8'!H83</f>
        <v>-1.8056753320011856</v>
      </c>
      <c r="D6281" s="2" t="str">
        <f t="shared" si="97"/>
        <v>Error?</v>
      </c>
      <c r="E6281" s="2" t="s">
        <v>199</v>
      </c>
    </row>
    <row r="6282" spans="1:5" x14ac:dyDescent="0.2">
      <c r="A6282">
        <v>6221</v>
      </c>
      <c r="B6282" s="138">
        <f>'Acct Summary 7-8'!I83</f>
        <v>0.1323470708561284</v>
      </c>
      <c r="D6282" s="2" t="str">
        <f t="shared" si="97"/>
        <v>Error?</v>
      </c>
      <c r="E6282" s="2" t="s">
        <v>199</v>
      </c>
    </row>
    <row r="6283" spans="1:5" x14ac:dyDescent="0.2">
      <c r="A6283">
        <v>6222</v>
      </c>
      <c r="B6283" s="138">
        <f>'Acct Summary 7-8'!J83</f>
        <v>0.48835708880139217</v>
      </c>
      <c r="D6283" s="2" t="str">
        <f t="shared" si="97"/>
        <v>Error?</v>
      </c>
      <c r="E6283" s="2" t="s">
        <v>199</v>
      </c>
    </row>
    <row r="6284" spans="1:5" x14ac:dyDescent="0.2">
      <c r="A6284">
        <v>6223</v>
      </c>
      <c r="B6284" s="138">
        <f>'Acct Summary 7-8'!K83</f>
        <v>1.0177395795294486</v>
      </c>
      <c r="D6284" s="2" t="str">
        <f t="shared" si="97"/>
        <v>Error?</v>
      </c>
      <c r="E6284" s="2" t="s">
        <v>199</v>
      </c>
    </row>
    <row r="6285" spans="1:5" x14ac:dyDescent="0.2">
      <c r="A6285">
        <v>6224</v>
      </c>
      <c r="B6285" s="138">
        <f>'Acct Summary 7-8'!E37</f>
        <v>52435</v>
      </c>
      <c r="D6285" s="2" t="str">
        <f t="shared" si="97"/>
        <v>Error?</v>
      </c>
      <c r="E6285" s="2" t="s">
        <v>199</v>
      </c>
    </row>
    <row r="6286" spans="1:5" x14ac:dyDescent="0.2">
      <c r="A6286">
        <v>6225</v>
      </c>
      <c r="B6286" s="138">
        <f>'Acct Summary 7-8'!E38</f>
        <v>524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1225837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1225837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3531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3531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53201</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21707</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74674</v>
      </c>
      <c r="D6339" s="2" t="str">
        <f t="shared" si="98"/>
        <v>Error?</v>
      </c>
      <c r="E6339" s="2" t="s">
        <v>199</v>
      </c>
    </row>
    <row r="6340" spans="1:5" x14ac:dyDescent="0.2">
      <c r="A6340">
        <v>6279</v>
      </c>
      <c r="B6340" s="138">
        <f>'Revenues 9-14'!C102</f>
        <v>43624</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21707</v>
      </c>
      <c r="D6351" s="2" t="str">
        <f t="shared" si="98"/>
        <v>Error?</v>
      </c>
      <c r="E6351" s="2" t="s">
        <v>199</v>
      </c>
    </row>
    <row r="6352" spans="1:5" x14ac:dyDescent="0.2">
      <c r="A6352">
        <v>6291</v>
      </c>
      <c r="B6352" s="138">
        <f>'Revenues 9-14'!J109</f>
        <v>1251075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798949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200938</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200938</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6886</v>
      </c>
      <c r="D6844" s="2" t="str">
        <f t="shared" si="105"/>
        <v>Error?</v>
      </c>
    </row>
    <row r="6845" spans="1:4" x14ac:dyDescent="0.2">
      <c r="A6845">
        <v>6784</v>
      </c>
      <c r="B6845" s="138">
        <f>'Expenditures 15-22'!J5</f>
        <v>54061</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1158730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190797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4355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146157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269152</v>
      </c>
      <c r="D6880" s="2" t="str">
        <f t="shared" si="106"/>
        <v>Error?</v>
      </c>
    </row>
    <row r="6881" spans="1:4" x14ac:dyDescent="0.2">
      <c r="A6881">
        <v>6820</v>
      </c>
      <c r="B6881" s="138">
        <f>'Expenditures 15-22'!K22</f>
        <v>269152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11241</v>
      </c>
      <c r="D6902" s="2" t="str">
        <f t="shared" si="106"/>
        <v>Error?</v>
      </c>
    </row>
    <row r="6903" spans="1:4" x14ac:dyDescent="0.2">
      <c r="A6903">
        <v>6842</v>
      </c>
      <c r="B6903" s="138">
        <f>'Expenditures 15-22'!J33</f>
        <v>54061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950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3200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4150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3830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3830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1899</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1899</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134429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134429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144308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1498</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18737</v>
      </c>
      <c r="D6983" s="2" t="str">
        <f t="shared" si="108"/>
        <v>Error?</v>
      </c>
    </row>
    <row r="6984" spans="1:4" x14ac:dyDescent="0.2">
      <c r="A6984">
        <v>6923</v>
      </c>
      <c r="B6984" s="138">
        <f>'Expenditures 15-22'!K86</f>
        <v>18737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18737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157047</v>
      </c>
      <c r="D7020" s="2" t="str">
        <f t="shared" si="108"/>
        <v>Error?</v>
      </c>
    </row>
    <row r="7021" spans="1:4" x14ac:dyDescent="0.2">
      <c r="A7021">
        <v>6960</v>
      </c>
      <c r="B7021" s="138">
        <f>'Expenditures 15-22'!J114</f>
        <v>54061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4065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4065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4065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830979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4065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1251075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5817</v>
      </c>
      <c r="D7073" s="2" t="str">
        <f t="shared" si="109"/>
        <v>Error?</v>
      </c>
    </row>
    <row r="7074" spans="1:4" x14ac:dyDescent="0.2">
      <c r="A7074">
        <v>7013</v>
      </c>
      <c r="B7074" s="138">
        <f>'Expenditures 15-22'!K216</f>
        <v>5817</v>
      </c>
      <c r="D7074" s="2" t="str">
        <f t="shared" si="109"/>
        <v>Error?</v>
      </c>
    </row>
    <row r="7075" spans="1:4" x14ac:dyDescent="0.2">
      <c r="A7075">
        <v>7014</v>
      </c>
      <c r="B7075" s="138">
        <f>'Expenditures 15-22'!D218</f>
        <v>1428</v>
      </c>
      <c r="D7075" s="2" t="str">
        <f t="shared" si="109"/>
        <v>Error?</v>
      </c>
    </row>
    <row r="7076" spans="1:4" x14ac:dyDescent="0.2">
      <c r="A7076">
        <v>7015</v>
      </c>
      <c r="B7076" s="138">
        <f>'Expenditures 15-22'!K218</f>
        <v>1428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1687</v>
      </c>
      <c r="D7079" s="2" t="str">
        <f t="shared" si="109"/>
        <v>Error?</v>
      </c>
    </row>
    <row r="7080" spans="1:4" x14ac:dyDescent="0.2">
      <c r="A7080">
        <v>7019</v>
      </c>
      <c r="B7080" s="138">
        <f>'Expenditures 15-22'!K226</f>
        <v>1687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613358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613358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17010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17010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200611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200611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830979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830979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830979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830979</v>
      </c>
      <c r="D7224" s="2" t="str">
        <f t="shared" si="111"/>
        <v>Error?</v>
      </c>
    </row>
    <row r="7225" spans="1:4" x14ac:dyDescent="0.2">
      <c r="A7225">
        <v>7164</v>
      </c>
      <c r="B7225" s="138">
        <f>'Expenditures 15-22'!K343</f>
        <v>420096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239317</v>
      </c>
      <c r="D7246" s="2" t="str">
        <f t="shared" si="112"/>
        <v>Error?</v>
      </c>
    </row>
    <row r="7247" spans="1:4" x14ac:dyDescent="0.2">
      <c r="A7247">
        <f t="shared" si="113"/>
        <v>7186</v>
      </c>
      <c r="B7247" s="138">
        <f>'Expenditures 15-22'!E7</f>
        <v>7393</v>
      </c>
      <c r="D7247" s="2" t="str">
        <f t="shared" si="112"/>
        <v>Error?</v>
      </c>
    </row>
    <row r="7248" spans="1:4" x14ac:dyDescent="0.2">
      <c r="A7248">
        <f t="shared" si="113"/>
        <v>7187</v>
      </c>
      <c r="B7248" s="138">
        <f>'Expenditures 15-22'!F7</f>
        <v>64019</v>
      </c>
      <c r="D7248" s="2" t="str">
        <f t="shared" si="112"/>
        <v>Error?</v>
      </c>
    </row>
    <row r="7249" spans="1:4" x14ac:dyDescent="0.2">
      <c r="A7249">
        <f t="shared" si="113"/>
        <v>7188</v>
      </c>
      <c r="B7249" s="138">
        <f>'Expenditures 15-22'!G7</f>
        <v>49052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153963</v>
      </c>
      <c r="D7251" s="2" t="str">
        <f t="shared" si="112"/>
        <v>Error?</v>
      </c>
    </row>
    <row r="7252" spans="1:4" x14ac:dyDescent="0.2">
      <c r="A7252">
        <f t="shared" si="113"/>
        <v>7191</v>
      </c>
      <c r="B7252" s="138">
        <f>'Expenditures 15-22'!D9</f>
        <v>36765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120456</v>
      </c>
      <c r="D7263" s="2" t="str">
        <f t="shared" si="112"/>
        <v>Error?</v>
      </c>
    </row>
    <row r="7264" spans="1:4" x14ac:dyDescent="0.2">
      <c r="A7264">
        <f t="shared" si="113"/>
        <v>7203</v>
      </c>
      <c r="B7264" s="138">
        <f>'Expenditures 15-22'!D17</f>
        <v>20134</v>
      </c>
      <c r="D7264" s="2" t="str">
        <f t="shared" si="112"/>
        <v>Error?</v>
      </c>
    </row>
    <row r="7265" spans="1:5" x14ac:dyDescent="0.2">
      <c r="A7265">
        <f t="shared" si="113"/>
        <v>7204</v>
      </c>
      <c r="B7265" s="138">
        <f>'Expenditures 15-22'!E17</f>
        <v>3375</v>
      </c>
      <c r="D7265" s="2" t="str">
        <f t="shared" si="112"/>
        <v>Error?</v>
      </c>
    </row>
    <row r="7266" spans="1:5" x14ac:dyDescent="0.2">
      <c r="A7266">
        <f t="shared" si="113"/>
        <v>7205</v>
      </c>
      <c r="B7266" s="138">
        <f>'Expenditures 15-22'!F17</f>
        <v>2152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40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161112</v>
      </c>
      <c r="D7624" s="2" t="str">
        <f t="shared" si="124"/>
        <v>Error?</v>
      </c>
      <c r="E7624" s="2" t="s">
        <v>19</v>
      </c>
    </row>
    <row r="7625" spans="1:5" x14ac:dyDescent="0.2">
      <c r="A7625">
        <f t="shared" si="123"/>
        <v>7564</v>
      </c>
      <c r="B7625" s="138">
        <f>'Cap Outlay Deprec 26'!I17</f>
        <v>16111.2</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5472369.2000000002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52435</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524</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67254</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67254</v>
      </c>
      <c r="D7719" s="2" t="str">
        <f t="shared" si="126"/>
        <v>Error?</v>
      </c>
      <c r="E7719" s="2" t="s">
        <v>880</v>
      </c>
    </row>
    <row r="7720" spans="1:6" x14ac:dyDescent="0.2">
      <c r="A7720">
        <v>7659</v>
      </c>
      <c r="B7720" s="138">
        <f>'Rest Tax Levies-Tort Im 25'!H14</f>
        <v>6182631</v>
      </c>
      <c r="D7720" s="2" t="str">
        <f t="shared" si="126"/>
        <v>Error?</v>
      </c>
      <c r="E7720" s="2" t="s">
        <v>880</v>
      </c>
    </row>
    <row r="7721" spans="1:6" x14ac:dyDescent="0.2">
      <c r="A7721">
        <v>7660</v>
      </c>
      <c r="B7721" s="138">
        <f>'Rest Tax Levies-Tort Im 25'!K14</f>
        <v>67254</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200938</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1943850</v>
      </c>
      <c r="D7797" s="2" t="str">
        <f t="shared" si="127"/>
        <v>Error?</v>
      </c>
      <c r="E7797" s="4" t="s">
        <v>2016</v>
      </c>
    </row>
    <row r="7798" spans="1:5" x14ac:dyDescent="0.2">
      <c r="A7798">
        <v>7737</v>
      </c>
      <c r="B7798" s="138">
        <f>'Contracts Paid in CY 29'!F141</f>
        <v>553427</v>
      </c>
      <c r="D7798" s="2" t="str">
        <f t="shared" si="127"/>
        <v>Error?</v>
      </c>
      <c r="E7798" s="4" t="s">
        <v>2016</v>
      </c>
    </row>
    <row r="7799" spans="1:5" x14ac:dyDescent="0.2">
      <c r="A7799">
        <v>7738</v>
      </c>
      <c r="B7799" s="138">
        <f>'Contracts Paid in CY 29'!G141</f>
        <v>866623</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5" t="s">
        <v>1252</v>
      </c>
      <c r="B2" s="2405"/>
      <c r="C2" s="2405"/>
      <c r="D2" s="2405"/>
      <c r="E2" s="2405"/>
      <c r="F2" s="2405"/>
      <c r="G2" s="2405"/>
      <c r="H2" s="2405"/>
      <c r="I2" s="2405"/>
      <c r="J2" s="2405"/>
      <c r="K2" s="2405"/>
      <c r="L2" s="2405"/>
    </row>
    <row r="3" spans="1:29" ht="13.5" customHeight="1" x14ac:dyDescent="0.2">
      <c r="A3" s="2436" t="s">
        <v>1251</v>
      </c>
      <c r="B3" s="2436"/>
      <c r="C3" s="2436"/>
      <c r="D3" s="2436"/>
      <c r="E3" s="2436"/>
      <c r="F3" s="2436"/>
      <c r="G3" s="2436"/>
      <c r="H3" s="2436"/>
      <c r="I3" s="2436"/>
      <c r="J3" s="2436"/>
      <c r="K3" s="2436"/>
      <c r="L3" s="2436"/>
    </row>
    <row r="4" spans="1:29" ht="13.5" customHeight="1" x14ac:dyDescent="0.2">
      <c r="A4" s="2405" t="s">
        <v>1798</v>
      </c>
      <c r="B4" s="2426"/>
      <c r="C4" s="2426"/>
      <c r="D4" s="2426"/>
      <c r="E4" s="2426"/>
      <c r="F4" s="2426"/>
      <c r="G4" s="2426"/>
      <c r="H4" s="2426"/>
      <c r="I4" s="2426"/>
      <c r="J4" s="2426"/>
      <c r="K4" s="2426"/>
      <c r="L4" s="242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7" t="str">
        <f>COVER!A17</f>
        <v>Woodstock CUSD 200</v>
      </c>
      <c r="B7" s="2428"/>
      <c r="C7" s="2428"/>
      <c r="D7" s="2429"/>
      <c r="E7" s="2430">
        <f>COVER!A13</f>
        <v>44063200026</v>
      </c>
      <c r="F7" s="2431"/>
      <c r="G7" s="2437" t="str">
        <f>COVER!T23</f>
        <v>060-003973</v>
      </c>
      <c r="H7" s="2438"/>
      <c r="I7" s="2438"/>
      <c r="J7" s="2438"/>
      <c r="K7" s="2438"/>
      <c r="L7" s="2439"/>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40"/>
      <c r="B9" s="2441"/>
      <c r="C9" s="2441"/>
      <c r="D9" s="2441"/>
      <c r="E9" s="2441"/>
      <c r="F9" s="2442"/>
      <c r="G9" s="2411" t="str">
        <f>COVER!T13</f>
        <v>Evans, Marshall and Pease, PC</v>
      </c>
      <c r="H9" s="2443"/>
      <c r="I9" s="2443"/>
      <c r="J9" s="2443"/>
      <c r="K9" s="2443"/>
      <c r="L9" s="2444"/>
    </row>
    <row r="10" spans="1:29" ht="13.5" customHeight="1" x14ac:dyDescent="0.2">
      <c r="A10" s="2417">
        <f>COVER!A38</f>
        <v>0</v>
      </c>
      <c r="B10" s="2418"/>
      <c r="C10" s="2418"/>
      <c r="D10" s="2418"/>
      <c r="E10" s="2418"/>
      <c r="F10" s="2419"/>
      <c r="G10" s="2411" t="str">
        <f>COVER!T17</f>
        <v>1875 Hicks Road</v>
      </c>
      <c r="H10" s="2412"/>
      <c r="I10" s="2412"/>
      <c r="J10" s="2412"/>
      <c r="K10" s="2412"/>
      <c r="L10" s="2413"/>
    </row>
    <row r="11" spans="1:29" ht="13.5" customHeight="1" x14ac:dyDescent="0.2">
      <c r="A11" s="1185" t="s">
        <v>1598</v>
      </c>
      <c r="B11" s="1186"/>
      <c r="C11" s="1187"/>
      <c r="D11" s="1192"/>
      <c r="E11" s="1187"/>
      <c r="F11" s="1191"/>
      <c r="G11" s="2411" t="str">
        <f>COVER!T19</f>
        <v>Rolling Meadows</v>
      </c>
      <c r="H11" s="2412"/>
      <c r="I11" s="2412"/>
      <c r="J11" s="2412"/>
      <c r="K11" s="2412"/>
      <c r="L11" s="2413"/>
    </row>
    <row r="12" spans="1:29" ht="13.5" customHeight="1" x14ac:dyDescent="0.2">
      <c r="A12" s="2420" t="s">
        <v>1597</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1599</v>
      </c>
      <c r="H13" s="2407"/>
      <c r="I13" s="2423" t="str">
        <f>COVER!T25</f>
        <v>jeff@empcpa.com</v>
      </c>
      <c r="J13" s="2424"/>
      <c r="K13" s="2424"/>
      <c r="L13" s="2425"/>
    </row>
    <row r="14" spans="1:29" ht="13.5" customHeight="1" x14ac:dyDescent="0.2">
      <c r="A14" s="2411" t="str">
        <f>COVER!A19</f>
        <v>2990 Raffel Road</v>
      </c>
      <c r="B14" s="2412"/>
      <c r="C14" s="2412"/>
      <c r="D14" s="2412"/>
      <c r="E14" s="2412"/>
      <c r="F14" s="2413"/>
      <c r="G14" s="1196" t="s">
        <v>1246</v>
      </c>
      <c r="H14" s="1194"/>
      <c r="I14" s="1194"/>
      <c r="J14" s="1194"/>
      <c r="K14" s="1194"/>
      <c r="L14" s="1195"/>
    </row>
    <row r="15" spans="1:29" ht="13.5" customHeight="1" x14ac:dyDescent="0.2">
      <c r="A15" s="2411" t="str">
        <f>COVER!A21</f>
        <v xml:space="preserve">Woodstock   </v>
      </c>
      <c r="B15" s="2412"/>
      <c r="C15" s="2412"/>
      <c r="D15" s="2412"/>
      <c r="E15" s="2412"/>
      <c r="F15" s="2413"/>
      <c r="G15" s="2408" t="str">
        <f>COVER!T15</f>
        <v>Jeffery M. Rollefson, CPA</v>
      </c>
      <c r="H15" s="2409"/>
      <c r="I15" s="2409"/>
      <c r="J15" s="2409"/>
      <c r="K15" s="2409"/>
      <c r="L15" s="2410"/>
    </row>
    <row r="16" spans="1:29" ht="12.2" customHeight="1" x14ac:dyDescent="0.2">
      <c r="A16" s="2433">
        <f>COVER!A25</f>
        <v>60098</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6" t="s">
        <v>1245</v>
      </c>
      <c r="H17" s="1194"/>
      <c r="I17" s="1194"/>
      <c r="J17" s="1194"/>
      <c r="K17" s="1198" t="s">
        <v>1244</v>
      </c>
      <c r="L17" s="1191"/>
      <c r="M17" s="1184"/>
    </row>
    <row r="18" spans="1:13" ht="12.2" customHeight="1" x14ac:dyDescent="0.2">
      <c r="A18" s="2417"/>
      <c r="B18" s="2418"/>
      <c r="C18" s="2418"/>
      <c r="D18" s="2418"/>
      <c r="E18" s="2418"/>
      <c r="F18" s="2419"/>
      <c r="G18" s="2427" t="str">
        <f>COVER!T21</f>
        <v>847-221-5700</v>
      </c>
      <c r="H18" s="2428"/>
      <c r="I18" s="2428"/>
      <c r="J18" s="2428"/>
      <c r="K18" s="2427" t="str">
        <f>COVER!X21</f>
        <v>847-221-5701</v>
      </c>
      <c r="L18" s="243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9" t="str">
        <f>'Single Audit Cover'!A7</f>
        <v>Woodstock CUSD 200</v>
      </c>
      <c r="B1" s="2426"/>
      <c r="C1" s="2426"/>
      <c r="D1" s="2426"/>
    </row>
    <row r="2" spans="1:11" s="1215" customFormat="1" ht="12.75" x14ac:dyDescent="0.2">
      <c r="A2" s="2450">
        <f>'Single Audit Cover'!E7</f>
        <v>44063200026</v>
      </c>
      <c r="B2" s="2451"/>
      <c r="C2" s="2451"/>
      <c r="D2" s="2451"/>
    </row>
    <row r="3" spans="1:11" s="1215" customFormat="1" ht="12.75" x14ac:dyDescent="0.2">
      <c r="A3" s="2449" t="s">
        <v>1592</v>
      </c>
      <c r="B3" s="2426"/>
      <c r="C3" s="2426"/>
      <c r="D3" s="2426"/>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3" t="str">
        <f>'Single Audit Cover'!A7</f>
        <v>Woodstock CUSD 200</v>
      </c>
      <c r="B1" s="2453"/>
      <c r="C1" s="2453"/>
      <c r="D1" s="2453"/>
      <c r="E1" s="2453"/>
    </row>
    <row r="2" spans="1:5" x14ac:dyDescent="0.2">
      <c r="A2" s="2454">
        <f>'Single Audit Cover'!E7</f>
        <v>44063200026</v>
      </c>
      <c r="B2" s="2454"/>
      <c r="C2" s="2454"/>
      <c r="D2" s="2454"/>
      <c r="E2" s="2454"/>
    </row>
    <row r="3" spans="1:5" ht="4.5" customHeight="1" x14ac:dyDescent="0.2"/>
    <row r="4" spans="1:5" x14ac:dyDescent="0.2">
      <c r="A4" s="2453" t="s">
        <v>1306</v>
      </c>
      <c r="B4" s="2453"/>
      <c r="C4" s="2453"/>
      <c r="D4" s="2453"/>
      <c r="E4" s="2453"/>
    </row>
    <row r="5" spans="1:5" x14ac:dyDescent="0.2">
      <c r="A5" s="2456" t="str">
        <f>'Single Audit Cover'!A4</f>
        <v>Year Ending June 30, 2018</v>
      </c>
      <c r="B5" s="2456"/>
      <c r="C5" s="2456"/>
      <c r="D5" s="2456"/>
      <c r="E5" s="2456"/>
    </row>
    <row r="6" spans="1:5" x14ac:dyDescent="0.2">
      <c r="A6" s="2453" t="s">
        <v>1305</v>
      </c>
      <c r="B6" s="2453"/>
      <c r="C6" s="2453"/>
      <c r="D6" s="2453"/>
      <c r="E6" s="2453"/>
    </row>
    <row r="8" spans="1:5" x14ac:dyDescent="0.2">
      <c r="A8" s="1260" t="s">
        <v>1304</v>
      </c>
    </row>
    <row r="10" spans="1:5" x14ac:dyDescent="0.2">
      <c r="A10" s="1261" t="s">
        <v>1303</v>
      </c>
      <c r="B10" s="1262" t="s">
        <v>1302</v>
      </c>
      <c r="C10" s="1262"/>
      <c r="D10" s="1263">
        <f>SUM('Acct Summary 7-8'!C7:K7)</f>
        <v>4678031</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165351</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-317075</v>
      </c>
    </row>
    <row r="19" spans="1:4" ht="13.5" thickBot="1" x14ac:dyDescent="0.25">
      <c r="A19" s="1265" t="s">
        <v>1296</v>
      </c>
      <c r="D19" s="1266">
        <f>SUM(D10:D17)</f>
        <v>4526307</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5" t="s">
        <v>2170</v>
      </c>
      <c r="B24" s="2455"/>
      <c r="D24" s="1268">
        <v>-200938</v>
      </c>
    </row>
    <row r="25" spans="1:4" x14ac:dyDescent="0.2">
      <c r="A25" s="2452"/>
      <c r="B25" s="2452"/>
      <c r="D25" s="1268"/>
    </row>
    <row r="26" spans="1:4" x14ac:dyDescent="0.2">
      <c r="A26" s="2452"/>
      <c r="B26" s="2452"/>
      <c r="D26" s="1268"/>
    </row>
    <row r="27" spans="1:4" x14ac:dyDescent="0.2">
      <c r="A27" s="2452"/>
      <c r="B27" s="2452"/>
      <c r="D27" s="1268"/>
    </row>
    <row r="28" spans="1:4" x14ac:dyDescent="0.2">
      <c r="A28" s="2452"/>
      <c r="B28" s="2452"/>
      <c r="D28" s="1268"/>
    </row>
    <row r="29" spans="1:4" x14ac:dyDescent="0.2">
      <c r="A29" s="2452"/>
      <c r="B29" s="2452"/>
      <c r="D29" s="1268"/>
    </row>
    <row r="30" spans="1:4" x14ac:dyDescent="0.2">
      <c r="A30" s="2452"/>
      <c r="B30" s="2452"/>
      <c r="D30" s="1268"/>
    </row>
    <row r="32" spans="1:4" x14ac:dyDescent="0.2">
      <c r="A32" s="1260" t="s">
        <v>1294</v>
      </c>
      <c r="D32" s="1263">
        <f>SUM(D19:D30)</f>
        <v>4325369</v>
      </c>
    </row>
    <row r="33" spans="1:4" x14ac:dyDescent="0.2">
      <c r="D33" s="1269"/>
    </row>
    <row r="34" spans="1:4" x14ac:dyDescent="0.2">
      <c r="A34" s="317" t="s">
        <v>1293</v>
      </c>
    </row>
    <row r="35" spans="1:4" x14ac:dyDescent="0.2">
      <c r="A35" s="317" t="s">
        <v>1292</v>
      </c>
      <c r="B35" s="1258" t="s">
        <v>1291</v>
      </c>
      <c r="D35" s="1270">
        <v>4956373</v>
      </c>
    </row>
    <row r="37" spans="1:4" x14ac:dyDescent="0.2">
      <c r="A37" s="1260" t="s">
        <v>1290</v>
      </c>
    </row>
    <row r="39" spans="1:4" ht="13.35" customHeight="1" x14ac:dyDescent="0.2">
      <c r="A39" s="1267" t="s">
        <v>1289</v>
      </c>
    </row>
    <row r="40" spans="1:4" x14ac:dyDescent="0.2">
      <c r="A40" s="2452" t="s">
        <v>2171</v>
      </c>
      <c r="B40" s="2452"/>
      <c r="D40" s="1268">
        <v>-631004</v>
      </c>
    </row>
    <row r="41" spans="1:4" x14ac:dyDescent="0.2">
      <c r="A41" s="2452"/>
      <c r="B41" s="2452"/>
      <c r="D41" s="1271"/>
    </row>
    <row r="42" spans="1:4" x14ac:dyDescent="0.2">
      <c r="A42" s="2452"/>
      <c r="B42" s="2452"/>
      <c r="D42" s="1271"/>
    </row>
    <row r="43" spans="1:4" x14ac:dyDescent="0.2">
      <c r="A43" s="2452"/>
      <c r="B43" s="2452"/>
      <c r="D43" s="1271"/>
    </row>
    <row r="44" spans="1:4" x14ac:dyDescent="0.2">
      <c r="A44" s="2452"/>
      <c r="B44" s="2452"/>
      <c r="D44" s="1271"/>
    </row>
    <row r="45" spans="1:4" x14ac:dyDescent="0.2">
      <c r="A45" s="2452"/>
      <c r="B45" s="2452"/>
      <c r="D45" s="1271"/>
    </row>
    <row r="47" spans="1:4" x14ac:dyDescent="0.2">
      <c r="B47" s="1272" t="s">
        <v>1288</v>
      </c>
      <c r="C47" s="1272"/>
      <c r="D47" s="1273">
        <f>SUM(D35:D45)</f>
        <v>4325369</v>
      </c>
    </row>
    <row r="49" spans="2:4" x14ac:dyDescent="0.2">
      <c r="B49" s="1272" t="s">
        <v>1287</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Woodstock CUSD 200</v>
      </c>
      <c r="B1" s="2466"/>
      <c r="C1" s="2466"/>
      <c r="D1" s="2466"/>
      <c r="E1" s="2466"/>
      <c r="F1" s="2466"/>
    </row>
    <row r="2" spans="1:7" ht="13.5" customHeight="1" x14ac:dyDescent="0.2">
      <c r="A2" s="2467">
        <f>'Single Audit Cover'!E7</f>
        <v>44063200026</v>
      </c>
      <c r="B2" s="2467"/>
      <c r="C2" s="2467"/>
      <c r="D2" s="2467"/>
      <c r="E2" s="2467"/>
      <c r="F2" s="2467"/>
      <c r="G2" s="1275"/>
    </row>
    <row r="3" spans="1:7" ht="15.75" customHeight="1" x14ac:dyDescent="0.2">
      <c r="A3" s="2468" t="s">
        <v>1332</v>
      </c>
      <c r="B3" s="2468"/>
      <c r="C3" s="2468"/>
      <c r="D3" s="2468"/>
      <c r="E3" s="2468"/>
      <c r="F3" s="2468"/>
    </row>
    <row r="4" spans="1:7" ht="13.5" customHeight="1" x14ac:dyDescent="0.2">
      <c r="A4" s="2469" t="str">
        <f>'Single Audit Cover'!A4</f>
        <v>Year Ending June 30, 2018</v>
      </c>
      <c r="B4" s="2469"/>
      <c r="C4" s="2469"/>
      <c r="D4" s="2469"/>
      <c r="E4" s="2469"/>
      <c r="F4" s="2469"/>
    </row>
    <row r="5" spans="1:7" ht="8.25" customHeight="1" x14ac:dyDescent="0.2">
      <c r="C5" s="317"/>
      <c r="D5" s="317"/>
    </row>
    <row r="6" spans="1:7" ht="13.5" customHeight="1" x14ac:dyDescent="0.2">
      <c r="A6" s="1276" t="s">
        <v>1830</v>
      </c>
      <c r="C6" s="317"/>
      <c r="D6" s="317"/>
    </row>
    <row r="7" spans="1:7" ht="60.95" customHeight="1" x14ac:dyDescent="0.2">
      <c r="A7" s="2465" t="s">
        <v>2089</v>
      </c>
      <c r="B7" s="2465"/>
      <c r="C7" s="2465"/>
      <c r="D7" s="2465"/>
      <c r="E7" s="2465"/>
      <c r="F7" s="2465"/>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2077</v>
      </c>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65" t="s">
        <v>2087</v>
      </c>
      <c r="B13" s="2465"/>
      <c r="C13" s="2465"/>
      <c r="D13" s="2465"/>
      <c r="E13" s="2465"/>
      <c r="F13" s="2465"/>
    </row>
    <row r="14" spans="1:7" ht="9.75" customHeight="1" x14ac:dyDescent="0.2">
      <c r="C14" s="1260"/>
      <c r="D14" s="1260"/>
    </row>
    <row r="15" spans="1:7" ht="13.5" customHeight="1" x14ac:dyDescent="0.2">
      <c r="C15" s="1871" t="s">
        <v>1331</v>
      </c>
      <c r="D15" s="2463" t="s">
        <v>1330</v>
      </c>
      <c r="E15" s="2463"/>
      <c r="F15" s="2463"/>
    </row>
    <row r="16" spans="1:7" ht="13.5" customHeight="1" x14ac:dyDescent="0.2">
      <c r="A16" s="1282"/>
      <c r="B16" s="1276" t="s">
        <v>1329</v>
      </c>
      <c r="C16" s="1871" t="s">
        <v>1328</v>
      </c>
      <c r="D16" s="2464" t="s">
        <v>1669</v>
      </c>
      <c r="E16" s="2464"/>
      <c r="F16" s="2464"/>
    </row>
    <row r="17" spans="1:6" ht="20.45" customHeight="1" x14ac:dyDescent="0.2">
      <c r="A17" s="1283"/>
      <c r="B17" s="1284" t="s">
        <v>2088</v>
      </c>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9" t="s">
        <v>2090</v>
      </c>
      <c r="B32" s="2459"/>
      <c r="C32" s="2459"/>
      <c r="D32" s="2459"/>
      <c r="E32" s="2459"/>
      <c r="F32" s="2459"/>
    </row>
    <row r="33" spans="1:6" ht="13.5" customHeight="1" x14ac:dyDescent="0.2">
      <c r="A33" s="328" t="s">
        <v>1508</v>
      </c>
      <c r="B33" s="328"/>
      <c r="C33" s="1288">
        <v>89367</v>
      </c>
      <c r="D33" s="1928"/>
      <c r="E33" s="1286"/>
    </row>
    <row r="34" spans="1:6" ht="13.5" customHeight="1" x14ac:dyDescent="0.2">
      <c r="A34" s="328" t="s">
        <v>1945</v>
      </c>
      <c r="B34" s="328"/>
      <c r="C34" s="1289">
        <v>75984</v>
      </c>
      <c r="D34" s="1928" t="s">
        <v>1670</v>
      </c>
      <c r="E34" s="2460">
        <f>+C33+C34</f>
        <v>165351</v>
      </c>
      <c r="F34" s="2461"/>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v>0</v>
      </c>
      <c r="D38" s="1928"/>
      <c r="E38" s="1286"/>
    </row>
    <row r="39" spans="1:6" ht="14.25" customHeight="1" x14ac:dyDescent="0.2">
      <c r="A39" s="328"/>
      <c r="B39" s="328" t="s">
        <v>1510</v>
      </c>
      <c r="C39" s="1292">
        <v>0</v>
      </c>
      <c r="D39" s="1928"/>
      <c r="E39" s="1286"/>
    </row>
    <row r="40" spans="1:6" ht="14.25" customHeight="1" x14ac:dyDescent="0.2">
      <c r="A40" s="328"/>
      <c r="B40" s="328" t="s">
        <v>1511</v>
      </c>
      <c r="C40" s="1292">
        <v>0</v>
      </c>
      <c r="D40" s="1928"/>
      <c r="E40" s="1286"/>
    </row>
    <row r="41" spans="1:6" ht="14.25" customHeight="1" x14ac:dyDescent="0.2">
      <c r="A41" s="328"/>
      <c r="B41" s="328" t="s">
        <v>1512</v>
      </c>
      <c r="C41" s="1292">
        <v>0</v>
      </c>
      <c r="D41" s="1928"/>
      <c r="E41" s="1286"/>
    </row>
    <row r="42" spans="1:6" ht="14.25" customHeight="1" x14ac:dyDescent="0.2">
      <c r="A42" s="328" t="s">
        <v>1513</v>
      </c>
      <c r="B42" s="328"/>
      <c r="C42" s="1926">
        <v>0</v>
      </c>
      <c r="D42" s="1928"/>
      <c r="E42" s="1286"/>
    </row>
    <row r="43" spans="1:6" ht="14.25" customHeight="1" x14ac:dyDescent="0.2">
      <c r="A43" s="328" t="s">
        <v>1514</v>
      </c>
      <c r="B43" s="328"/>
      <c r="C43" s="1293" t="s">
        <v>2091</v>
      </c>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1671</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7" t="s">
        <v>1631</v>
      </c>
      <c r="C51" s="2457"/>
      <c r="D51" s="2457"/>
    </row>
    <row r="52" spans="1:5" ht="14.25" customHeight="1" x14ac:dyDescent="0.2">
      <c r="A52" s="1301"/>
      <c r="B52" s="2457"/>
      <c r="C52" s="2457"/>
      <c r="D52" s="245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K14" sqref="K1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Woodstock CUSD 200</v>
      </c>
      <c r="C1" s="2470"/>
      <c r="D1" s="2470"/>
      <c r="E1" s="2470"/>
      <c r="F1" s="2470"/>
      <c r="G1" s="2470"/>
      <c r="H1" s="2470"/>
      <c r="I1" s="2470"/>
      <c r="J1" s="2470"/>
      <c r="K1" s="2470"/>
      <c r="L1" s="2470"/>
      <c r="M1" s="2470"/>
    </row>
    <row r="2" spans="2:14" ht="15" x14ac:dyDescent="0.2">
      <c r="B2" s="2467">
        <f>'Single Audit Cover'!E7</f>
        <v>44063200026</v>
      </c>
      <c r="C2" s="2467"/>
      <c r="D2" s="2467"/>
      <c r="E2" s="2467"/>
      <c r="F2" s="2467"/>
      <c r="G2" s="2467"/>
      <c r="H2" s="2467"/>
      <c r="I2" s="2467"/>
      <c r="J2" s="2467"/>
      <c r="K2" s="2467"/>
      <c r="L2" s="2467"/>
      <c r="M2" s="2467"/>
      <c r="N2" s="1302"/>
    </row>
    <row r="3" spans="2:14" ht="15" x14ac:dyDescent="0.2">
      <c r="B3" s="2471" t="s">
        <v>1280</v>
      </c>
      <c r="C3" s="2471"/>
      <c r="D3" s="2471"/>
      <c r="E3" s="2471"/>
      <c r="F3" s="2471"/>
      <c r="G3" s="2471"/>
      <c r="H3" s="2471"/>
      <c r="I3" s="2471"/>
      <c r="J3" s="2471"/>
      <c r="K3" s="2471"/>
      <c r="L3" s="2471"/>
      <c r="M3" s="2471"/>
      <c r="N3" s="1302"/>
    </row>
    <row r="4" spans="2:14" ht="15" x14ac:dyDescent="0.2">
      <c r="B4" s="2472" t="str">
        <f>'Single Audit Cover'!A4</f>
        <v>Year Ending June 30, 2018</v>
      </c>
      <c r="C4" s="2472"/>
      <c r="D4" s="2472"/>
      <c r="E4" s="2472"/>
      <c r="F4" s="2472"/>
      <c r="G4" s="2472"/>
      <c r="H4" s="2472"/>
      <c r="I4" s="2472"/>
      <c r="J4" s="2472"/>
      <c r="K4" s="2472"/>
      <c r="L4" s="2472"/>
      <c r="M4" s="2472"/>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6" t="s">
        <v>2092</v>
      </c>
      <c r="C11" s="1338"/>
      <c r="D11" s="1339"/>
      <c r="E11" s="1340"/>
      <c r="F11" s="1340"/>
      <c r="G11" s="1340"/>
      <c r="H11" s="1340"/>
      <c r="I11" s="1340"/>
      <c r="J11" s="1340"/>
      <c r="K11" s="1340"/>
      <c r="L11" s="1340"/>
      <c r="M11" s="1340"/>
    </row>
    <row r="12" spans="2:14" ht="20.100000000000001" customHeight="1" x14ac:dyDescent="0.2">
      <c r="B12" s="1337" t="s">
        <v>2093</v>
      </c>
      <c r="C12" s="1341">
        <v>84.215000000000003</v>
      </c>
      <c r="D12" s="1342" t="s">
        <v>2094</v>
      </c>
      <c r="E12" s="1343">
        <v>392105</v>
      </c>
      <c r="F12" s="1343">
        <v>16345</v>
      </c>
      <c r="G12" s="1343">
        <v>392105</v>
      </c>
      <c r="H12" s="1343"/>
      <c r="I12" s="1343">
        <v>16345</v>
      </c>
      <c r="J12" s="1343"/>
      <c r="K12" s="1343"/>
      <c r="L12" s="1340">
        <f t="shared" ref="L12:L26" si="0">+G12+I12+K12</f>
        <v>408450</v>
      </c>
      <c r="M12" s="1343">
        <v>416071</v>
      </c>
    </row>
    <row r="13" spans="2:14" ht="20.100000000000001" customHeight="1" x14ac:dyDescent="0.2">
      <c r="B13" s="1957" t="s">
        <v>2095</v>
      </c>
      <c r="C13" s="1341"/>
      <c r="D13" s="1342"/>
      <c r="E13" s="1343"/>
      <c r="F13" s="1343"/>
      <c r="G13" s="1343"/>
      <c r="H13" s="1343"/>
      <c r="I13" s="1343"/>
      <c r="J13" s="1343"/>
      <c r="K13" s="1343"/>
      <c r="L13" s="1340"/>
      <c r="M13" s="1343"/>
    </row>
    <row r="14" spans="2:14" ht="20.100000000000001" customHeight="1" x14ac:dyDescent="0.2">
      <c r="B14" s="1337" t="s">
        <v>2096</v>
      </c>
      <c r="C14" s="1341">
        <v>84.01</v>
      </c>
      <c r="D14" s="1342" t="s">
        <v>2097</v>
      </c>
      <c r="E14" s="1343">
        <v>468990</v>
      </c>
      <c r="F14" s="1343">
        <v>249906</v>
      </c>
      <c r="G14" s="1343">
        <v>468990</v>
      </c>
      <c r="H14" s="1343"/>
      <c r="I14" s="1343">
        <v>249906</v>
      </c>
      <c r="J14" s="1343"/>
      <c r="K14" s="1343"/>
      <c r="L14" s="1340">
        <f t="shared" si="0"/>
        <v>718896</v>
      </c>
      <c r="M14" s="1343">
        <v>807139</v>
      </c>
    </row>
    <row r="15" spans="2:14" ht="20.100000000000001" customHeight="1" x14ac:dyDescent="0.2">
      <c r="B15" s="1337" t="s">
        <v>2096</v>
      </c>
      <c r="C15" s="1341">
        <v>84.01</v>
      </c>
      <c r="D15" s="1342" t="s">
        <v>2098</v>
      </c>
      <c r="E15" s="1343"/>
      <c r="F15" s="1343">
        <v>766690</v>
      </c>
      <c r="G15" s="1343"/>
      <c r="H15" s="1343"/>
      <c r="I15" s="1343">
        <v>766690</v>
      </c>
      <c r="J15" s="1343"/>
      <c r="K15" s="1343"/>
      <c r="L15" s="1340" t="s">
        <v>2124</v>
      </c>
      <c r="M15" s="1343">
        <v>932527</v>
      </c>
    </row>
    <row r="16" spans="2:14" ht="20.100000000000001" customHeight="1" x14ac:dyDescent="0.2">
      <c r="B16" s="1337" t="s">
        <v>2099</v>
      </c>
      <c r="C16" s="1341">
        <v>84.367000000000004</v>
      </c>
      <c r="D16" s="1342" t="s">
        <v>2100</v>
      </c>
      <c r="E16" s="1343">
        <v>159659</v>
      </c>
      <c r="F16" s="1343">
        <v>47762</v>
      </c>
      <c r="G16" s="1343">
        <v>159659</v>
      </c>
      <c r="H16" s="1343"/>
      <c r="I16" s="1343">
        <v>47762</v>
      </c>
      <c r="J16" s="1343"/>
      <c r="K16" s="1343"/>
      <c r="L16" s="1340">
        <f t="shared" si="0"/>
        <v>207421</v>
      </c>
      <c r="M16" s="1343">
        <v>219360</v>
      </c>
    </row>
    <row r="17" spans="2:14" ht="20.100000000000001" customHeight="1" x14ac:dyDescent="0.2">
      <c r="B17" s="1337" t="s">
        <v>2099</v>
      </c>
      <c r="C17" s="1341">
        <v>84.367000000000004</v>
      </c>
      <c r="D17" s="1342" t="s">
        <v>2101</v>
      </c>
      <c r="E17" s="1343"/>
      <c r="F17" s="1343">
        <v>182592</v>
      </c>
      <c r="G17" s="1343"/>
      <c r="H17" s="1343"/>
      <c r="I17" s="1343">
        <v>182592</v>
      </c>
      <c r="J17" s="1343"/>
      <c r="K17" s="1343"/>
      <c r="L17" s="1340" t="s">
        <v>2124</v>
      </c>
      <c r="M17" s="1343">
        <v>197766</v>
      </c>
    </row>
    <row r="18" spans="2:14" ht="20.100000000000001" customHeight="1" x14ac:dyDescent="0.2">
      <c r="B18" s="1337" t="s">
        <v>2102</v>
      </c>
      <c r="C18" s="1341">
        <v>84.364999999999995</v>
      </c>
      <c r="D18" s="1342" t="s">
        <v>2103</v>
      </c>
      <c r="E18" s="1343">
        <v>148062</v>
      </c>
      <c r="F18" s="1343">
        <v>29690</v>
      </c>
      <c r="G18" s="1343">
        <v>148062</v>
      </c>
      <c r="H18" s="1343"/>
      <c r="I18" s="1343">
        <v>29690</v>
      </c>
      <c r="J18" s="1343"/>
      <c r="K18" s="1343"/>
      <c r="L18" s="1340">
        <f>+G18+I18+K18</f>
        <v>177752</v>
      </c>
      <c r="M18" s="1343">
        <v>210453</v>
      </c>
    </row>
    <row r="19" spans="2:14" ht="20.100000000000001" customHeight="1" x14ac:dyDescent="0.2">
      <c r="B19" s="1337" t="s">
        <v>2102</v>
      </c>
      <c r="C19" s="1341">
        <v>84.364999999999995</v>
      </c>
      <c r="D19" s="1342" t="s">
        <v>2104</v>
      </c>
      <c r="E19" s="1343"/>
      <c r="F19" s="1343">
        <v>114170</v>
      </c>
      <c r="G19" s="1343"/>
      <c r="H19" s="1343"/>
      <c r="I19" s="1343">
        <v>114170</v>
      </c>
      <c r="J19" s="1343"/>
      <c r="K19" s="1343"/>
      <c r="L19" s="1340" t="s">
        <v>2124</v>
      </c>
      <c r="M19" s="1343">
        <v>131705</v>
      </c>
    </row>
    <row r="20" spans="2:14" ht="20.100000000000001" customHeight="1" x14ac:dyDescent="0.2">
      <c r="B20" s="1337" t="s">
        <v>2105</v>
      </c>
      <c r="C20" s="1341">
        <v>84.424000000000007</v>
      </c>
      <c r="D20" s="1342" t="s">
        <v>2106</v>
      </c>
      <c r="E20" s="1343"/>
      <c r="F20" s="1343">
        <v>16070</v>
      </c>
      <c r="G20" s="1343"/>
      <c r="H20" s="1343"/>
      <c r="I20" s="1343">
        <v>16070</v>
      </c>
      <c r="J20" s="1343"/>
      <c r="K20" s="1343">
        <v>2650</v>
      </c>
      <c r="L20" s="1340" t="s">
        <v>2124</v>
      </c>
      <c r="M20" s="1343">
        <v>20491</v>
      </c>
    </row>
    <row r="21" spans="2:14" ht="20.100000000000001" customHeight="1" x14ac:dyDescent="0.2">
      <c r="B21" s="1337" t="s">
        <v>2107</v>
      </c>
      <c r="C21" s="1341">
        <v>84.027000000000001</v>
      </c>
      <c r="D21" s="1342" t="s">
        <v>2108</v>
      </c>
      <c r="E21" s="1343">
        <v>247042</v>
      </c>
      <c r="F21" s="1343">
        <v>101332</v>
      </c>
      <c r="G21" s="1343">
        <v>247042</v>
      </c>
      <c r="H21" s="1343"/>
      <c r="I21" s="1343">
        <v>101332</v>
      </c>
      <c r="J21" s="1343"/>
      <c r="K21" s="1343"/>
      <c r="L21" s="1340">
        <f t="shared" si="0"/>
        <v>348374</v>
      </c>
      <c r="M21" s="1343" t="s">
        <v>2110</v>
      </c>
    </row>
    <row r="22" spans="2:14" ht="20.100000000000001" customHeight="1" x14ac:dyDescent="0.2">
      <c r="B22" s="1337" t="s">
        <v>2107</v>
      </c>
      <c r="C22" s="1341">
        <v>84.027000000000001</v>
      </c>
      <c r="D22" s="1342" t="s">
        <v>2109</v>
      </c>
      <c r="E22" s="1343"/>
      <c r="F22" s="1343">
        <v>209920</v>
      </c>
      <c r="G22" s="1343"/>
      <c r="H22" s="1343"/>
      <c r="I22" s="1343">
        <v>209920</v>
      </c>
      <c r="J22" s="1343"/>
      <c r="K22" s="1343"/>
      <c r="L22" s="1340">
        <f t="shared" si="0"/>
        <v>209920</v>
      </c>
      <c r="M22" s="1343" t="s">
        <v>2110</v>
      </c>
    </row>
    <row r="23" spans="2:14" ht="20.100000000000001" customHeight="1" x14ac:dyDescent="0.2">
      <c r="B23" s="1337" t="s">
        <v>2111</v>
      </c>
      <c r="C23" s="1341">
        <v>84.027000000000001</v>
      </c>
      <c r="D23" s="1342" t="s">
        <v>2112</v>
      </c>
      <c r="E23" s="1343"/>
      <c r="F23" s="1343">
        <v>1503</v>
      </c>
      <c r="G23" s="1343"/>
      <c r="H23" s="1343"/>
      <c r="I23" s="1343">
        <v>1503</v>
      </c>
      <c r="J23" s="1343"/>
      <c r="K23" s="1343"/>
      <c r="L23" s="1340">
        <f t="shared" si="0"/>
        <v>1503</v>
      </c>
      <c r="M23" s="1343" t="s">
        <v>2110</v>
      </c>
    </row>
    <row r="24" spans="2:14" ht="20.100000000000001" customHeight="1" x14ac:dyDescent="0.2">
      <c r="B24" s="1337" t="s">
        <v>2113</v>
      </c>
      <c r="C24" s="1341">
        <v>84.173000000000002</v>
      </c>
      <c r="D24" s="1342" t="s">
        <v>2114</v>
      </c>
      <c r="E24" s="1343">
        <v>62263</v>
      </c>
      <c r="F24" s="1343"/>
      <c r="G24" s="1343">
        <v>62263</v>
      </c>
      <c r="H24" s="1343"/>
      <c r="I24" s="1343"/>
      <c r="J24" s="1343"/>
      <c r="K24" s="1343"/>
      <c r="L24" s="1340">
        <f t="shared" si="0"/>
        <v>62263</v>
      </c>
      <c r="M24" s="1343">
        <v>62263</v>
      </c>
    </row>
    <row r="25" spans="2:14" ht="20.100000000000001" customHeight="1" x14ac:dyDescent="0.2">
      <c r="B25" s="1337" t="s">
        <v>2113</v>
      </c>
      <c r="C25" s="1341">
        <v>84.173000000000002</v>
      </c>
      <c r="D25" s="1342" t="s">
        <v>2115</v>
      </c>
      <c r="E25" s="1343"/>
      <c r="F25" s="1343">
        <v>57189</v>
      </c>
      <c r="G25" s="1343"/>
      <c r="H25" s="1343"/>
      <c r="I25" s="1343">
        <v>57189</v>
      </c>
      <c r="J25" s="1343"/>
      <c r="K25" s="1343"/>
      <c r="L25" s="1340">
        <f t="shared" si="0"/>
        <v>57189</v>
      </c>
      <c r="M25" s="1343">
        <v>57189</v>
      </c>
    </row>
    <row r="26" spans="2:14" ht="20.100000000000001" customHeight="1" x14ac:dyDescent="0.2">
      <c r="B26" s="1337" t="s">
        <v>2116</v>
      </c>
      <c r="C26" s="1341">
        <v>84.027000000000001</v>
      </c>
      <c r="D26" s="1342" t="s">
        <v>2117</v>
      </c>
      <c r="E26" s="1343">
        <v>1670367</v>
      </c>
      <c r="F26" s="1343">
        <v>44144</v>
      </c>
      <c r="G26" s="1343">
        <v>1670367</v>
      </c>
      <c r="H26" s="1343"/>
      <c r="I26" s="1343">
        <v>44144</v>
      </c>
      <c r="J26" s="1343"/>
      <c r="K26" s="1343"/>
      <c r="L26" s="1340">
        <f t="shared" si="0"/>
        <v>1714511</v>
      </c>
      <c r="M26" s="1343">
        <v>1747867</v>
      </c>
    </row>
    <row r="27" spans="2:14" ht="20.100000000000001" customHeight="1" x14ac:dyDescent="0.2">
      <c r="B27" s="1337" t="s">
        <v>2116</v>
      </c>
      <c r="C27" s="1341">
        <v>4.0270000000000001</v>
      </c>
      <c r="D27" s="1342" t="s">
        <v>2118</v>
      </c>
      <c r="E27" s="1343"/>
      <c r="F27" s="1343">
        <v>1417390</v>
      </c>
      <c r="G27" s="1343"/>
      <c r="H27" s="1343"/>
      <c r="I27" s="1343">
        <v>1417390</v>
      </c>
      <c r="J27" s="1343"/>
      <c r="K27" s="1343">
        <v>45754</v>
      </c>
      <c r="L27" s="1340" t="s">
        <v>2124</v>
      </c>
      <c r="M27" s="1343">
        <v>1515003</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2:L27"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16" sqref="K1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Woodstock CUSD 200</v>
      </c>
      <c r="C1" s="2470"/>
      <c r="D1" s="2470"/>
      <c r="E1" s="2470"/>
      <c r="F1" s="2470"/>
      <c r="G1" s="2470"/>
      <c r="H1" s="2470"/>
      <c r="I1" s="2470"/>
      <c r="J1" s="2470"/>
      <c r="K1" s="2470"/>
      <c r="L1" s="2470"/>
      <c r="M1" s="2470"/>
    </row>
    <row r="2" spans="2:14" ht="15" x14ac:dyDescent="0.2">
      <c r="B2" s="2467">
        <f>'Single Audit Cover'!E7</f>
        <v>44063200026</v>
      </c>
      <c r="C2" s="2467"/>
      <c r="D2" s="2467"/>
      <c r="E2" s="2467"/>
      <c r="F2" s="2467"/>
      <c r="G2" s="2467"/>
      <c r="H2" s="2467"/>
      <c r="I2" s="2467"/>
      <c r="J2" s="2467"/>
      <c r="K2" s="2467"/>
      <c r="L2" s="2467"/>
      <c r="M2" s="2467"/>
      <c r="N2" s="1302"/>
    </row>
    <row r="3" spans="2:14" ht="15" x14ac:dyDescent="0.2">
      <c r="B3" s="2471" t="s">
        <v>1280</v>
      </c>
      <c r="C3" s="2471"/>
      <c r="D3" s="2471"/>
      <c r="E3" s="2471"/>
      <c r="F3" s="2471"/>
      <c r="G3" s="2471"/>
      <c r="H3" s="2471"/>
      <c r="I3" s="2471"/>
      <c r="J3" s="2471"/>
      <c r="K3" s="2471"/>
      <c r="L3" s="2471"/>
      <c r="M3" s="2471"/>
      <c r="N3" s="1302"/>
    </row>
    <row r="4" spans="2:14" ht="15" x14ac:dyDescent="0.2">
      <c r="B4" s="2472" t="str">
        <f>'Single Audit Cover'!A4</f>
        <v>Year Ending June 30, 2018</v>
      </c>
      <c r="C4" s="2472"/>
      <c r="D4" s="2472"/>
      <c r="E4" s="2472"/>
      <c r="F4" s="2472"/>
      <c r="G4" s="2472"/>
      <c r="H4" s="2472"/>
      <c r="I4" s="2472"/>
      <c r="J4" s="2472"/>
      <c r="K4" s="2472"/>
      <c r="L4" s="2472"/>
      <c r="M4" s="2472"/>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7" t="s">
        <v>2119</v>
      </c>
      <c r="C11" s="1338"/>
      <c r="D11" s="1339"/>
      <c r="E11" s="1340"/>
      <c r="F11" s="1340"/>
      <c r="G11" s="1340"/>
      <c r="H11" s="1340"/>
      <c r="I11" s="1340"/>
      <c r="J11" s="1340"/>
      <c r="K11" s="1340"/>
      <c r="L11" s="1340"/>
      <c r="M11" s="1340"/>
    </row>
    <row r="12" spans="2:14" ht="20.100000000000001" customHeight="1" x14ac:dyDescent="0.2">
      <c r="B12" s="1337" t="s">
        <v>2120</v>
      </c>
      <c r="C12" s="1341">
        <v>84.048000000000002</v>
      </c>
      <c r="D12" s="1342" t="s">
        <v>2121</v>
      </c>
      <c r="E12" s="1343">
        <v>43875</v>
      </c>
      <c r="F12" s="1343">
        <v>4648</v>
      </c>
      <c r="G12" s="1343">
        <v>43875</v>
      </c>
      <c r="H12" s="1343"/>
      <c r="I12" s="1343">
        <v>4648</v>
      </c>
      <c r="J12" s="1343"/>
      <c r="K12" s="1343"/>
      <c r="L12" s="1340">
        <f t="shared" ref="L12:L25" si="0">+G12+I12+K12</f>
        <v>48523</v>
      </c>
      <c r="M12" s="1343" t="s">
        <v>2110</v>
      </c>
    </row>
    <row r="13" spans="2:14" ht="20.100000000000001" customHeight="1" x14ac:dyDescent="0.2">
      <c r="B13" s="1337" t="s">
        <v>2120</v>
      </c>
      <c r="C13" s="1341">
        <v>84.048000000000002</v>
      </c>
      <c r="D13" s="1342" t="s">
        <v>2122</v>
      </c>
      <c r="E13" s="1343"/>
      <c r="F13" s="1343">
        <v>46827</v>
      </c>
      <c r="G13" s="1343"/>
      <c r="H13" s="1343"/>
      <c r="I13" s="1343">
        <v>46827</v>
      </c>
      <c r="J13" s="1343"/>
      <c r="K13" s="1343"/>
      <c r="L13" s="1340" t="s">
        <v>2123</v>
      </c>
      <c r="M13" s="1343" t="s">
        <v>2110</v>
      </c>
    </row>
    <row r="14" spans="2:14" ht="20.100000000000001" customHeight="1" x14ac:dyDescent="0.2">
      <c r="B14" s="1337"/>
      <c r="C14" s="1341"/>
      <c r="D14" s="1342"/>
      <c r="E14" s="1343"/>
      <c r="F14" s="1343"/>
      <c r="G14" s="1343"/>
      <c r="H14" s="1343"/>
      <c r="I14" s="1343"/>
      <c r="J14" s="1343"/>
      <c r="K14" s="1343"/>
      <c r="L14" s="1340"/>
      <c r="M14" s="1343"/>
    </row>
    <row r="15" spans="2:14" ht="20.100000000000001" customHeight="1" x14ac:dyDescent="0.2">
      <c r="B15" s="1957" t="s">
        <v>2125</v>
      </c>
      <c r="C15" s="1341"/>
      <c r="D15" s="1342"/>
      <c r="E15" s="1343"/>
      <c r="F15" s="1343"/>
      <c r="G15" s="1343"/>
      <c r="H15" s="1343"/>
      <c r="I15" s="1343"/>
      <c r="J15" s="1343"/>
      <c r="K15" s="1343"/>
      <c r="L15" s="1340"/>
      <c r="M15" s="1343"/>
    </row>
    <row r="16" spans="2:14" ht="20.100000000000001" customHeight="1" x14ac:dyDescent="0.2">
      <c r="B16" s="1337" t="s">
        <v>2126</v>
      </c>
      <c r="C16" s="1341">
        <v>84.126000000000005</v>
      </c>
      <c r="D16" s="1342" t="s">
        <v>2127</v>
      </c>
      <c r="E16" s="1343"/>
      <c r="F16" s="1343">
        <v>37673</v>
      </c>
      <c r="G16" s="1343"/>
      <c r="H16" s="1343"/>
      <c r="I16" s="1343">
        <v>37673</v>
      </c>
      <c r="J16" s="1343"/>
      <c r="K16" s="1343"/>
      <c r="L16" s="1340">
        <f t="shared" si="0"/>
        <v>37673</v>
      </c>
      <c r="M16" s="1343" t="s">
        <v>2110</v>
      </c>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956" t="s">
        <v>2128</v>
      </c>
      <c r="C18" s="1341"/>
      <c r="D18" s="1342"/>
      <c r="E18" s="1343"/>
      <c r="F18" s="1958">
        <v>3343851</v>
      </c>
      <c r="G18" s="1343"/>
      <c r="H18" s="1343"/>
      <c r="I18" s="1958">
        <v>3343851</v>
      </c>
      <c r="J18" s="1343"/>
      <c r="K18" s="1343"/>
      <c r="L18" s="1340"/>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956" t="s">
        <v>2129</v>
      </c>
      <c r="C20" s="1341"/>
      <c r="D20" s="1342"/>
      <c r="E20" s="1343"/>
      <c r="F20" s="1343"/>
      <c r="G20" s="1343"/>
      <c r="H20" s="1343"/>
      <c r="I20" s="1343"/>
      <c r="J20" s="1343"/>
      <c r="K20" s="1343"/>
      <c r="L20" s="1340"/>
      <c r="M20" s="1343"/>
    </row>
    <row r="21" spans="2:14" ht="20.100000000000001" customHeight="1" x14ac:dyDescent="0.2">
      <c r="B21" s="1957" t="s">
        <v>2130</v>
      </c>
      <c r="C21" s="1341"/>
      <c r="D21" s="1342"/>
      <c r="E21" s="1343"/>
      <c r="F21" s="1343"/>
      <c r="G21" s="1343"/>
      <c r="H21" s="1343"/>
      <c r="I21" s="1343"/>
      <c r="J21" s="1343"/>
      <c r="K21" s="1343"/>
      <c r="L21" s="1340"/>
      <c r="M21" s="1343"/>
    </row>
    <row r="22" spans="2:14" ht="20.100000000000001" customHeight="1" x14ac:dyDescent="0.2">
      <c r="B22" s="1337" t="s">
        <v>2131</v>
      </c>
      <c r="C22" s="1341">
        <v>93.778000000000006</v>
      </c>
      <c r="D22" s="1342" t="s">
        <v>2132</v>
      </c>
      <c r="E22" s="1343">
        <v>250227</v>
      </c>
      <c r="F22" s="1343"/>
      <c r="G22" s="1343">
        <v>250227</v>
      </c>
      <c r="H22" s="1343"/>
      <c r="I22" s="1343"/>
      <c r="J22" s="1343"/>
      <c r="K22" s="1343"/>
      <c r="L22" s="1340">
        <f t="shared" si="0"/>
        <v>250227</v>
      </c>
      <c r="M22" s="1343" t="s">
        <v>2110</v>
      </c>
    </row>
    <row r="23" spans="2:14" ht="20.100000000000001" customHeight="1" x14ac:dyDescent="0.2">
      <c r="B23" s="1337" t="s">
        <v>2131</v>
      </c>
      <c r="C23" s="1341">
        <v>93.778000000000006</v>
      </c>
      <c r="D23" s="1342" t="s">
        <v>2133</v>
      </c>
      <c r="E23" s="1343"/>
      <c r="F23" s="1959">
        <v>257884</v>
      </c>
      <c r="G23" s="1959"/>
      <c r="H23" s="1959"/>
      <c r="I23" s="1959">
        <v>257884</v>
      </c>
      <c r="J23" s="1959"/>
      <c r="K23" s="1343"/>
      <c r="L23" s="1340">
        <f t="shared" si="0"/>
        <v>257884</v>
      </c>
      <c r="M23" s="1343" t="s">
        <v>2110</v>
      </c>
    </row>
    <row r="24" spans="2:14" ht="20.100000000000001" customHeight="1" x14ac:dyDescent="0.2">
      <c r="B24" s="1337"/>
      <c r="C24" s="1341"/>
      <c r="D24" s="1342"/>
      <c r="E24" s="1343"/>
      <c r="F24" s="1959"/>
      <c r="G24" s="1959"/>
      <c r="H24" s="1959"/>
      <c r="I24" s="1959"/>
      <c r="J24" s="1343"/>
      <c r="K24" s="1343"/>
      <c r="L24" s="1340"/>
      <c r="M24" s="1343"/>
    </row>
    <row r="25" spans="2:14" ht="20.100000000000001" customHeight="1" x14ac:dyDescent="0.2">
      <c r="B25" s="1956" t="s">
        <v>2134</v>
      </c>
      <c r="C25" s="1341"/>
      <c r="D25" s="1342"/>
      <c r="E25" s="1343"/>
      <c r="F25" s="1961">
        <f>SUM(F23:F24)</f>
        <v>257884</v>
      </c>
      <c r="G25" s="1959"/>
      <c r="H25" s="1959"/>
      <c r="I25" s="1961">
        <f>SUM(I23:I24)</f>
        <v>257884</v>
      </c>
      <c r="J25" s="1343"/>
      <c r="K25" s="1343"/>
      <c r="L25" s="1340">
        <f t="shared" si="0"/>
        <v>257884</v>
      </c>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F25:I25 L12:L25"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9" sqref="I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Woodstock CUSD 200</v>
      </c>
      <c r="C1" s="2470"/>
      <c r="D1" s="2470"/>
      <c r="E1" s="2470"/>
      <c r="F1" s="2470"/>
      <c r="G1" s="2470"/>
      <c r="H1" s="2470"/>
      <c r="I1" s="2470"/>
      <c r="J1" s="2470"/>
      <c r="K1" s="2470"/>
      <c r="L1" s="2470"/>
      <c r="M1" s="2470"/>
    </row>
    <row r="2" spans="2:14" ht="15" x14ac:dyDescent="0.2">
      <c r="B2" s="2467">
        <f>'Single Audit Cover'!E7</f>
        <v>44063200026</v>
      </c>
      <c r="C2" s="2467"/>
      <c r="D2" s="2467"/>
      <c r="E2" s="2467"/>
      <c r="F2" s="2467"/>
      <c r="G2" s="2467"/>
      <c r="H2" s="2467"/>
      <c r="I2" s="2467"/>
      <c r="J2" s="2467"/>
      <c r="K2" s="2467"/>
      <c r="L2" s="2467"/>
      <c r="M2" s="2467"/>
      <c r="N2" s="1302"/>
    </row>
    <row r="3" spans="2:14" ht="15" x14ac:dyDescent="0.2">
      <c r="B3" s="2471" t="s">
        <v>1280</v>
      </c>
      <c r="C3" s="2471"/>
      <c r="D3" s="2471"/>
      <c r="E3" s="2471"/>
      <c r="F3" s="2471"/>
      <c r="G3" s="2471"/>
      <c r="H3" s="2471"/>
      <c r="I3" s="2471"/>
      <c r="J3" s="2471"/>
      <c r="K3" s="2471"/>
      <c r="L3" s="2471"/>
      <c r="M3" s="2471"/>
      <c r="N3" s="1302"/>
    </row>
    <row r="4" spans="2:14" ht="15" x14ac:dyDescent="0.2">
      <c r="B4" s="2472" t="str">
        <f>'Single Audit Cover'!A4</f>
        <v>Year Ending June 30, 2018</v>
      </c>
      <c r="C4" s="2472"/>
      <c r="D4" s="2472"/>
      <c r="E4" s="2472"/>
      <c r="F4" s="2472"/>
      <c r="G4" s="2472"/>
      <c r="H4" s="2472"/>
      <c r="I4" s="2472"/>
      <c r="J4" s="2472"/>
      <c r="K4" s="2472"/>
      <c r="L4" s="2472"/>
      <c r="M4" s="2472"/>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6" t="s">
        <v>2135</v>
      </c>
      <c r="C11" s="1338"/>
      <c r="D11" s="1339"/>
      <c r="E11" s="1340"/>
      <c r="F11" s="1340"/>
      <c r="G11" s="1340"/>
      <c r="H11" s="1340"/>
      <c r="I11" s="1340"/>
      <c r="J11" s="1340"/>
      <c r="K11" s="1340"/>
      <c r="L11" s="1340"/>
      <c r="M11" s="1340"/>
    </row>
    <row r="12" spans="2:14" ht="20.100000000000001" customHeight="1" x14ac:dyDescent="0.2">
      <c r="B12" s="1957" t="s">
        <v>2095</v>
      </c>
      <c r="C12" s="1341"/>
      <c r="D12" s="1342"/>
      <c r="E12" s="1343"/>
      <c r="F12" s="1343"/>
      <c r="G12" s="1343"/>
      <c r="H12" s="1343"/>
      <c r="I12" s="1343"/>
      <c r="J12" s="1343"/>
      <c r="K12" s="1343"/>
      <c r="L12" s="1340"/>
      <c r="M12" s="1343"/>
    </row>
    <row r="13" spans="2:14" ht="20.100000000000001" customHeight="1" x14ac:dyDescent="0.2">
      <c r="B13" s="1337" t="s">
        <v>2137</v>
      </c>
      <c r="C13" s="1341">
        <v>10.555</v>
      </c>
      <c r="D13" s="1342" t="s">
        <v>2136</v>
      </c>
      <c r="E13" s="1343">
        <v>825017</v>
      </c>
      <c r="F13" s="1343">
        <v>182749</v>
      </c>
      <c r="G13" s="1343">
        <v>825017</v>
      </c>
      <c r="H13" s="1343"/>
      <c r="I13" s="1343">
        <v>182749</v>
      </c>
      <c r="J13" s="1343"/>
      <c r="K13" s="1343"/>
      <c r="L13" s="1340">
        <f>+G13+I13+K13</f>
        <v>1007766</v>
      </c>
      <c r="M13" s="1343" t="s">
        <v>2110</v>
      </c>
    </row>
    <row r="14" spans="2:14" ht="20.100000000000001" customHeight="1" x14ac:dyDescent="0.2">
      <c r="B14" s="1337" t="s">
        <v>2137</v>
      </c>
      <c r="C14" s="1341">
        <v>10.555</v>
      </c>
      <c r="D14" s="1342" t="s">
        <v>2138</v>
      </c>
      <c r="E14" s="1343"/>
      <c r="F14" s="1343">
        <v>819042</v>
      </c>
      <c r="G14" s="1343"/>
      <c r="H14" s="1343"/>
      <c r="I14" s="1343">
        <v>819042</v>
      </c>
      <c r="J14" s="1343"/>
      <c r="K14" s="1343"/>
      <c r="L14" s="1340">
        <f t="shared" ref="L14:L18" si="0">+G14+I14+K14</f>
        <v>819042</v>
      </c>
      <c r="M14" s="1343" t="s">
        <v>2110</v>
      </c>
    </row>
    <row r="15" spans="2:14" ht="20.100000000000001" customHeight="1" x14ac:dyDescent="0.2">
      <c r="B15" s="1337" t="s">
        <v>2139</v>
      </c>
      <c r="C15" s="1341">
        <v>10.553000000000001</v>
      </c>
      <c r="D15" s="1342" t="s">
        <v>2140</v>
      </c>
      <c r="E15" s="1343">
        <v>143153</v>
      </c>
      <c r="F15" s="1343">
        <v>27749</v>
      </c>
      <c r="G15" s="1343">
        <v>143153</v>
      </c>
      <c r="H15" s="1343"/>
      <c r="I15" s="1343">
        <v>27749</v>
      </c>
      <c r="J15" s="1343"/>
      <c r="K15" s="1343"/>
      <c r="L15" s="1340">
        <f t="shared" si="0"/>
        <v>170902</v>
      </c>
      <c r="M15" s="1343" t="s">
        <v>2110</v>
      </c>
    </row>
    <row r="16" spans="2:14" ht="20.100000000000001" customHeight="1" x14ac:dyDescent="0.2">
      <c r="B16" s="1337" t="s">
        <v>2139</v>
      </c>
      <c r="C16" s="1341">
        <v>10.553000000000001</v>
      </c>
      <c r="D16" s="1342" t="s">
        <v>2141</v>
      </c>
      <c r="E16" s="1343"/>
      <c r="F16" s="1343">
        <v>159747</v>
      </c>
      <c r="G16" s="1343"/>
      <c r="H16" s="1343"/>
      <c r="I16" s="1343">
        <v>159747</v>
      </c>
      <c r="J16" s="1343"/>
      <c r="K16" s="1343"/>
      <c r="L16" s="1340">
        <f t="shared" si="0"/>
        <v>159747</v>
      </c>
      <c r="M16" s="1343" t="s">
        <v>2110</v>
      </c>
    </row>
    <row r="17" spans="2:14" ht="20.100000000000001" customHeight="1" x14ac:dyDescent="0.2">
      <c r="B17" s="1337" t="s">
        <v>2142</v>
      </c>
      <c r="C17" s="1341">
        <v>10.555</v>
      </c>
      <c r="D17" s="1342" t="s">
        <v>2144</v>
      </c>
      <c r="E17" s="1343"/>
      <c r="F17" s="1343">
        <v>89367</v>
      </c>
      <c r="G17" s="1343"/>
      <c r="H17" s="1343"/>
      <c r="I17" s="1343">
        <v>89367</v>
      </c>
      <c r="J17" s="1343"/>
      <c r="K17" s="1343"/>
      <c r="L17" s="1340">
        <f t="shared" si="0"/>
        <v>89367</v>
      </c>
      <c r="M17" s="1343" t="s">
        <v>2110</v>
      </c>
    </row>
    <row r="18" spans="2:14" ht="20.100000000000001" customHeight="1" x14ac:dyDescent="0.2">
      <c r="B18" s="1337" t="s">
        <v>2143</v>
      </c>
      <c r="C18" s="1341">
        <v>10.555</v>
      </c>
      <c r="D18" s="1342" t="s">
        <v>2144</v>
      </c>
      <c r="E18" s="1343"/>
      <c r="F18" s="1343">
        <v>75984</v>
      </c>
      <c r="G18" s="1343"/>
      <c r="H18" s="1343"/>
      <c r="I18" s="1343">
        <v>75984</v>
      </c>
      <c r="J18" s="1343"/>
      <c r="K18" s="1343"/>
      <c r="L18" s="1340">
        <f t="shared" si="0"/>
        <v>75984</v>
      </c>
      <c r="M18" s="1343" t="s">
        <v>2110</v>
      </c>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956" t="s">
        <v>2145</v>
      </c>
      <c r="C20" s="1341"/>
      <c r="D20" s="1342"/>
      <c r="E20" s="1343"/>
      <c r="F20" s="1958">
        <f>SUM(F13:F19)</f>
        <v>1354638</v>
      </c>
      <c r="G20" s="1343"/>
      <c r="H20" s="1343"/>
      <c r="I20" s="1958">
        <f>SUM(I13:I19)</f>
        <v>1354638</v>
      </c>
      <c r="J20" s="1343"/>
      <c r="K20" s="1343"/>
      <c r="L20" s="1340"/>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960" t="s">
        <v>2146</v>
      </c>
      <c r="C22" s="1341"/>
      <c r="D22" s="1342"/>
      <c r="E22" s="1343"/>
      <c r="F22" s="1962">
        <v>4956373</v>
      </c>
      <c r="G22" s="1343"/>
      <c r="H22" s="1343"/>
      <c r="I22" s="1962">
        <v>4956373</v>
      </c>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40&amp;R&amp;8Page 40</oddHeader>
  </headerFooter>
  <ignoredErrors>
    <ignoredError sqref="F20:K20 L13:L18"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2" zoomScale="110" zoomScaleNormal="110" workbookViewId="0">
      <selection activeCell="N48" sqref="N4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Woodstock CUSD 200</v>
      </c>
      <c r="C1" s="2485"/>
      <c r="D1" s="2485"/>
      <c r="E1" s="2485"/>
      <c r="F1" s="2485"/>
      <c r="G1" s="2485"/>
      <c r="H1" s="2485"/>
      <c r="I1" s="2485"/>
      <c r="J1" s="1422"/>
    </row>
    <row r="2" spans="2:10" s="317" customFormat="1" ht="12.75" customHeight="1" x14ac:dyDescent="0.2">
      <c r="B2" s="2486">
        <f>'Single Audit Cover'!E7</f>
        <v>44063200026</v>
      </c>
      <c r="C2" s="2487"/>
      <c r="D2" s="2487"/>
      <c r="E2" s="2487"/>
      <c r="F2" s="2487"/>
      <c r="G2" s="2487"/>
      <c r="H2" s="2487"/>
      <c r="I2" s="2487"/>
      <c r="J2" s="1422"/>
    </row>
    <row r="3" spans="2:10" s="317" customFormat="1" ht="12.75" customHeight="1" x14ac:dyDescent="0.2">
      <c r="B3" s="2488" t="s">
        <v>1346</v>
      </c>
      <c r="C3" s="2489"/>
      <c r="D3" s="2489"/>
      <c r="E3" s="2489"/>
      <c r="F3" s="2489"/>
      <c r="G3" s="2489"/>
      <c r="H3" s="2489"/>
      <c r="I3" s="2489"/>
      <c r="J3" s="1423"/>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8" t="s">
        <v>1345</v>
      </c>
      <c r="C7" s="2489"/>
      <c r="D7" s="2489"/>
      <c r="E7" s="2489"/>
      <c r="F7" s="2489"/>
      <c r="G7" s="2489"/>
      <c r="H7" s="2489"/>
      <c r="I7" s="2489"/>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90" t="s">
        <v>2147</v>
      </c>
      <c r="D11" s="2490"/>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2077</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2077</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2077</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2077</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2077</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91" t="s">
        <v>2148</v>
      </c>
      <c r="E29" s="2491"/>
      <c r="F29" s="2491"/>
      <c r="G29" s="2491"/>
      <c r="H29" s="2491"/>
      <c r="I29" s="2491"/>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2077</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92" t="s">
        <v>1850</v>
      </c>
      <c r="D37" s="2493"/>
      <c r="E37" s="2493"/>
      <c r="F37" s="2494"/>
      <c r="G37" s="2492" t="s">
        <v>1673</v>
      </c>
      <c r="H37" s="2493"/>
      <c r="I37" s="2494"/>
    </row>
    <row r="38" spans="2:9" ht="16.5" customHeight="1" x14ac:dyDescent="0.2">
      <c r="B38" s="1444">
        <v>84.01</v>
      </c>
      <c r="C38" s="2480" t="s">
        <v>2149</v>
      </c>
      <c r="D38" s="2481"/>
      <c r="E38" s="2481"/>
      <c r="F38" s="2482"/>
      <c r="G38" s="2495">
        <v>1016596</v>
      </c>
      <c r="H38" s="2496"/>
      <c r="I38" s="2497"/>
    </row>
    <row r="39" spans="2:9" ht="16.5" customHeight="1" x14ac:dyDescent="0.2">
      <c r="B39" s="1444">
        <v>84.367000000000004</v>
      </c>
      <c r="C39" s="2480" t="s">
        <v>2150</v>
      </c>
      <c r="D39" s="2481"/>
      <c r="E39" s="2481"/>
      <c r="F39" s="2482"/>
      <c r="G39" s="2483">
        <v>230354</v>
      </c>
      <c r="H39" s="2483"/>
      <c r="I39" s="2483"/>
    </row>
    <row r="40" spans="2:9" ht="16.5" customHeight="1" x14ac:dyDescent="0.2">
      <c r="B40" s="1444"/>
      <c r="C40" s="2480"/>
      <c r="D40" s="2481"/>
      <c r="E40" s="2481"/>
      <c r="F40" s="2482"/>
      <c r="G40" s="2483"/>
      <c r="H40" s="2483"/>
      <c r="I40" s="2483"/>
    </row>
    <row r="41" spans="2:9" ht="16.5" customHeight="1" x14ac:dyDescent="0.2">
      <c r="B41" s="1444"/>
      <c r="C41" s="2480"/>
      <c r="D41" s="2481"/>
      <c r="E41" s="2481"/>
      <c r="F41" s="2482"/>
      <c r="G41" s="2483"/>
      <c r="H41" s="2483"/>
      <c r="I41" s="2483"/>
    </row>
    <row r="42" spans="2:9" ht="16.5" customHeight="1" x14ac:dyDescent="0.2">
      <c r="B42" s="1444"/>
      <c r="C42" s="2480"/>
      <c r="D42" s="2481"/>
      <c r="E42" s="2481"/>
      <c r="F42" s="2482"/>
      <c r="G42" s="2483"/>
      <c r="H42" s="2483"/>
      <c r="I42" s="2483"/>
    </row>
    <row r="43" spans="2:9" ht="16.5" customHeight="1" x14ac:dyDescent="0.2">
      <c r="B43" s="1444"/>
      <c r="C43" s="2473" t="s">
        <v>1674</v>
      </c>
      <c r="D43" s="2474"/>
      <c r="E43" s="2474"/>
      <c r="F43" s="2475"/>
      <c r="G43" s="2476">
        <f>SUM(G38:I42)</f>
        <v>1246950</v>
      </c>
      <c r="H43" s="2476"/>
      <c r="I43" s="2476"/>
    </row>
    <row r="44" spans="2:9" ht="12.75" customHeight="1" x14ac:dyDescent="0.2"/>
    <row r="45" spans="2:9" ht="12.75" customHeight="1" x14ac:dyDescent="0.2">
      <c r="B45" s="1435" t="s">
        <v>1948</v>
      </c>
      <c r="D45" s="2477">
        <v>4956373</v>
      </c>
      <c r="E45" s="2478"/>
    </row>
    <row r="46" spans="2:9" ht="5.25" customHeight="1" x14ac:dyDescent="0.2">
      <c r="B46" s="1445"/>
      <c r="D46" s="1446"/>
      <c r="E46" s="1447"/>
    </row>
    <row r="47" spans="2:9" ht="12.75" customHeight="1" x14ac:dyDescent="0.2">
      <c r="B47" s="1300" t="s">
        <v>1675</v>
      </c>
      <c r="C47" s="1300"/>
      <c r="D47" s="1448">
        <f>+G43/D45</f>
        <v>0.25158518134127517</v>
      </c>
      <c r="E47" s="1449"/>
      <c r="F47" s="1450"/>
      <c r="I47" s="1451"/>
    </row>
    <row r="48" spans="2:9" ht="9.9499999999999993" customHeight="1" x14ac:dyDescent="0.2"/>
    <row r="49" spans="1:9" x14ac:dyDescent="0.2">
      <c r="B49" s="1368" t="s">
        <v>1334</v>
      </c>
      <c r="C49" s="1282"/>
      <c r="D49" s="1282"/>
      <c r="E49" s="2479">
        <v>750000</v>
      </c>
      <c r="F49" s="2479"/>
      <c r="G49" s="2479"/>
      <c r="H49" s="322"/>
    </row>
    <row r="51" spans="1:9" ht="13.5" customHeight="1" x14ac:dyDescent="0.2">
      <c r="B51" s="1368" t="s">
        <v>1333</v>
      </c>
      <c r="C51" s="1282"/>
      <c r="E51" s="1438" t="s">
        <v>2077</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Woodstock CUSD 200</v>
      </c>
      <c r="C1" s="2484"/>
      <c r="D1" s="2484"/>
      <c r="E1" s="2484"/>
      <c r="F1" s="2484"/>
      <c r="G1" s="2484"/>
      <c r="H1" s="2484"/>
      <c r="I1" s="2484"/>
      <c r="J1" s="2484"/>
      <c r="K1" s="2484"/>
      <c r="L1" s="1374"/>
      <c r="M1" s="1374"/>
    </row>
    <row r="2" spans="1:13" ht="12" customHeight="1" x14ac:dyDescent="0.2">
      <c r="B2" s="2486">
        <f>'Single Audit Cover'!E7</f>
        <v>44063200026</v>
      </c>
      <c r="C2" s="2486"/>
      <c r="D2" s="2486"/>
      <c r="E2" s="2486"/>
      <c r="F2" s="2486"/>
      <c r="G2" s="2486"/>
      <c r="H2" s="2486"/>
      <c r="I2" s="2486"/>
      <c r="J2" s="2486"/>
      <c r="K2" s="2486"/>
      <c r="L2" s="1375"/>
      <c r="M2" s="1376"/>
    </row>
    <row r="3" spans="1:13" ht="10.35" customHeight="1" x14ac:dyDescent="0.2">
      <c r="B3" s="2500" t="s">
        <v>1346</v>
      </c>
      <c r="C3" s="2500"/>
      <c r="D3" s="2500"/>
      <c r="E3" s="2500"/>
      <c r="F3" s="2500"/>
      <c r="G3" s="2500"/>
      <c r="H3" s="2500"/>
      <c r="I3" s="2500"/>
      <c r="J3" s="2500"/>
      <c r="K3" s="2500"/>
      <c r="L3" s="1377"/>
      <c r="M3" s="1377"/>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1" t="s">
        <v>1362</v>
      </c>
      <c r="C7" s="2501"/>
      <c r="D7" s="2502"/>
      <c r="E7" s="2502"/>
      <c r="F7" s="2502"/>
      <c r="G7" s="2502"/>
      <c r="H7" s="2502"/>
      <c r="I7" s="2502"/>
      <c r="J7" s="2502"/>
      <c r="K7" s="250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t="s">
        <v>2088</v>
      </c>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9"/>
      <c r="C14" s="2499"/>
      <c r="D14" s="2499"/>
      <c r="E14" s="2499"/>
      <c r="F14" s="2499"/>
      <c r="G14" s="2499"/>
      <c r="H14" s="2499"/>
      <c r="I14" s="2499"/>
      <c r="J14" s="2499"/>
      <c r="K14" s="249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9"/>
      <c r="C17" s="2499"/>
      <c r="D17" s="2499"/>
      <c r="E17" s="2499"/>
      <c r="F17" s="2499"/>
      <c r="G17" s="2499"/>
      <c r="H17" s="2499"/>
      <c r="I17" s="2499"/>
      <c r="J17" s="2499"/>
      <c r="K17" s="2499"/>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03"/>
      <c r="C20" s="2503"/>
      <c r="D20" s="2499"/>
      <c r="E20" s="2499"/>
      <c r="F20" s="2499"/>
      <c r="G20" s="2499"/>
      <c r="H20" s="2499"/>
      <c r="I20" s="2499"/>
      <c r="J20" s="2499"/>
      <c r="K20" s="2499"/>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9"/>
      <c r="C23" s="2499"/>
      <c r="D23" s="2499"/>
      <c r="E23" s="2499"/>
      <c r="F23" s="2499"/>
      <c r="G23" s="2499"/>
      <c r="H23" s="2499"/>
      <c r="I23" s="2499"/>
      <c r="J23" s="2499"/>
      <c r="K23" s="2499"/>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9"/>
      <c r="C26" s="2499"/>
      <c r="D26" s="2499"/>
      <c r="E26" s="2499"/>
      <c r="F26" s="2499"/>
      <c r="G26" s="2499"/>
      <c r="H26" s="2499"/>
      <c r="I26" s="2499"/>
      <c r="J26" s="2499"/>
      <c r="K26" s="2499"/>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8"/>
      <c r="C29" s="2498"/>
      <c r="D29" s="2499"/>
      <c r="E29" s="2499"/>
      <c r="F29" s="2499"/>
      <c r="G29" s="2499"/>
      <c r="H29" s="2499"/>
      <c r="I29" s="2499"/>
      <c r="J29" s="2499"/>
      <c r="K29" s="249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8"/>
      <c r="C32" s="2498"/>
      <c r="D32" s="2499"/>
      <c r="E32" s="2499"/>
      <c r="F32" s="2499"/>
      <c r="G32" s="2499"/>
      <c r="H32" s="2499"/>
      <c r="I32" s="2499"/>
      <c r="J32" s="2499"/>
      <c r="K32" s="249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Woodstock CUSD 200</v>
      </c>
      <c r="C1" s="2507"/>
      <c r="D1" s="2507"/>
      <c r="E1" s="2507"/>
      <c r="F1" s="2507"/>
      <c r="G1" s="2507"/>
      <c r="H1" s="2507"/>
      <c r="I1" s="2507"/>
      <c r="J1" s="2507"/>
      <c r="K1" s="2507"/>
      <c r="L1" s="1465"/>
    </row>
    <row r="2" spans="1:12" ht="12.75" customHeight="1" x14ac:dyDescent="0.2">
      <c r="B2" s="2508">
        <f>'Single Audit Cover'!E7</f>
        <v>44063200026</v>
      </c>
      <c r="C2" s="2508"/>
      <c r="D2" s="2508"/>
      <c r="E2" s="2508"/>
      <c r="F2" s="2508"/>
      <c r="G2" s="2508"/>
      <c r="H2" s="2508"/>
      <c r="I2" s="2508"/>
      <c r="J2" s="2508"/>
      <c r="K2" s="2508"/>
      <c r="L2" s="1466"/>
    </row>
    <row r="3" spans="1:12" ht="12.75" customHeight="1" x14ac:dyDescent="0.2">
      <c r="B3" s="2500" t="s">
        <v>1346</v>
      </c>
      <c r="C3" s="2500"/>
      <c r="D3" s="2500"/>
      <c r="E3" s="2500"/>
      <c r="F3" s="2500"/>
      <c r="G3" s="2500"/>
      <c r="H3" s="2500"/>
      <c r="I3" s="2500"/>
      <c r="J3" s="2500"/>
      <c r="K3" s="2500"/>
      <c r="L3" s="1377"/>
    </row>
    <row r="4" spans="1:12" ht="12.75" customHeight="1" x14ac:dyDescent="0.2">
      <c r="B4" s="2500" t="str">
        <f>'Single Audit Cover'!A4</f>
        <v>Year Ending June 30, 2018</v>
      </c>
      <c r="C4" s="2500"/>
      <c r="D4" s="2500"/>
      <c r="E4" s="2500"/>
      <c r="F4" s="2500"/>
      <c r="G4" s="2500"/>
      <c r="H4" s="2500"/>
      <c r="I4" s="2500"/>
      <c r="J4" s="2500"/>
      <c r="K4" s="2500"/>
      <c r="L4" s="1377"/>
    </row>
    <row r="5" spans="1:12" ht="5.25" customHeight="1" x14ac:dyDescent="0.2">
      <c r="B5" s="1260" t="s">
        <v>1230</v>
      </c>
      <c r="C5" s="1260"/>
      <c r="L5" s="322"/>
    </row>
    <row r="6" spans="1:12" ht="30.75" customHeight="1" x14ac:dyDescent="0.2">
      <c r="A6" s="322"/>
      <c r="B6" s="2509" t="s">
        <v>1374</v>
      </c>
      <c r="C6" s="2509"/>
      <c r="D6" s="2509"/>
      <c r="E6" s="2509"/>
      <c r="F6" s="2509"/>
      <c r="G6" s="2509"/>
      <c r="H6" s="2509"/>
      <c r="I6" s="2509"/>
      <c r="J6" s="2509"/>
      <c r="K6" s="2509"/>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t="s">
        <v>2088</v>
      </c>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91"/>
      <c r="G12" s="2491"/>
      <c r="H12" s="2491"/>
      <c r="I12" s="2491"/>
      <c r="J12" s="2491"/>
      <c r="K12" s="249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4"/>
      <c r="E14" s="2504"/>
      <c r="F14" s="2504"/>
      <c r="H14" s="1475" t="s">
        <v>1369</v>
      </c>
      <c r="I14" s="2505"/>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5"/>
      <c r="E16" s="2505"/>
      <c r="F16" s="2505"/>
      <c r="G16" s="2505"/>
      <c r="H16" s="2505"/>
      <c r="I16" s="2505"/>
      <c r="J16" s="2505"/>
      <c r="K16" s="2505"/>
      <c r="L16" s="322"/>
    </row>
    <row r="17" spans="2:12" ht="13.5" customHeight="1" x14ac:dyDescent="0.2">
      <c r="B17" s="1387" t="s">
        <v>1367</v>
      </c>
      <c r="C17" s="1387"/>
      <c r="D17" s="2506"/>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9"/>
      <c r="C20" s="2499"/>
      <c r="D20" s="2499"/>
      <c r="E20" s="2499"/>
      <c r="F20" s="2499"/>
      <c r="G20" s="2499"/>
      <c r="H20" s="2499"/>
      <c r="I20" s="2499"/>
      <c r="J20" s="2499"/>
      <c r="K20" s="249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10" sqref="B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4" t="str">
        <f>'Single Audit Cover'!A7</f>
        <v>Woodstock CUSD 200</v>
      </c>
      <c r="C1" s="2484"/>
      <c r="D1" s="2484"/>
      <c r="E1" s="1491"/>
    </row>
    <row r="2" spans="2:5" s="1282" customFormat="1" ht="12.75" customHeight="1" x14ac:dyDescent="0.2">
      <c r="B2" s="2486">
        <f>'Single Audit Cover'!E7</f>
        <v>44063200026</v>
      </c>
      <c r="C2" s="2486"/>
      <c r="D2" s="2486"/>
      <c r="E2" s="1492"/>
    </row>
    <row r="3" spans="2:5" ht="12.75" customHeight="1" x14ac:dyDescent="0.2">
      <c r="B3" s="2500" t="s">
        <v>1865</v>
      </c>
      <c r="C3" s="2500"/>
      <c r="D3" s="2500"/>
      <c r="E3" s="1274"/>
    </row>
    <row r="4" spans="2:5" s="1282" customFormat="1" ht="12.75" customHeight="1" x14ac:dyDescent="0.2">
      <c r="B4" s="2510" t="str">
        <f>'Single Audit Cover'!A4</f>
        <v>Year Ending June 30, 2018</v>
      </c>
      <c r="C4" s="2510"/>
      <c r="D4" s="2510"/>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c r="C8" s="324"/>
      <c r="D8" s="324"/>
      <c r="E8" s="324"/>
    </row>
    <row r="9" spans="2:5" ht="13.5" customHeight="1" x14ac:dyDescent="0.2">
      <c r="B9" s="1497" t="s">
        <v>2088</v>
      </c>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http://schemas.microsoft.com/office/infopath/2007/PartnerControls"/>
    <ds:schemaRef ds:uri="http://schemas.openxmlformats.org/package/2006/metadata/core-properties"/>
    <ds:schemaRef ds:uri="http://purl.org/dc/elements/1.1/"/>
    <ds:schemaRef ds:uri="d21dc803-237d-4c68-8692-8d731fd29118"/>
    <ds:schemaRef ds:uri="http://schemas.microsoft.com/office/2006/documentManagement/types"/>
    <ds:schemaRef ds:uri="http://purl.org/dc/dcmitype/"/>
    <ds:schemaRef ds:uri="http://schemas.microsoft.com/office/2006/metadata/properties"/>
    <ds:schemaRef ds:uri="http://purl.org/dc/terms/"/>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2018-12-05T17:13:08Z</cp:lastPrinted>
  <dcterms:created xsi:type="dcterms:W3CDTF">2003-10-29T19:06:34Z</dcterms:created>
  <dcterms:modified xsi:type="dcterms:W3CDTF">2018-12-14T18:53:36Z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vt:lpwstr>
  </property>
  <property fmtid="{D5CDD505-2E9C-101B-9397-08002B2CF9AE}" pid="3" name="ContentTypeId">
    <vt:lpwstr>0x010100552988822C20F24E83D1DD5E4C131AA0</vt:lpwstr>
  </property>
  <property fmtid="{D5CDD505-2E9C-101B-9397-08002B2CF9AE}" pid="4" name="Refresh">
    <vt:bool>true</vt:bool>
  </property>
  <property fmtid="{D5CDD505-2E9C-101B-9397-08002B2CF9AE}" pid="5" name="Refresh97">
    <vt:bool>false</vt:bool>
  </property>
  <property fmtid="{D5CDD505-2E9C-101B-9397-08002B2CF9AE}" pid="6" name="tabName">
    <vt:lpwstr>Other deliverables</vt:lpwstr>
  </property>
  <property fmtid="{D5CDD505-2E9C-101B-9397-08002B2CF9AE}" pid="7" name="tabIndex">
    <vt:lpwstr>140</vt:lpwstr>
  </property>
  <property fmtid="{D5CDD505-2E9C-101B-9397-08002B2CF9AE}" pid="8" name="workpaperIndex">
    <vt:lpwstr>
    </vt:lpwstr>
  </property>
</Properties>
</file>