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79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(2)'!$B$1:$M$46</definedName>
    <definedName name="_xlnm.Print_Area" localSheetId="30">' SEFA (3)'!$B$1:$M$46</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1" i="169" l="1"/>
  <c r="F17" i="183" l="1"/>
  <c r="I16" i="184"/>
  <c r="F16" i="184"/>
  <c r="E16" i="184"/>
  <c r="I22" i="179"/>
  <c r="G22" i="179"/>
  <c r="E22" i="179"/>
  <c r="G27" i="183"/>
  <c r="E27" i="183"/>
  <c r="F15" i="183"/>
  <c r="F14" i="183"/>
  <c r="I16" i="183"/>
  <c r="I27" i="183" s="1"/>
  <c r="F16" i="183"/>
  <c r="F13" i="183"/>
  <c r="F12" i="183"/>
  <c r="F15" i="179"/>
  <c r="F13" i="179"/>
  <c r="F22" i="179" l="1"/>
  <c r="F27" i="183"/>
  <c r="G18" i="184"/>
  <c r="E18" i="184"/>
  <c r="I18" i="184"/>
  <c r="L27" i="184"/>
  <c r="L26" i="184"/>
  <c r="L25" i="184"/>
  <c r="L24" i="184"/>
  <c r="L23" i="184"/>
  <c r="L22" i="184"/>
  <c r="L21" i="184"/>
  <c r="L20" i="184"/>
  <c r="L19" i="184"/>
  <c r="L17" i="184"/>
  <c r="L15" i="184"/>
  <c r="L14" i="184"/>
  <c r="L13" i="184"/>
  <c r="L12" i="184"/>
  <c r="L11" i="184"/>
  <c r="B4" i="184"/>
  <c r="L27" i="183"/>
  <c r="L26" i="183"/>
  <c r="L25" i="183"/>
  <c r="L24" i="183"/>
  <c r="L23" i="183"/>
  <c r="L22" i="183"/>
  <c r="L21" i="183"/>
  <c r="L19" i="183"/>
  <c r="L18" i="183"/>
  <c r="L17" i="183"/>
  <c r="L16" i="183"/>
  <c r="L15" i="183"/>
  <c r="L14" i="183"/>
  <c r="L13" i="183"/>
  <c r="L12" i="183"/>
  <c r="L11" i="183"/>
  <c r="B4" i="183"/>
  <c r="F18" i="184" l="1"/>
  <c r="D35" i="171" s="1"/>
  <c r="L16" i="184"/>
  <c r="L18" i="184"/>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6" i="179"/>
  <c r="L15" i="179"/>
  <c r="L14" i="179"/>
  <c r="L13" i="179"/>
  <c r="L12" i="179"/>
  <c r="L11" i="179"/>
  <c r="D14" i="171" l="1"/>
  <c r="A10" i="169"/>
  <c r="A15" i="169"/>
  <c r="A14" i="169"/>
  <c r="K18" i="169"/>
  <c r="G18" i="169"/>
  <c r="G15" i="169"/>
  <c r="I13"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84"/>
  <c r="B1" i="184"/>
  <c r="A2" i="170"/>
  <c r="B2" i="174"/>
  <c r="B2" i="177"/>
  <c r="A2" i="173"/>
  <c r="A1" i="171"/>
  <c r="B1" i="179"/>
  <c r="B2" i="176"/>
  <c r="B1" i="175"/>
  <c r="B1" i="177"/>
  <c r="A1" i="170"/>
  <c r="A2" i="171"/>
  <c r="A1" i="173"/>
  <c r="B1" i="174"/>
  <c r="B2" i="175"/>
  <c r="B1" i="176"/>
  <c r="D17" i="171" l="1"/>
  <c r="D12" i="171"/>
  <c r="B7773" i="106"/>
  <c r="B61" i="106" l="1"/>
  <c r="B52" i="106"/>
  <c r="L357" i="29" l="1"/>
  <c r="D285" i="29"/>
  <c r="H137" i="29"/>
  <c r="L137" i="29"/>
  <c r="L285" i="29"/>
  <c r="K356" i="29"/>
  <c r="K357" i="29" s="1"/>
  <c r="K15" i="4" s="1"/>
  <c r="H357" i="29"/>
  <c r="E137" i="29"/>
  <c r="E139" i="29" s="1"/>
  <c r="B51" i="106"/>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D7762" i="106" s="1"/>
  <c r="K12" i="12"/>
  <c r="B7719" i="106" s="1"/>
  <c r="D7719" i="106" s="1"/>
  <c r="K23" i="12"/>
  <c r="J12" i="12"/>
  <c r="B7718" i="106" s="1"/>
  <c r="D7718" i="106" s="1"/>
  <c r="J21" i="12"/>
  <c r="B7727" i="106" s="1"/>
  <c r="D7727" i="106" s="1"/>
  <c r="B7729" i="106"/>
  <c r="D7729" i="106" s="1"/>
  <c r="B7734" i="106"/>
  <c r="D7734" i="106" s="1"/>
  <c r="B7726" i="106"/>
  <c r="D7726" i="106" s="1"/>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B5304" i="106" s="1"/>
  <c r="D5304" i="106" s="1"/>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E33" i="108" s="1"/>
  <c r="K64" i="29"/>
  <c r="D31" i="108" s="1"/>
  <c r="K59" i="29"/>
  <c r="B1126" i="106" s="1"/>
  <c r="D1126" i="106"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D6103" i="106" l="1"/>
  <c r="G33" i="108"/>
  <c r="F31" i="108"/>
  <c r="B2027" i="106"/>
  <c r="D2027" i="106" s="1"/>
  <c r="B274" i="106"/>
  <c r="D274" i="106" s="1"/>
  <c r="B2026" i="106"/>
  <c r="D2026" i="106" s="1"/>
  <c r="B2029" i="106"/>
  <c r="D2029" i="106" s="1"/>
  <c r="B276" i="106"/>
  <c r="D276" i="106" s="1"/>
  <c r="B2028" i="106"/>
  <c r="D2028" i="106" s="1"/>
  <c r="B275" i="106"/>
  <c r="D275" i="106" s="1"/>
  <c r="B2805" i="106"/>
  <c r="D2805" i="106" s="1"/>
  <c r="J23" i="12"/>
  <c r="J24" i="12" s="1"/>
  <c r="L5" i="11"/>
  <c r="B2056" i="106" s="1"/>
  <c r="D2056" i="106" s="1"/>
  <c r="F69" i="34"/>
  <c r="F45" i="34"/>
  <c r="G35" i="108"/>
  <c r="F64" i="34"/>
  <c r="F49" i="34"/>
  <c r="D36" i="108"/>
  <c r="D69" i="36"/>
  <c r="F41" i="34"/>
  <c r="G30" i="108"/>
  <c r="E35" i="108"/>
  <c r="E30" i="108"/>
  <c r="B7047" i="106"/>
  <c r="D7047" i="106" s="1"/>
  <c r="D26" i="108"/>
  <c r="G14" i="4"/>
  <c r="B2609" i="106" s="1"/>
  <c r="D2609" i="106" s="1"/>
  <c r="E15" i="145"/>
  <c r="G15" i="145" s="1"/>
  <c r="F26" i="108"/>
  <c r="B6995" i="106"/>
  <c r="D6995" i="106" s="1"/>
  <c r="B2836" i="106"/>
  <c r="D2836" i="106" s="1"/>
  <c r="L13" i="11"/>
  <c r="B2060" i="106" s="1"/>
  <c r="D2060" i="106" s="1"/>
  <c r="L22" i="37"/>
  <c r="D5" i="4"/>
  <c r="B3406" i="106" s="1"/>
  <c r="D3406" i="106" s="1"/>
  <c r="B1746" i="106"/>
  <c r="D1746" i="106" s="1"/>
  <c r="F27" i="108"/>
  <c r="H342" i="29"/>
  <c r="B7221" i="106" s="1"/>
  <c r="D7221" i="106" s="1"/>
  <c r="F72" i="34"/>
  <c r="F38" i="34"/>
  <c r="B7076" i="106"/>
  <c r="D7076"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F66" i="34"/>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D7252" i="106" l="1"/>
  <c r="D7253" i="106"/>
  <c r="G6" i="4"/>
  <c r="B2604" i="106" s="1"/>
  <c r="D2604" i="106" s="1"/>
  <c r="M23" i="3"/>
  <c r="B273" i="106"/>
  <c r="D273" i="106" s="1"/>
  <c r="B7730" i="106"/>
  <c r="D7730" i="106" s="1"/>
  <c r="B1328" i="106"/>
  <c r="D1328" i="106" s="1"/>
  <c r="B1266" i="106"/>
  <c r="D1266" i="106" s="1"/>
  <c r="D41" i="108"/>
  <c r="E43" i="108" s="1"/>
  <c r="B5770" i="106"/>
  <c r="D5770" i="106" s="1"/>
  <c r="F41" i="108"/>
  <c r="G43" i="108" s="1"/>
  <c r="H77" i="4"/>
  <c r="B3299" i="106" s="1"/>
  <c r="D3299" i="106" s="1"/>
  <c r="C4" i="4"/>
  <c r="B2551" i="106" s="1"/>
  <c r="D2551" i="106" s="1"/>
  <c r="B7235" i="106"/>
  <c r="D7235"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75" i="5" l="1"/>
  <c r="B5508" i="106" s="1"/>
  <c r="D5508" i="106" s="1"/>
  <c r="B279" i="106"/>
  <c r="D279" i="106" s="1"/>
  <c r="B7224" i="106"/>
  <c r="D7224" i="106" s="1"/>
  <c r="B7243" i="106"/>
  <c r="D7243" i="106" s="1"/>
  <c r="F24" i="37"/>
  <c r="J17" i="4"/>
  <c r="J19" i="4" s="1"/>
  <c r="B6229" i="106" s="1"/>
  <c r="D6229"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80" i="106" l="1"/>
  <c r="D280" i="106" s="1"/>
  <c r="M41" i="3"/>
  <c r="B6227" i="106"/>
  <c r="D6227" i="106" s="1"/>
  <c r="J20" i="4"/>
  <c r="B6230" i="106" s="1"/>
  <c r="D6230" i="106" s="1"/>
  <c r="F8" i="4"/>
  <c r="D8" i="146" s="1"/>
  <c r="D8" i="4"/>
  <c r="B2568" i="106" s="1"/>
  <c r="D2568" i="10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281" i="106"/>
  <c r="D281" i="106" s="1"/>
  <c r="J78" i="4"/>
  <c r="J81" i="4" s="1"/>
  <c r="D10" i="4"/>
  <c r="B4123" i="106" s="1"/>
  <c r="D4123" i="106" s="1"/>
  <c r="D20" i="4"/>
  <c r="D78" i="4" s="1"/>
  <c r="F10" i="4"/>
  <c r="B4125" i="106" s="1"/>
  <c r="D4125" i="106" s="1"/>
  <c r="C8" i="146"/>
  <c r="H13" i="118"/>
  <c r="B2595" i="106"/>
  <c r="D2595" i="106" s="1"/>
  <c r="K19" i="4"/>
  <c r="B4144" i="106" s="1"/>
  <c r="D4144" i="106" s="1"/>
  <c r="K20" i="4"/>
  <c r="B3576" i="106" s="1"/>
  <c r="D3576"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9" i="34" l="1"/>
  <c r="F79" i="34"/>
  <c r="B6263" i="106"/>
  <c r="D6263" i="106" s="1"/>
  <c r="B2574" i="106"/>
  <c r="D2574" i="106" s="1"/>
  <c r="K78" i="4"/>
  <c r="B3588" i="106" s="1"/>
  <c r="D3588" i="106" s="1"/>
  <c r="J41" i="3"/>
  <c r="B6215" i="106"/>
  <c r="D6215" i="106" s="1"/>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K81" i="4"/>
  <c r="B3567" i="106" s="1"/>
  <c r="D3567" i="106" s="1"/>
  <c r="D51" i="36"/>
  <c r="B6216" i="106"/>
  <c r="D6216" i="106" s="1"/>
  <c r="B123" i="106"/>
  <c r="D123" i="106" s="1"/>
  <c r="D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J83" i="4"/>
  <c r="B6283" i="106" s="1"/>
  <c r="D6283" i="106" s="1"/>
  <c r="B6274" i="106"/>
  <c r="D6274" i="106" s="1"/>
  <c r="D82" i="4"/>
  <c r="B1644" i="106"/>
  <c r="D1644" i="106" s="1"/>
  <c r="D58" i="36"/>
  <c r="C11" i="146"/>
  <c r="K82" i="4" l="1"/>
  <c r="K83" i="4" s="1"/>
  <c r="B6284" i="106" s="1"/>
  <c r="D6284" i="106" s="1"/>
  <c r="D65" i="36"/>
  <c r="B3591" i="106"/>
  <c r="D3591" i="106" s="1"/>
  <c r="K41" i="3"/>
  <c r="D52" i="36" s="1"/>
  <c r="B189" i="106"/>
  <c r="D189" i="106" s="1"/>
  <c r="G41" i="3"/>
  <c r="N21" i="3"/>
  <c r="B140" i="106"/>
  <c r="D140" i="106" s="1"/>
  <c r="E41" i="3"/>
  <c r="B170" i="106"/>
  <c r="D170" i="106" s="1"/>
  <c r="F41" i="3"/>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6275" i="106" l="1"/>
  <c r="D6275" i="106" s="1"/>
  <c r="B3568" i="106"/>
  <c r="D3568" i="106" s="1"/>
  <c r="B171" i="106"/>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<sst xmlns="http://schemas.openxmlformats.org/spreadsheetml/2006/main" count="5345" uniqueCount="2203">
  <si>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</si>
  <si>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</si>
  <si>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</si>
  <si>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</si>
  <si>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</si>
  <si>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</si>
  <si>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</si>
  <si>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</si>
  <si>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</si>
  <si>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</si>
  <si>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</si>
  <si>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</si>
  <si>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</si>
  <si>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</si>
  <si>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</si>
  <si>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</si>
  <si>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</si>
  <si>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</si>
  <si>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</si>
  <si>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</si>
  <si>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</si>
  <si>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</si>
  <si>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</si>
  <si>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</si>
  <si>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</si>
  <si>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</si>
  <si>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</si>
  <si>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</si>
  <si>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</si>
  <si>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</si>
  <si>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</si>
  <si>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</si>
  <si>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</si>
  <si>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</si>
  <si>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</si>
  <si>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</si>
  <si>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</si>
  <si>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</si>
  <si>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</si>
  <si>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</si>
  <si>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</si>
  <si>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</si>
  <si>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</si>
  <si>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</si>
  <si>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</si>
  <si>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</si>
  <si>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</si>
  <si>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</si>
  <si>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</si>
  <si>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</si>
  <si>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</si>
  <si>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</si>
  <si>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</si>
  <si>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</si>
  <si>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</si>
  <si>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</si>
  <si>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</si>
  <si>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</si>
  <si>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</si>
  <si>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</si>
  <si>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</si>
  <si>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</si>
  <si>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</si>
  <si>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</si>
  <si>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</si>
  <si>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</si>
  <si>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</si>
  <si>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</si>
  <si>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</si>
  <si>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</si>
  <si>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</si>
  <si>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</si>
  <si>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</si>
  <si>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</si>
  <si>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</si>
  <si>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</si>
  <si>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</si>
  <si>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</si>
  <si>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</si>
  <si>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</si>
  <si>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</si>
  <si>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</si>
  <si>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</si>
  <si>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</si>
  <si>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</si>
  <si>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</si>
  <si>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</si>
  <si>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</si>
  <si>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</si>
  <si>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</si>
  <si>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</si>
  <si>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</si>
  <si>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</si>
  <si>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</si>
  <si>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</si>
  <si>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</si>
  <si>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</si>
  <si>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</si>
  <si>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</si>
  <si>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</si>
  <si>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</si>
  <si>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</si>
  <si>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</si>
  <si>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</si>
  <si>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</si>
  <si>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</si>
  <si>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</si>
  <si>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</si>
  <si>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</si>
  <si>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</si>
  <si>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</si>
  <si>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</si>
  <si>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</si>
  <si>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</si>
  <si>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</si>
  <si>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</si>
  <si>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</si>
  <si>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</si>
  <si>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</si>
  <si>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</si>
  <si>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</si>
  <si>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</si>
  <si>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</si>
  <si>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</si>
  <si>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</si>
  <si>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</si>
  <si>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</si>
  <si>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</si>
  <si>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</si>
  <si>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</si>
  <si>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</si>
  <si>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</si>
  <si>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</si>
  <si>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</si>
  <si>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</si>
  <si>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</si>
  <si>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</si>
  <si>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</si>
  <si>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</si>
  <si>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</si>
  <si>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</si>
  <si>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</si>
  <si>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</si>
  <si>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</si>
  <si>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</si>
  <si>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</si>
  <si>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</si>
  <si>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</si>
  <si>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</si>
  <si>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</si>
  <si>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</si>
  <si>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</si>
  <si>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</si>
  <si>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</si>
  <si>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</si>
  <si>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</si>
  <si>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</si>
  <si>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</si>
  <si>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</si>
  <si>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</si>
  <si>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</si>
  <si>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</si>
  <si>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</si>
  <si>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</si>
  <si>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</si>
  <si>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</si>
  <si>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</si>
  <si>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</si>
  <si>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</si>
  <si>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</si>
  <si>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</si>
  <si>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</si>
  <si>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</si>
  <si>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</si>
  <si>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</si>
  <si>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</si>
  <si>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</si>
  <si>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</si>
  <si>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</si>
  <si>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</si>
  <si>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</si>
  <si>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</si>
  <si>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</si>
  <si>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</si>
  <si>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</si>
  <si>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</si>
  <si>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</si>
  <si>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</si>
  <si>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</si>
  <si>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</si>
  <si>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</si>
  <si>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</si>
  <si>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</si>
  <si>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</si>
  <si>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</si>
  <si>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</si>
  <si>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</si>
  <si>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</si>
  <si>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</si>
  <si>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</si>
  <si>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</si>
  <si>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</si>
  <si>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</si>
  <si>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</si>
  <si>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</si>
  <si>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</si>
  <si>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</si>
  <si>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</si>
  <si>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</si>
  <si>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</si>
  <si>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</si>
  <si>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</si>
  <si>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</si>
  <si>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</si>
  <si>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</si>
  <si>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</si>
  <si>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</si>
  <si>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</si>
  <si>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</si>
  <si>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</si>
  <si>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</si>
  <si>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</si>
  <si>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</si>
  <si>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</si>
  <si>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</si>
  <si>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</si>
  <si>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</si>
  <si>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</si>
  <si>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</si>
  <si>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</si>
  <si>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</si>
  <si>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</si>
  <si>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</si>
  <si>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</si>
  <si>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</si>
  <si>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</si>
  <si>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</si>
  <si>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</si>
  <si>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</si>
  <si>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</si>
  <si>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</si>
  <si>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</si>
  <si>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</si>
  <si>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</si>
  <si>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</si>
  <si>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</si>
  <si>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</si>
  <si>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</si>
  <si>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</si>
  <si>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</si>
  <si>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</si>
  <si>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</si>
  <si>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</si>
  <si>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</si>
  <si>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</si>
  <si>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</si>
  <si>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</si>
  <si>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</si>
  <si>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</si>
  <si>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</si>
  <si>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</si>
  <si>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</si>
  <si>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</si>
  <si>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</si>
  <si>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</si>
  <si>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</si>
  <si>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</si>
  <si>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</si>
  <si>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</si>
  <si>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</si>
  <si>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</si>
  <si>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</si>
  <si>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</si>
  <si>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</si>
  <si>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</si>
  <si>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</si>
  <si>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</si>
  <si>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</si>
  <si>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</si>
  <si>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</si>
  <si>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</si>
  <si>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</si>
  <si>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</si>
  <si>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</si>
  <si>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</si>
  <si>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</si>
  <si>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</si>
  <si>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</si>
  <si>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</si>
  <si>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</si>
  <si>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</si>
  <si>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</si>
  <si>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</si>
  <si>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</si>
  <si>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</si>
  <si>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</si>
  <si>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</si>
  <si>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</si>
  <si>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</si>
  <si>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</si>
  <si>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</si>
  <si>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</si>
  <si>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</si>
  <si>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</si>
  <si>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</si>
  <si>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</si>
  <si>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</si>
  <si>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</si>
  <si>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</si>
  <si>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</si>
  <si>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</si>
  <si>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</si>
  <si>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</si>
  <si>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</si>
  <si>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</si>
  <si>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</si>
  <si>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</si>
  <si>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</si>
  <si>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</si>
  <si>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</si>
  <si>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</si>
  <si>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</si>
  <si>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</si>
  <si>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</si>
  <si>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</si>
  <si>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</si>
  <si>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</si>
  <si>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</si>
  <si>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</si>
  <si>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</si>
  <si>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</si>
  <si>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</si>
  <si>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</si>
  <si>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</si>
  <si>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</si>
  <si>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</si>
  <si>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</si>
  <si>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</si>
  <si>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</si>
  <si>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</si>
  <si>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</si>
  <si>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</si>
  <si>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</si>
  <si>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</si>
  <si>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</si>
  <si>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</si>
  <si>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</si>
  <si>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</si>
  <si>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</si>
  <si>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</si>
  <si>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</si>
  <si>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</si>
  <si>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</si>
  <si>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</si>
  <si>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</si>
  <si>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</si>
  <si>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</si>
  <si>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</si>
  <si>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</si>
  <si>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</si>
  <si>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</si>
  <si>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</si>
  <si>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</si>
  <si>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</si>
  <si>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</si>
  <si>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</si>
  <si>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</si>
  <si>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</si>
  <si>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</si>
  <si>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</si>
  <si>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</si>
  <si>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</si>
  <si>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</si>
  <si>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</si>
  <si>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</si>
  <si>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</si>
  <si>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</si>
  <si>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</si>
  <si>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</si>
  <si>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</si>
  <si>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</si>
  <si>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</si>
  <si>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</si>
  <si>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</si>
  <si>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</si>
  <si>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</si>
  <si>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</si>
  <si>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</si>
  <si>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</si>
  <si>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</si>
  <si>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</si>
  <si>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</si>
  <si>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</si>
  <si>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</si>
  <si>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</si>
  <si>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</si>
  <si>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</si>
  <si>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</si>
  <si>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</si>
  <si>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</si>
  <si>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</si>
  <si>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</si>
  <si>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</si>
  <si>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</si>
  <si>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</si>
  <si>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</si>
  <si>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</si>
  <si>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</si>
  <si>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</si>
  <si>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</si>
  <si>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</si>
  <si>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</si>
  <si>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</si>
  <si>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</si>
  <si>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</si>
  <si>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</si>
  <si>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</si>
  <si>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</si>
  <si>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</si>
  <si>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</si>
  <si>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</si>
  <si>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</si>
  <si>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</si>
  <si>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</si>
  <si>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</si>
  <si>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</si>
  <si>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</si>
  <si>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</si>
  <si>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</si>
  <si>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</si>
  <si>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</si>
  <si>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</si>
  <si>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</si>
  <si>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</si>
  <si>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</si>
  <si>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</si>
  <si>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</si>
  <si>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</si>
  <si>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</si>
  <si>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</si>
  <si>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</si>
  <si>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</si>
  <si>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</si>
  <si>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</si>
  <si>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</si>
  <si>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</si>
  <si>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</si>
  <si>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</si>
  <si>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</si>
  <si>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</si>
  <si>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</si>
  <si>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</si>
  <si>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</si>
  <si>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</si>
  <si>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</si>
  <si>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</si>
  <si>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</si>
  <si>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</si>
  <si>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</si>
  <si>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</si>
  <si>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</si>
  <si>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</si>
  <si>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</si>
  <si>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</si>
  <si>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</si>
  <si>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</si>
  <si>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</si>
  <si>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</si>
  <si>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</si>
  <si>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</si>
  <si>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</si>
  <si>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</si>
  <si>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</si>
  <si>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</si>
  <si>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</si>
  <si>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</si>
  <si>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</si>
  <si>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</si>
  <si>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</si>
  <si>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</si>
  <si>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</si>
  <si>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</si>
  <si>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</si>
  <si>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</si>
  <si>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</si>
  <si>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</si>
  <si>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</si>
  <si>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</si>
  <si>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</si>
  <si>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</si>
  <si>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</si>
  <si>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</si>
  <si>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</si>
  <si>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</si>
  <si>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</si>
  <si>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</si>
  <si>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</si>
  <si>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</si>
  <si>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</si>
  <si>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</si>
  <si>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</si>
  <si>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</si>
  <si>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</si>
  <si>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</si>
  <si>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</si>
  <si>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</si>
  <si>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</si>
  <si>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</si>
  <si>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</si>
  <si>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</si>
  <si>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</si>
  <si>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</si>
  <si>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</si>
  <si>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</si>
  <si>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</si>
  <si>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</si>
  <si>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</si>
  <si>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</si>
  <si>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</si>
  <si>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</si>
  <si>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</si>
  <si>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</si>
  <si>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</si>
  <si>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</si>
  <si>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</si>
  <si>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</si>
  <si>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</si>
  <si>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</si>
  <si>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</si>
  <si>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</si>
  <si>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</si>
  <si>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</si>
  <si>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</si>
  <si>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</si>
  <si>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</si>
  <si>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</si>
  <si>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</si>
  <si>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</si>
  <si>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</si>
  <si>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</si>
  <si>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</si>
  <si>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</si>
  <si>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</si>
  <si>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</si>
  <si>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</si>
  <si>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</si>
  <si>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</si>
  <si>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</si>
  <si>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</si>
  <si>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</si>
  <si>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</si>
  <si>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</si>
  <si>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</si>
  <si>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</si>
  <si>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</si>
  <si>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</si>
  <si>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</si>
  <si>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</si>
  <si>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</si>
  <si>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</si>
  <si>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</si>
  <si>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</si>
  <si>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</si>
  <si>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</si>
  <si>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</si>
  <si>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</si>
  <si>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</si>
  <si>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</si>
  <si>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</si>
  <si>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</si>
  <si>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</si>
  <si>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</si>
  <si>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</si>
  <si>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</si>
  <si>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</si>
  <si>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</si>
  <si>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</si>
  <si>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</si>
  <si>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</si>
  <si>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</si>
  <si>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</si>
  <si>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</si>
  <si>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</si>
  <si>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</si>
  <si>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</si>
  <si>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</si>
  <si>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</si>
  <si>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</si>
  <si>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</si>
  <si>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</si>
  <si>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</si>
  <si>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</si>
  <si>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</si>
  <si>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</si>
  <si>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</si>
  <si>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</si>
  <si>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</si>
  <si>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</si>
  <si>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</si>
  <si>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</si>
  <si>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</si>
  <si>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</si>
  <si>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</si>
  <si>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</si>
  <si>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</si>
  <si>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</si>
  <si>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</si>
  <si>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</si>
  <si>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</si>
  <si>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</si>
  <si>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</si>
  <si>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</si>
  <si>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</si>
  <si>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</si>
  <si>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</si>
  <si>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</si>
  <si>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</si>
  <si>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</si>
  <si>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</si>
  <si>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</si>
  <si>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</si>
  <si>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</si>
  <si>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</si>
  <si>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</si>
  <si>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</si>
  <si>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</si>
  <si>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</si>
  <si>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</si>
  <si>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</si>
  <si>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</si>
  <si>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</si>
  <si>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</si>
  <si>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</si>
  <si>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</si>
  <si>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</si>
  <si>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</si>
  <si>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</si>
  <si>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</si>
  <si>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</si>
  <si>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</si>
  <si>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</si>
  <si>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</si>
  <si>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</si>
  <si>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</si>
  <si>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</si>
  <si>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</si>
  <si>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</si>
  <si>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</si>
  <si>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</si>
  <si>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</si>
  <si>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</si>
  <si>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</si>
  <si>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</si>
  <si>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</si>
  <si>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</si>
  <si>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</si>
  <si>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</si>
  <si>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</si>
  <si>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</si>
  <si>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</si>
  <si>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</si>
  <si>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</si>
  <si>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</si>
  <si>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</si>
  <si>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</si>
  <si>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</si>
  <si>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</si>
  <si>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</si>
  <si>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</si>
  <si>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</si>
  <si>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</si>
  <si>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</si>
  <si>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</si>
  <si>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</si>
  <si>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</si>
  <si>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</si>
  <si>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</si>
  <si>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</si>
  <si>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</si>
  <si>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</si>
  <si>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</si>
  <si>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</si>
  <si>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</si>
  <si>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</si>
  <si>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</si>
  <si>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</si>
  <si>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</si>
  <si>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</si>
  <si>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</si>
  <si>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</si>
  <si>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</si>
  <si>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</si>
  <si>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</si>
  <si>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</si>
  <si>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</si>
  <si>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</si>
  <si>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</si>
  <si>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</si>
  <si>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</si>
  <si>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</si>
  <si>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</si>
  <si>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</si>
  <si>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</si>
  <si>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</si>
  <si>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</si>
  <si>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</si>
  <si>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</si>
  <si>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</si>
  <si>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</si>
  <si>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</si>
  <si>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</si>
  <si>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</si>
  <si>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</si>
  <si>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</si>
  <si>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</si>
  <si>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</si>
  <si>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</si>
  <si>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</si>
  <si>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</si>
  <si>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</si>
  <si>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</si>
  <si>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</si>
  <si>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</si>
  <si>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</si>
  <si>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</si>
  <si>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</si>
  <si>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</si>
  <si>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</si>
  <si>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</si>
  <si>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</si>
  <si>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</si>
  <si>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</si>
  <si>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</si>
  <si>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</si>
  <si>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</si>
  <si>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</si>
  <si>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</si>
  <si>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</si>
  <si>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</si>
  <si>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</si>
  <si>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</si>
  <si>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</si>
  <si>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</si>
  <si>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</si>
  <si>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</si>
  <si>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</si>
  <si>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</si>
  <si>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</si>
  <si>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</si>
  <si>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</si>
  <si>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</si>
  <si>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</si>
  <si>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</si>
  <si>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</si>
  <si>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</si>
  <si>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</si>
  <si>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</si>
  <si>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</si>
  <si>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</si>
  <si>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</si>
  <si>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</si>
  <si>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</si>
  <si>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</si>
  <si>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</si>
  <si>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</si>
  <si>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</si>
  <si>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</si>
  <si>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</si>
  <si>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</si>
  <si>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</si>
  <si>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</si>
  <si>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</si>
  <si>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</si>
  <si>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</si>
  <si>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</si>
  <si>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</si>
  <si>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</si>
  <si>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</si>
  <si>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</si>
  <si>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</si>
  <si>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</si>
  <si>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</si>
  <si>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</si>
  <si>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</si>
  <si>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</si>
  <si>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</si>
  <si>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</si>
  <si>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</si>
  <si>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</si>
  <si>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</si>
  <si>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</si>
  <si>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</si>
  <si>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</si>
  <si>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</si>
  <si>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</si>
  <si>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</si>
  <si>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</si>
  <si>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</si>
  <si>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</si>
  <si>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</si>
  <si>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</si>
  <si>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</si>
  <si>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</si>
  <si>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</si>
  <si>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</si>
  <si>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</si>
  <si>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</si>
  <si>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</si>
  <si>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</si>
  <si>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</si>
  <si>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</si>
  <si>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</si>
  <si>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</si>
  <si>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</si>
  <si>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</si>
  <si>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</si>
  <si>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</si>
  <si>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</si>
  <si>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</si>
  <si>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</si>
  <si>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</si>
  <si>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</si>
  <si>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</si>
  <si>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</si>
  <si>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</si>
  <si>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</si>
  <si>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</si>
  <si>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</si>
  <si>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</si>
  <si>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</si>
  <si>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</si>
  <si>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</si>
  <si>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</si>
  <si>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</si>
  <si>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</si>
  <si>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</si>
  <si>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</si>
  <si>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</si>
  <si>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</si>
  <si>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</si>
  <si>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</si>
  <si>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</si>
  <si>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</si>
  <si>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</si>
  <si>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</si>
  <si>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</si>
  <si>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</si>
  <si>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</si>
  <si>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</si>
  <si>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</si>
  <si>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</si>
  <si>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</si>
  <si>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</si>
  <si>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</si>
  <si>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</si>
  <si>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</si>
  <si>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</si>
  <si>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</si>
  <si>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</si>
  <si>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</si>
  <si>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</si>
  <si>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</si>
  <si>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</si>
  <si>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</si>
  <si>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</si>
  <si>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</si>
  <si>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</si>
  <si>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</si>
  <si>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</si>
  <si>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</si>
  <si>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</si>
  <si>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</si>
  <si>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</si>
  <si>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</si>
  <si>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</si>
  <si>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</si>
  <si>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</si>
  <si>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</si>
  <si>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</si>
  <si>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</si>
  <si>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</si>
  <si>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</si>
  <si>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</si>
  <si>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</si>
  <si>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</si>
  <si>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</si>
  <si>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</si>
  <si>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</si>
  <si>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</si>
  <si>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</si>
  <si>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</si>
  <si>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</si>
  <si>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</si>
  <si>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</si>
  <si>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</si>
  <si>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</si>
  <si>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</si>
  <si>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</si>
  <si>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</si>
  <si>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</si>
  <si>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</si>
  <si>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</si>
  <si>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</si>
  <si>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</si>
  <si>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</si>
  <si>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</si>
  <si>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</si>
  <si>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</si>
  <si>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</si>
  <si>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</si>
  <si>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</si>
  <si>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</si>
  <si>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</si>
  <si>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</si>
  <si>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</si>
  <si>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</si>
  <si>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</si>
  <si>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</si>
  <si>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</si>
  <si>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</si>
  <si>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</si>
  <si>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</si>
  <si>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</si>
  <si>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</si>
  <si>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</si>
  <si>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</si>
  <si>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</si>
  <si>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</si>
  <si>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</si>
  <si>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</si>
  <si>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</si>
  <si>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</si>
  <si>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</si>
  <si>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</si>
  <si>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</si>
  <si>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</si>
  <si>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</si>
  <si>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</si>
  <si>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</si>
  <si>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</si>
  <si>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</si>
  <si>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</si>
  <si>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</si>
  <si>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</si>
  <si>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</si>
  <si>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</si>
  <si>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</si>
  <si>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</si>
  <si>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</si>
  <si>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</si>
  <si>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</si>
  <si>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</si>
  <si>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</si>
  <si>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</si>
  <si>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</si>
  <si>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</si>
  <si>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</si>
  <si>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</si>
  <si>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</si>
  <si>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</si>
  <si>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</si>
  <si>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</si>
  <si>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</si>
  <si>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</si>
  <si>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</si>
  <si>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</si>
  <si>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</si>
  <si>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</si>
  <si>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</si>
  <si>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</si>
  <si>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</si>
  <si>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</si>
  <si>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</si>
  <si>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</si>
  <si>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</si>
  <si>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</si>
  <si>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</si>
  <si>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</si>
  <si>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</si>
  <si>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</si>
  <si>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</si>
  <si>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</si>
  <si>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</si>
  <si>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</si>
  <si>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</si>
  <si>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</si>
  <si>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</si>
  <si>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</si>
  <si>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</si>
  <si>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</si>
  <si>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</si>
  <si>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</si>
  <si>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</si>
  <si>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</si>
  <si>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</si>
  <si>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</si>
  <si>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</si>
  <si>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</si>
  <si>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</si>
  <si>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</si>
  <si>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</si>
  <si>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</si>
  <si>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</si>
  <si>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</si>
  <si>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</si>
  <si>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</si>
  <si>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</si>
  <si>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</si>
  <si>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</si>
  <si>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</si>
  <si>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</si>
  <si>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</si>
  <si>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</si>
  <si>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</si>
  <si>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</si>
  <si>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</si>
  <si>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</si>
  <si>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</si>
  <si>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</si>
  <si>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</si>
  <si>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</si>
  <si>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</si>
  <si>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</si>
  <si>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</si>
  <si>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</si>
  <si>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</si>
  <si>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</si>
  <si>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</si>
  <si>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</si>
  <si>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</si>
  <si>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</si>
  <si>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</si>
  <si>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</si>
  <si>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</si>
  <si>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</si>
  <si>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</si>
  <si>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</si>
  <si>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</si>
  <si>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</si>
  <si>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</si>
  <si>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</si>
  <si>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</si>
  <si>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</si>
  <si>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</si>
  <si>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</si>
  <si>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</si>
  <si>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</si>
  <si>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</si>
  <si>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</si>
  <si>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</si>
  <si>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</si>
  <si>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</si>
  <si>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</si>
  <si>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</si>
  <si>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</si>
  <si>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</si>
  <si>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</si>
  <si>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</si>
  <si>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</si>
  <si>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</si>
  <si>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</si>
  <si>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</si>
  <si>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</si>
  <si>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</si>
  <si>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</si>
  <si>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</si>
  <si>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</si>
  <si>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</si>
  <si>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</si>
  <si>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</si>
  <si>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</si>
  <si>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</si>
  <si>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</si>
  <si>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</si>
  <si>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</si>
  <si>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</si>
  <si>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</si>
  <si>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</si>
  <si>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</si>
  <si>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</si>
  <si>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</si>
  <si>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</si>
  <si>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</si>
  <si>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</si>
  <si>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</si>
  <si>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</si>
  <si>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</si>
  <si>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</si>
  <si>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</si>
  <si>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</si>
  <si>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</si>
  <si>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</si>
  <si>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</si>
  <si>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</si>
  <si>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</si>
  <si>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</si>
  <si>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</si>
  <si>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</si>
  <si>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</si>
  <si>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</si>
  <si>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</si>
  <si>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</si>
  <si>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</si>
  <si>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</si>
  <si>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</si>
  <si>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</si>
  <si>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</si>
  <si>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</si>
  <si>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</si>
  <si>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</si>
  <si>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</si>
  <si>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</si>
  <si>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</si>
  <si>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</si>
  <si>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</si>
  <si>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</si>
  <si>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</si>
  <si>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</si>
  <si>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</si>
  <si>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</si>
  <si>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</si>
  <si>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</si>
  <si>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</si>
  <si>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</si>
  <si>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</si>
  <si>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</si>
  <si>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</si>
  <si>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</si>
  <si>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</si>
  <si>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</si>
  <si>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</si>
  <si>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</si>
  <si>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</si>
  <si>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</si>
  <si>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</si>
  <si>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</si>
  <si>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</si>
  <si>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</si>
  <si>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</si>
  <si>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</si>
  <si>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</si>
  <si>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</si>
  <si>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</si>
  <si>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</si>
  <si>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</si>
  <si>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</si>
  <si>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</si>
  <si>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</si>
  <si>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</si>
  <si>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</si>
  <si>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</si>
  <si>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</si>
  <si>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</si>
  <si>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</si>
  <si>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</si>
  <si>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</si>
  <si>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</si>
  <si>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</si>
  <si>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</si>
  <si>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</si>
  <si>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</si>
  <si>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</si>
  <si>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</si>
  <si>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</si>
  <si>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</si>
  <si>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</si>
  <si>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</si>
  <si>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</si>
  <si>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</si>
  <si>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</si>
  <si>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</si>
  <si>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</si>
  <si>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</si>
  <si>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</si>
  <si>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</si>
  <si>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</si>
  <si>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</si>
  <si>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</si>
  <si>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</si>
  <si>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</si>
  <si>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</si>
  <si>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</si>
  <si>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</si>
  <si>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</si>
  <si>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</si>
  <si>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</si>
  <si>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</si>
  <si>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</si>
  <si>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</si>
  <si>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</si>
  <si>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</si>
  <si>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</si>
  <si>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</si>
  <si>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</si>
  <si>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</si>
  <si>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</si>
  <si>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</si>
  <si>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</si>
  <si>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</si>
  <si>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</si>
  <si>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</si>
  <si>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</si>
  <si>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</si>
  <si>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</si>
  <si>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</si>
  <si>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</si>
  <si>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</si>
  <si>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</si>
  <si>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</si>
  <si>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</si>
  <si>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</si>
  <si>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</si>
  <si>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</si>
  <si>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</si>
  <si>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</si>
  <si>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</si>
  <si>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</si>
  <si>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</si>
  <si>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</si>
  <si>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</si>
  <si>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</si>
  <si>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</si>
  <si>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</si>
  <si>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</si>
  <si>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</si>
  <si>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</si>
  <si>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</si>
  <si>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</si>
  <si>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</si>
  <si>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</si>
  <si>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</si>
  <si>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</si>
  <si>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</si>
  <si>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</si>
  <si>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</si>
  <si>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</si>
  <si>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</si>
  <si>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</si>
  <si>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</si>
  <si>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</si>
  <si>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</si>
  <si>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</si>
  <si>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</si>
  <si>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</si>
  <si>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</si>
  <si>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</si>
  <si>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</si>
  <si>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</si>
  <si>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</si>
  <si>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</si>
  <si>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</si>
  <si>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</si>
  <si>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</si>
  <si>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</si>
  <si>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</si>
  <si>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</si>
  <si>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</si>
  <si>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</si>
  <si>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</si>
  <si>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</si>
  <si>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</si>
  <si>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</si>
  <si>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</si>
  <si>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</si>
  <si>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</si>
  <si>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</si>
  <si>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</si>
  <si>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</si>
  <si>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</si>
  <si>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</si>
  <si>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</si>
  <si>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</si>
  <si>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</si>
  <si>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</si>
  <si>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</si>
  <si>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</si>
  <si>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</si>
  <si>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</si>
  <si>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</si>
  <si>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</si>
  <si>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</si>
  <si>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</si>
  <si>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</si>
  <si>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</si>
  <si>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</si>
  <si>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</si>
  <si>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</si>
  <si>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</si>
  <si>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</si>
  <si>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</si>
  <si>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</si>
  <si>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</si>
  <si>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</si>
  <si>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</si>
  <si>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</si>
  <si>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</si>
  <si>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</si>
  <si>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</si>
  <si>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</si>
  <si>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</si>
  <si>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</si>
  <si>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</si>
  <si>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</si>
  <si>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</si>
  <si>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</si>
  <si>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</si>
  <si>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</si>
  <si>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</si>
  <si>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</si>
  <si>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</si>
  <si>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</si>
  <si>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</si>
  <si>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</si>
  <si>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</si>
  <si>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</si>
  <si>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</si>
  <si>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</si>
  <si>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</si>
  <si>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</si>
  <si>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</si>
  <si>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</si>
  <si>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</si>
  <si>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</si>
  <si>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</si>
  <si>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</si>
  <si>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</si>
  <si>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</si>
  <si>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</si>
  <si>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</si>
  <si>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</si>
  <si>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</si>
  <si>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</si>
  <si>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</si>
  <si>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</si>
  <si>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</si>
  <si>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</si>
  <si>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</si>
  <si>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</si>
  <si>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</si>
  <si>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</si>
  <si>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</si>
  <si>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</si>
  <si>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</si>
  <si>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</si>
  <si>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</si>
  <si>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</si>
  <si>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</si>
  <si>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</si>
  <si>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</si>
  <si>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</si>
  <si>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</si>
  <si>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</si>
  <si>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</si>
  <si>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</si>
  <si>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</si>
  <si>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</si>
  <si>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</si>
  <si>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</si>
  <si>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</si>
  <si>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</si>
  <si>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</si>
  <si>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</si>
  <si>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</si>
  <si>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</si>
  <si>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</si>
  <si>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</si>
  <si>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</si>
  <si>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</si>
  <si>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</si>
  <si>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</si>
  <si>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</si>
  <si>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</si>
  <si>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</si>
  <si>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</si>
  <si>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</si>
  <si>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</si>
  <si>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</si>
  <si>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</si>
  <si>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</si>
  <si>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</si>
  <si>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</si>
  <si>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</si>
  <si>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</si>
  <si>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</si>
  <si>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</si>
  <si>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</si>
  <si>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</si>
  <si>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</si>
  <si>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</si>
  <si>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</si>
  <si>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</si>
  <si>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</si>
  <si>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</si>
  <si>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</si>
  <si>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</si>
  <si>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</si>
  <si>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</si>
  <si>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</si>
  <si>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</si>
  <si>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</si>
  <si>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</si>
  <si>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</si>
  <si>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</si>
  <si>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</si>
  <si>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</si>
  <si>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</si>
  <si>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</si>
  <si>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</si>
  <si>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</si>
  <si>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</si>
  <si>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</si>
  <si>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</si>
  <si>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</si>
  <si>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</si>
  <si>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</si>
  <si>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</si>
  <si>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</si>
  <si>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</si>
  <si>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</si>
  <si>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</si>
  <si>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</si>
  <si>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</si>
  <si>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</si>
  <si>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</si>
  <si>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</si>
  <si>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</si>
  <si>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</si>
  <si>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</si>
  <si>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</si>
  <si>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</si>
  <si>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</si>
  <si>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</si>
  <si>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</si>
  <si>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</si>
  <si>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</si>
  <si>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</si>
  <si>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</si>
  <si>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</si>
  <si>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</si>
  <si>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</si>
  <si>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</si>
  <si>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</si>
  <si>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</si>
  <si>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</si>
  <si>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</si>
  <si>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</si>
  <si>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</si>
  <si>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</si>
  <si>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</si>
  <si>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</si>
  <si>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</si>
  <si>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</si>
  <si>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</si>
  <si>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</si>
  <si>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</si>
  <si>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</si>
  <si>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</si>
  <si>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</si>
  <si>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</si>
  <si>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</si>
  <si>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</si>
  <si>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</si>
  <si>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</si>
  <si>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</si>
  <si>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</si>
  <si>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</si>
  <si>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</si>
  <si>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</si>
  <si>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</si>
  <si>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</si>
  <si>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</si>
  <si>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</si>
  <si>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</si>
  <si>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</si>
  <si>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</si>
  <si>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</si>
  <si>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</si>
  <si>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</si>
  <si>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</si>
  <si>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</si>
  <si>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</si>
  <si>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</si>
  <si>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</si>
  <si>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</si>
  <si>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</si>
  <si>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</si>
  <si>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</si>
  <si>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</si>
  <si>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</si>
  <si>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</si>
  <si>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</si>
  <si>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</si>
  <si>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</si>
  <si>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</si>
  <si>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</si>
  <si>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</si>
  <si>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</si>
  <si>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</si>
  <si>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</si>
  <si>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</si>
  <si>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</si>
  <si>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</si>
  <si>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</si>
  <si>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</si>
  <si>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</si>
  <si>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</si>
  <si>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</si>
  <si>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</si>
  <si>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</si>
  <si>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</si>
  <si>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</si>
  <si>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</si>
  <si>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</si>
  <si>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</si>
  <si>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</si>
  <si>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</si>
  <si>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</si>
  <si>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</si>
  <si>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</si>
  <si>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</si>
  <si>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</si>
  <si>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</si>
  <si>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</si>
  <si>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</si>
  <si>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</si>
  <si>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</si>
  <si>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</si>
  <si>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</si>
  <si>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</si>
  <si>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</si>
  <si>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</si>
  <si>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</si>
  <si>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</si>
  <si>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</si>
  <si>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</si>
  <si>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</si>
  <si>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</si>
  <si>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</si>
  <si>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</si>
  <si>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</si>
  <si>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</si>
  <si>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</si>
  <si>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</si>
  <si>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</si>
  <si>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</si>
  <si>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</si>
  <si>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</si>
  <si>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</si>
  <si>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</si>
  <si>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</si>
  <si>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</si>
  <si>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</si>
  <si>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</si>
  <si>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</si>
  <si>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</si>
  <si>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</si>
  <si>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</si>
  <si>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</si>
  <si>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</si>
  <si>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</si>
  <si>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</si>
  <si>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</si>
  <si>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</si>
  <si>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</si>
  <si>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</si>
  <si>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</si>
  <si>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</si>
  <si>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</si>
  <si>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</si>
  <si>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</si>
  <si>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</si>
  <si>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</si>
  <si>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</si>
  <si>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</si>
  <si>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</si>
  <si>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</si>
  <si>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</si>
  <si>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</si>
  <si>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</si>
  <si>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</si>
  <si>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</si>
  <si>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</si>
  <si>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</si>
  <si>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</si>
  <si>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</si>
  <si>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</si>
  <si>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</si>
  <si>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</si>
  <si>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</si>
  <si>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</si>
  <si>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</si>
  <si>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</si>
  <si>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</si>
  <si>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</si>
  <si>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</si>
  <si>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</si>
  <si>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</si>
  <si>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</si>
  <si>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</si>
  <si>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</si>
  <si>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</si>
  <si>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</si>
  <si>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</si>
  <si>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</si>
  <si>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</si>
  <si>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</si>
  <si>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</si>
  <si>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</si>
  <si>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</si>
  <si>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</si>
  <si>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</si>
  <si>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</si>
  <si>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</si>
  <si>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</si>
  <si>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</si>
  <si>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</si>
  <si>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</si>
  <si>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</si>
  <si>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</si>
  <si>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</si>
  <si>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</si>
  <si>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</si>
  <si>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</si>
  <si>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</si>
  <si>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</si>
  <si>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</si>
  <si>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</si>
  <si>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</si>
  <si>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</si>
  <si>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</si>
  <si>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</si>
  <si>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</si>
  <si>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</si>
  <si>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</si>
  <si>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</si>
  <si>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</si>
  <si>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</si>
  <si>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</si>
  <si>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</si>
  <si>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</si>
  <si>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</si>
  <si>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</si>
  <si>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</si>
  <si>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</si>
  <si>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</si>
  <si>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</si>
  <si>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</si>
  <si>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</si>
  <si>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</si>
  <si>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</si>
  <si>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</si>
  <si>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</si>
  <si>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</si>
  <si>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</si>
  <si>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</si>
  <si>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</si>
  <si>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</si>
  <si>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</si>
  <si>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</si>
  <si>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</si>
  <si>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</si>
  <si>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</si>
  <si>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</si>
  <si>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</si>
  <si>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</si>
  <si>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</si>
  <si>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</si>
  <si>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</si>
  <si>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</si>
  <si>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</si>
  <si>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</si>
  <si>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</si>
  <si>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</si>
  <si>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</si>
  <si>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</si>
  <si>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</si>
  <si>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</si>
  <si>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</si>
  <si>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</si>
  <si>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</si>
  <si>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</si>
  <si>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</si>
  <si>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</si>
  <si>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</si>
  <si>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</si>
  <si>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</si>
  <si>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</si>
  <si>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</si>
  <si>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</si>
  <si>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</si>
  <si>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</si>
  <si>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</si>
  <si>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</si>
  <si>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</si>
  <si>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</si>
  <si>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</si>
  <si>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</si>
  <si>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</si>
  <si>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</si>
  <si>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</si>
  <si>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</si>
  <si>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</si>
  <si>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</si>
  <si>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</si>
  <si>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</si>
  <si>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</si>
  <si>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</si>
  <si>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</si>
  <si>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</si>
  <si>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</si>
  <si>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</si>
  <si>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</si>
  <si>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</si>
  <si>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</si>
  <si>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</si>
  <si>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</si>
  <si>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</si>
  <si>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</si>
  <si>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</si>
  <si>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</si>
  <si>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</si>
  <si>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</si>
  <si>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</si>
  <si>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</si>
  <si>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</si>
  <si>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</si>
  <si>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</si>
  <si>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</si>
  <si>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</si>
  <si>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</si>
  <si>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</si>
  <si>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</si>
  <si>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</si>
  <si>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</si>
  <si>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</si>
  <si>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</si>
  <si>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</si>
  <si>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</si>
  <si>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</si>
  <si>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</si>
  <si>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</si>
  <si>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</si>
  <si>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</si>
  <si>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</si>
  <si>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</si>
  <si>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</si>
  <si>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</si>
  <si>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</si>
  <si>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</si>
  <si>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</si>
  <si>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</si>
  <si>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</si>
  <si>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</si>
  <si>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</si>
  <si>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</si>
  <si>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</si>
  <si>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</si>
  <si>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</si>
  <si>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</si>
  <si>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</si>
  <si>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</si>
  <si>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</si>
  <si>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</si>
  <si>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</si>
  <si>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</si>
  <si>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</si>
  <si>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</si>
  <si>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</si>
  <si>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</si>
  <si>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</si>
  <si>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</si>
  <si>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</si>
  <si>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</si>
  <si>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</si>
  <si>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</si>
  <si>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</si>
  <si>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</si>
  <si>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</si>
  <si>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</si>
  <si>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</si>
  <si>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</si>
  <si>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</si>
  <si>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</si>
  <si>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</si>
  <si>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</si>
  <si>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</si>
  <si>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</si>
  <si>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</si>
  <si>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</si>
  <si>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</si>
  <si>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</si>
  <si>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</si>
  <si>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</si>
  <si>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</si>
  <si>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</si>
  <si>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</si>
  <si>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</si>
  <si>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</si>
  <si>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</si>
  <si>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</si>
  <si>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</si>
  <si>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</si>
  <si>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</si>
  <si>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</si>
  <si>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</si>
  <si>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</si>
  <si>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</si>
  <si>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</si>
  <si>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</si>
  <si>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</si>
  <si>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</si>
  <si>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</si>
  <si>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</si>
  <si>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</si>
  <si>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</si>
  <si>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</si>
  <si>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</si>
  <si>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</si>
  <si>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</si>
  <si>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</si>
  <si>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</si>
  <si>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</si>
  <si>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</si>
  <si>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</si>
  <si>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</si>
  <si>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</si>
  <si>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</si>
  <si>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</si>
  <si>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</si>
  <si>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</si>
  <si>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</si>
  <si>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</si>
  <si>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</si>
  <si>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</si>
  <si>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</si>
  <si>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</si>
  <si>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</si>
  <si>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</si>
  <si>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</si>
  <si>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</si>
  <si>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</si>
  <si>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</si>
  <si>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</si>
  <si>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</si>
  <si>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</si>
  <si>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</si>
  <si>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</si>
  <si>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</si>
  <si>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</si>
  <si>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</si>
  <si>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</si>
  <si>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</si>
  <si>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</si>
  <si>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</si>
  <si>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</si>
  <si>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</si>
  <si>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</si>
  <si>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</si>
  <si>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</si>
  <si>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</si>
  <si>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</si>
  <si>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</si>
  <si>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</si>
  <si>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</si>
  <si>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</si>
  <si>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</si>
  <si>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</si>
  <si>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</si>
  <si>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</si>
  <si>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</si>
  <si>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</si>
  <si>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</si>
  <si>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</si>
  <si>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</si>
  <si>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</si>
  <si>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</si>
  <si>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</si>
  <si>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</si>
  <si>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</si>
  <si>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</si>
  <si>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</si>
  <si>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</si>
  <si>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</si>
  <si>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</si>
  <si>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</si>
  <si>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</si>
  <si>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</si>
  <si>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</si>
  <si>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</si>
  <si>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</si>
  <si>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</si>
  <si>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</si>
  <si>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</si>
  <si>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</si>
  <si>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</si>
  <si>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</si>
  <si>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</si>
  <si>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</si>
  <si>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</si>
  <si>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</si>
  <si>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</si>
  <si>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</si>
  <si>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</si>
  <si>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</si>
  <si>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</si>
  <si>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</si>
  <si>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</si>
  <si>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</si>
  <si>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</si>
  <si>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</si>
  <si>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</si>
  <si>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</si>
  <si>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</si>
  <si>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</si>
  <si>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</si>
  <si>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</si>
  <si>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</si>
  <si>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</si>
  <si>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</si>
  <si>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</si>
  <si>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</si>
  <si>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</si>
  <si>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</si>
  <si>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</si>
  <si>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</si>
  <si>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</si>
  <si>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</si>
  <si>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</si>
  <si>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</si>
  <si>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</si>
  <si>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</si>
  <si>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</si>
  <si>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</si>
  <si>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</si>
  <si>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</si>
  <si>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</si>
  <si>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</si>
  <si>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</si>
  <si>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</si>
  <si>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</si>
  <si>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</si>
  <si>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</si>
  <si>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</si>
  <si>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</si>
  <si>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</si>
  <si>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</si>
  <si>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</si>
  <si>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</si>
  <si>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</si>
  <si>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</si>
  <si>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</si>
  <si>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</si>
  <si>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</si>
  <si>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</si>
  <si>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</si>
  <si>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</si>
  <si>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</si>
  <si>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</si>
  <si>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</si>
  <si>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</si>
  <si>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</si>
  <si>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</si>
  <si>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</si>
  <si>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</si>
  <si>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</si>
  <si>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</si>
  <si>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</si>
  <si>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</si>
  <si>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</si>
  <si>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</si>
  <si>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</si>
  <si>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</si>
  <si>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</si>
  <si>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</si>
  <si>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</si>
  <si>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</si>
  <si>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</si>
  <si>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</si>
  <si>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</si>
  <si>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</si>
  <si>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</si>
  <si>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</si>
  <si>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</si>
  <si>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</si>
  <si>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</si>
  <si>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</si>
  <si>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</si>
  <si>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</si>
  <si>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</si>
  <si>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</si>
  <si>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</si>
  <si>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</si>
  <si>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</si>
  <si>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</si>
  <si>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</si>
  <si>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</si>
  <si>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</si>
  <si>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</si>
  <si>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</si>
  <si>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</si>
  <si>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</si>
  <si>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</si>
  <si>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</si>
  <si>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</si>
  <si>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</si>
  <si>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</si>
  <si>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</si>
  <si>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</si>
  <si>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</si>
  <si>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</si>
  <si>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</si>
  <si>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</si>
  <si>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</si>
  <si>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</si>
  <si>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</si>
  <si>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</si>
  <si>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</si>
  <si>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</si>
  <si>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</si>
  <si>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</si>
  <si>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</si>
  <si>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</si>
  <si>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</si>
  <si>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</si>
  <si>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</si>
  <si>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</si>
  <si>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</si>
  <si>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</si>
  <si>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</si>
  <si>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</si>
  <si>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</si>
  <si>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</si>
  <si>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</si>
  <si>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</si>
  <si>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</si>
  <si>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</si>
  <si>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</si>
  <si>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</si>
  <si>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</si>
  <si>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</si>
  <si>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</si>
  <si>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</si>
  <si>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</si>
  <si>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</si>
  <si>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</si>
  <si>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</si>
  <si>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</si>
  <si>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</si>
  <si>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</si>
  <si>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</si>
  <si>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</si>
  <si>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</si>
  <si>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</si>
  <si>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</si>
  <si>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</si>
  <si>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</si>
  <si>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</si>
  <si>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</si>
  <si>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</si>
  <si>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</si>
  <si>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</si>
  <si>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</si>
  <si>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</si>
  <si>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</si>
  <si>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</si>
  <si>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</si>
  <si>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</si>
  <si>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</si>
  <si>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</si>
  <si>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</si>
  <si>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</si>
  <si>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</si>
  <si>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</si>
  <si>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</si>
  <si>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Agriculture /Department of Defense passed through</t>
  </si>
  <si>
    <t xml:space="preserve">   Illinois State Board of Education</t>
  </si>
  <si>
    <t>Total CFDA "10"</t>
  </si>
  <si>
    <t>18-4299-00</t>
  </si>
  <si>
    <t>17-4210-00</t>
  </si>
  <si>
    <t>18-4210-00</t>
  </si>
  <si>
    <t>17-4220-00</t>
  </si>
  <si>
    <t>18-4220-00</t>
  </si>
  <si>
    <t xml:space="preserve">    Title I - Low Income (M)</t>
  </si>
  <si>
    <t xml:space="preserve">     Title II - Teacher Quality</t>
  </si>
  <si>
    <t xml:space="preserve">    Title II - Teacher Quality</t>
  </si>
  <si>
    <t xml:space="preserve">    Title III - Lang Inst Prog - Ltd Eng LIPLEP **</t>
  </si>
  <si>
    <t xml:space="preserve">    Title III - Lang Inst Prog - Ltd Eng LIPLEP ***</t>
  </si>
  <si>
    <t>Total CFDA "84"</t>
  </si>
  <si>
    <t>18-4600-00</t>
  </si>
  <si>
    <t>18-4620-00</t>
  </si>
  <si>
    <t>18-4300-00</t>
  </si>
  <si>
    <t>17-4300-00</t>
  </si>
  <si>
    <t>17-4932-00</t>
  </si>
  <si>
    <t>18-4932-00</t>
  </si>
  <si>
    <t>17-4909-00</t>
  </si>
  <si>
    <t>18-4909-00</t>
  </si>
  <si>
    <t>U.S. Department of Health and Human Services</t>
  </si>
  <si>
    <t>passed through Illinois Department of Healthcare &amp; Family Services</t>
  </si>
  <si>
    <t>Medicaid Matching Funds - Admin Outreach</t>
  </si>
  <si>
    <t>Total CFDA "93"</t>
  </si>
  <si>
    <t>Total Federal Assistance</t>
  </si>
  <si>
    <t>17-4991-00</t>
  </si>
  <si>
    <t>18-4991-00</t>
  </si>
  <si>
    <t>n/a</t>
  </si>
  <si>
    <t xml:space="preserve">    Title IV, Part A - Student Suppt  &amp; Academic Enrich.</t>
  </si>
  <si>
    <t>18-4400-00</t>
  </si>
  <si>
    <t>17-4625-00</t>
  </si>
  <si>
    <t>U.S. Department of Education passed through  Illinois State Board of Education</t>
  </si>
  <si>
    <t>17-4620-00</t>
  </si>
  <si>
    <t>17-4600-00</t>
  </si>
  <si>
    <t>Medicaid Admin Outreach Admin Assessment FY 2017</t>
  </si>
  <si>
    <t>Medicaid Admin Outreach Admin Assessment FY 2018</t>
  </si>
  <si>
    <t>+ Project Year End 9/30/17</t>
  </si>
  <si>
    <t>++ Project Year End 9/30/18</t>
  </si>
  <si>
    <t>** Project Year End 8/31/17</t>
  </si>
  <si>
    <t>*** Project Year End 8/31/18</t>
  </si>
  <si>
    <t xml:space="preserve">    Food Donation Program (M)</t>
  </si>
  <si>
    <t xml:space="preserve">    National School Lunch Program + (M)</t>
  </si>
  <si>
    <t xml:space="preserve">     National School Lunch Program ++ (M)</t>
  </si>
  <si>
    <t xml:space="preserve">    School Breakfast Program + (M)</t>
  </si>
  <si>
    <t xml:space="preserve">    School Breakfast Program ++ (M)</t>
  </si>
  <si>
    <t>U.S. Department of Agriculture passed through   Illinois State Board of Education</t>
  </si>
  <si>
    <t xml:space="preserve">    IDEA Room &amp; Board **</t>
  </si>
  <si>
    <t xml:space="preserve">U.S. Department of Education passed through  Special Education District of McHenry Co. </t>
  </si>
  <si>
    <t xml:space="preserve">    Special Education Grants to States </t>
  </si>
  <si>
    <t>066-005142</t>
  </si>
  <si>
    <t>EDER, CASELLA &amp; CO.</t>
  </si>
  <si>
    <t>CHERYDEN JUERGENSEN</t>
  </si>
  <si>
    <t>5400 WEST ELM STREET, SUITE 203</t>
  </si>
  <si>
    <t>X</t>
  </si>
  <si>
    <t>MCHENRY</t>
  </si>
  <si>
    <t>IL</t>
  </si>
  <si>
    <t>816 E. GRANT HIGHWAY</t>
  </si>
  <si>
    <t>MARENGO</t>
  </si>
  <si>
    <t>ldamisch@marengo165.org</t>
  </si>
  <si>
    <t>815-344-1300</t>
  </si>
  <si>
    <t>815-344-1320</t>
  </si>
  <si>
    <t>CPAS@EDERCASELLA.COM</t>
  </si>
  <si>
    <t xml:space="preserve">  IL</t>
  </si>
  <si>
    <t>N/A</t>
  </si>
  <si>
    <t>The accompanying Schedule of Expenditures of Federal Awards includes the federal grant activity of Marengo-Union Elementary Consolidated School District No. 165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</si>
  <si>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Marengo-Union Elementary Consolidated School District No. 165 provided federal awards to subrecipients as follows:</t>
  </si>
  <si>
    <t>None</t>
  </si>
  <si>
    <t>The following amounts were expended in the form of non-cash assistance by Marengo-Union Elementary Consolidated School District No. 165 and are included in the Schedule of Expenditures of Federal Awards:</t>
  </si>
  <si>
    <t>ADVERSE</t>
  </si>
  <si>
    <t>UNMODIFIED</t>
  </si>
  <si>
    <t>TITLE 1 - LOW INCOME</t>
  </si>
  <si>
    <t>10.553, 10.555</t>
  </si>
  <si>
    <t>NUTRITION CLUSTER</t>
  </si>
  <si>
    <t>2009 Limited GO Bonds</t>
  </si>
  <si>
    <t>2011 Limited GO Bonds</t>
  </si>
  <si>
    <t>2015 Series A</t>
  </si>
  <si>
    <t>2015 Series B</t>
  </si>
  <si>
    <t>ED-Pupil-Other</t>
  </si>
  <si>
    <t>10-2100-300</t>
  </si>
  <si>
    <t>Marengo Physical Therapy</t>
  </si>
  <si>
    <t>ED-Gen Amin-Purch Serv</t>
  </si>
  <si>
    <t>10-2300-300</t>
  </si>
  <si>
    <t>Eder, Casella &amp; Co.</t>
  </si>
  <si>
    <t>O&amp;M-Plant Services-Purch Serv</t>
  </si>
  <si>
    <t>20-2540-300</t>
  </si>
  <si>
    <t>Distinctive Roofing</t>
  </si>
  <si>
    <t>RILEY SCHOOL DISTRICT, MARENGO HS DISTRICT</t>
  </si>
  <si>
    <t>MARENGO HS, WOOKSTOCK, CRYSTAL LAKE ELEMENTARY SCHOOL DISTRICTS</t>
  </si>
  <si>
    <t>EDUCATION BENEFIT COOPERATIVE - 200+ DISTRICTS</t>
  </si>
  <si>
    <t>REGIONAL OFFICE OF EDUCATION</t>
  </si>
  <si>
    <t>ALDEN-HEBRON SCHOOL DISTRICT</t>
  </si>
  <si>
    <t>COLLECTIVE INSURANCE LIABILITY COOPERATIVE</t>
  </si>
  <si>
    <t>ISDLAF</t>
  </si>
  <si>
    <t>MARENGO HIGH SCHOOL, COLLECTIVE INSURANCE LIABILITY COOPERATIVE</t>
  </si>
  <si>
    <t>MCHENRY COUNTY ROE AND ASSOCIATED DISTRICTS</t>
  </si>
  <si>
    <t>ALDEN-HEBRON SCHOOL DISTRICT, RILEY SCHOOL DISTRICT 18</t>
  </si>
  <si>
    <t>SEDOM, WOODSTOCK 200</t>
  </si>
  <si>
    <t>RILEY SCHOOL DISTRICT, MARENGO HIGH SCHOOL DISTRICT</t>
  </si>
  <si>
    <t>RILEY SCHOOL DISTRICT, IL CMS CONTRACTS</t>
  </si>
  <si>
    <t>MARENGO HIGH SCHOOL</t>
  </si>
  <si>
    <t>ISBE PROCUREMENT</t>
  </si>
  <si>
    <t>Education Fund - Page 9, Line 17 - Other Payments in Lieu of Taxes</t>
  </si>
  <si>
    <t>Education Fund - Page 10, Line 72 - Sales to Pupils - Other</t>
  </si>
  <si>
    <t>Education Fund - Page 10, Line 74 - Other Food Service</t>
  </si>
  <si>
    <t>Education Fund - Page 10, Line 81 - Other District/School Activity Revenue</t>
  </si>
  <si>
    <t>Education Fund - Page 11, Line 107 - Other Local Revenues</t>
  </si>
  <si>
    <t>O&amp;M Fund - Page 11, Line 107 - Other Local Revenues</t>
  </si>
  <si>
    <t>Transportation Fund - Page 11, Line 107 - Other Local Revenues</t>
  </si>
  <si>
    <t>Education Fund - Page 12, Line 171 - Other Restricted Revenue from State Sources</t>
  </si>
  <si>
    <t>Education Fund - Page 15, Line 41 - Other Support Services - Pupils</t>
  </si>
  <si>
    <t>Other Objects - Annual Admin Fees</t>
  </si>
  <si>
    <t>Employee Benefits - IMRF, FICA, Medicare</t>
  </si>
  <si>
    <t>TIF Disbursement</t>
  </si>
  <si>
    <t>Lunch Sales and ROE Reimbursement</t>
  </si>
  <si>
    <t>Rebates and Food Service refunds</t>
  </si>
  <si>
    <t>Lost locks, lost books, library fines, staff shirts</t>
  </si>
  <si>
    <t>bank fees, postage refund, background check</t>
  </si>
  <si>
    <t>Erate reimbursement, repair reimbursement</t>
  </si>
  <si>
    <t>Bus permit renewals, insurance reimbursement</t>
  </si>
  <si>
    <t>ROE professional development grant, state library grant</t>
  </si>
  <si>
    <t>Education Fund - Page 16, Line 83 - Other Payments to In-State Govt. Units</t>
  </si>
  <si>
    <t>Salaries - Bus duty pay</t>
  </si>
  <si>
    <t>Other Objects - SEDOM Sp. Ed. Services, Alden Hebron SD grant reimb and shared services</t>
  </si>
  <si>
    <t>c</t>
  </si>
  <si>
    <t>Debt Service Fund - Page 18, Line 171 - Debt Services - Other</t>
  </si>
  <si>
    <t>IMRF/SS Fund - Page 19, Line 237 - Other Support Services - Pupils</t>
  </si>
  <si>
    <t>Marengo Union E Cons D 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</si>
</sst>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2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22" xfId="3" quotePrefix="1" applyNumberFormat="1" applyFont="1" applyBorder="1" applyAlignment="1" applyProtection="1">
      <alignment horizontal="left" vertical="center" wrapText="1"/>
      <protection locked="0"/>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5" xfId="3" applyNumberFormat="1" applyFont="1" applyBorder="1" applyAlignment="1" applyProtection="1">
      <alignment horizontal="left" indent="1"/>
    </xf>
    <xf numFmtId="0" fontId="64" fillId="0" borderId="5" xfId="3" applyNumberFormat="1" applyFont="1" applyBorder="1" applyAlignment="1" applyProtection="1"/>
    <xf numFmtId="0" fontId="64" fillId="0" borderId="0" xfId="3" applyNumberFormat="1" applyFont="1" applyBorder="1" applyAlignment="1" applyProtection="1"/>
    <xf numFmtId="0" fontId="64" fillId="0" borderId="40" xfId="3" applyNumberFormat="1" applyFont="1" applyBorder="1" applyAlignment="1" applyProtection="1"/>
    <xf numFmtId="0" fontId="64" fillId="0" borderId="0" xfId="3" applyNumberFormat="1" applyFont="1" applyBorder="1" applyAlignment="1" applyProtection="1">
      <alignment horizontal="right"/>
    </xf>
    <xf numFmtId="0" fontId="64" fillId="0" borderId="0" xfId="3" applyNumberFormat="1" applyFont="1" applyBorder="1" applyAlignment="1" applyProtection="1">
      <alignment horizontal="left"/>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56" fillId="0" borderId="0" xfId="0" applyFont="1" applyAlignment="1">
      <alignment horizontal="left" vertical="center"/>
    </xf>
    <xf numFmtId="164" fontId="56" fillId="0" borderId="0" xfId="0" applyNumberFormat="1" applyFont="1" applyAlignment="1">
      <alignment vertical="center"/>
    </xf>
    <xf numFmtId="0" fontId="56" fillId="0" borderId="0" xfId="0" applyFont="1" applyAlignment="1">
      <alignment horizontal="left" wrapText="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56" fillId="0" borderId="0" xfId="0" applyFont="1" applyAlignment="1">
      <alignment horizontal="left" wrapText="1"/>
    </xf>
    <xf numFmtId="0" fontId="0" fillId="0" borderId="0" xfId="0" applyAlignment="1">
      <alignment horizontal="left" wrapText="1"/>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53" fillId="0" borderId="50" xfId="3" applyNumberFormat="1" applyFont="1" applyBorder="1" applyAlignment="1" applyProtection="1">
      <alignment horizontal="left" wrapText="1" indent="1"/>
    </xf>
    <xf numFmtId="0" fontId="53" fillId="0" borderId="9" xfId="3" applyFont="1" applyBorder="1" applyAlignment="1" applyProtection="1">
      <alignment horizontal="left" wrapText="1" indent="1"/>
    </xf>
    <xf numFmtId="0" fontId="53" fillId="0" borderId="59" xfId="3" applyFont="1" applyBorder="1" applyAlignment="1" applyProtection="1">
      <alignment horizontal="left" wrapText="1"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D20569D9-FC74-4DC6-BB4E-3178876CED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1" t="s">
        <v>425</v>
      </c>
      <c r="J1" s="2052"/>
      <c r="K1" s="2052"/>
      <c r="L1" s="2052"/>
      <c r="M1" s="2052"/>
      <c r="N1" s="2052"/>
      <c r="O1" s="2052"/>
      <c r="P1" s="2052"/>
      <c r="Q1" s="2052"/>
      <c r="R1" s="2052"/>
      <c r="S1" s="2052"/>
    </row>
    <row r="2" spans="1:28" ht="12" customHeight="1" x14ac:dyDescent="0.2">
      <c r="A2" s="47" t="s">
        <v>1684</v>
      </c>
      <c r="D2" s="48"/>
      <c r="I2" s="2053" t="s">
        <v>1036</v>
      </c>
      <c r="J2" s="2052"/>
      <c r="K2" s="2052"/>
      <c r="L2" s="2052"/>
      <c r="M2" s="2052"/>
      <c r="N2" s="2052"/>
      <c r="O2" s="2052"/>
      <c r="P2" s="2052"/>
      <c r="Q2" s="2052"/>
      <c r="R2" s="2052"/>
      <c r="S2" s="2052"/>
    </row>
    <row r="3" spans="1:28" ht="12" customHeight="1" x14ac:dyDescent="0.2">
      <c r="A3" s="155" t="s">
        <v>1685</v>
      </c>
      <c r="B3" s="156"/>
      <c r="C3" s="156"/>
      <c r="D3" s="157"/>
      <c r="I3" s="2053" t="s">
        <v>54</v>
      </c>
      <c r="J3" s="2052"/>
      <c r="K3" s="2052"/>
      <c r="L3" s="2052"/>
      <c r="M3" s="2052"/>
      <c r="N3" s="2052"/>
      <c r="O3" s="2052"/>
      <c r="P3" s="2052"/>
      <c r="Q3" s="2052"/>
      <c r="R3" s="2052"/>
      <c r="S3" s="2052"/>
    </row>
    <row r="4" spans="1:28" ht="12" customHeight="1" x14ac:dyDescent="0.2">
      <c r="A4" s="37"/>
      <c r="I4" s="2053" t="s">
        <v>545</v>
      </c>
      <c r="J4" s="2052"/>
      <c r="K4" s="2052"/>
      <c r="L4" s="2052"/>
      <c r="M4" s="2052"/>
      <c r="N4" s="2052"/>
      <c r="O4" s="2052"/>
      <c r="P4" s="2052"/>
      <c r="Q4" s="2052"/>
      <c r="R4" s="2052"/>
      <c r="S4" s="2052"/>
    </row>
    <row r="5" spans="1:28" ht="14.1" customHeight="1" x14ac:dyDescent="0.2">
      <c r="B5" s="104" t="s">
        <v>2129</v>
      </c>
      <c r="C5" s="26" t="s">
        <v>966</v>
      </c>
      <c r="D5" s="84"/>
      <c r="E5" s="84"/>
      <c r="H5" s="38"/>
      <c r="I5" s="2060" t="s">
        <v>701</v>
      </c>
      <c r="J5" s="2005"/>
      <c r="K5" s="2005"/>
      <c r="L5" s="2005"/>
      <c r="M5" s="2005"/>
      <c r="N5" s="2005"/>
      <c r="O5" s="2005"/>
      <c r="P5" s="2005"/>
      <c r="Q5" s="2005"/>
      <c r="R5" s="2005"/>
      <c r="S5" s="2005"/>
    </row>
    <row r="6" spans="1:28" ht="14.1" customHeight="1" x14ac:dyDescent="0.2">
      <c r="B6" s="104"/>
      <c r="C6" s="26" t="s">
        <v>967</v>
      </c>
      <c r="D6" s="84"/>
      <c r="E6" s="84"/>
      <c r="I6" s="2059" t="s">
        <v>938</v>
      </c>
      <c r="J6" s="2005"/>
      <c r="K6" s="2005"/>
      <c r="L6" s="2005"/>
      <c r="M6" s="2005"/>
      <c r="N6" s="2005"/>
      <c r="O6" s="2005"/>
      <c r="P6" s="2005"/>
      <c r="Q6" s="2005"/>
      <c r="R6" s="2005"/>
      <c r="S6" s="2005"/>
    </row>
    <row r="7" spans="1:28" ht="12.2" customHeight="1" x14ac:dyDescent="0.2">
      <c r="I7" s="2054">
        <v>43281</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695</v>
      </c>
      <c r="J9" s="2057"/>
      <c r="K9" s="2057"/>
      <c r="L9" s="2057"/>
      <c r="M9" s="2057"/>
      <c r="N9" s="2057"/>
      <c r="O9" s="2057"/>
      <c r="P9" s="2057"/>
      <c r="Q9" s="2057"/>
      <c r="R9" s="2057"/>
      <c r="S9" s="2058"/>
      <c r="T9" s="2001" t="s">
        <v>554</v>
      </c>
      <c r="U9" s="2002"/>
      <c r="V9" s="2002"/>
      <c r="W9" s="2002"/>
      <c r="X9" s="2002"/>
      <c r="Y9" s="2002"/>
      <c r="Z9" s="2002"/>
      <c r="AA9" s="2003"/>
    </row>
    <row r="10" spans="1:28" ht="13.5" customHeight="1" x14ac:dyDescent="0.2">
      <c r="A10" s="2010" t="s">
        <v>696</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1012</v>
      </c>
      <c r="B11" s="2014"/>
      <c r="C11" s="2014"/>
      <c r="D11" s="2014"/>
      <c r="E11" s="2014"/>
      <c r="F11" s="2014"/>
      <c r="G11" s="2014"/>
      <c r="H11" s="2015"/>
      <c r="I11" s="27"/>
      <c r="J11" s="74"/>
      <c r="K11" s="27"/>
      <c r="O11" s="148" t="s">
        <v>2129</v>
      </c>
      <c r="P11" s="100" t="s">
        <v>210</v>
      </c>
      <c r="Q11" s="30"/>
      <c r="R11" s="28"/>
      <c r="S11" s="27"/>
      <c r="T11" s="2007"/>
      <c r="U11" s="2008"/>
      <c r="V11" s="2008"/>
      <c r="W11" s="2008"/>
      <c r="X11" s="2008"/>
      <c r="Y11" s="2008"/>
      <c r="Z11" s="2008"/>
      <c r="AA11" s="200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1">
        <v>44063165003</v>
      </c>
      <c r="B13" s="2022"/>
      <c r="C13" s="2022"/>
      <c r="D13" s="2022"/>
      <c r="E13" s="2022"/>
      <c r="F13" s="2022"/>
      <c r="G13" s="2022"/>
      <c r="H13" s="2023"/>
      <c r="I13" s="31"/>
      <c r="J13" s="30"/>
      <c r="K13" s="28"/>
      <c r="L13" s="30"/>
      <c r="M13" s="30"/>
      <c r="N13" s="30"/>
      <c r="O13" s="30"/>
      <c r="P13" s="30"/>
      <c r="Q13" s="30"/>
      <c r="R13" s="30"/>
      <c r="S13" s="30"/>
      <c r="T13" s="2026" t="s">
        <v>2126</v>
      </c>
      <c r="U13" s="2027"/>
      <c r="V13" s="2027"/>
      <c r="W13" s="2027"/>
      <c r="X13" s="2027"/>
      <c r="Y13" s="2028"/>
      <c r="Z13" s="2028"/>
      <c r="AA13" s="2029"/>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9" t="s">
        <v>2130</v>
      </c>
      <c r="B15" s="2024"/>
      <c r="C15" s="2024"/>
      <c r="D15" s="2024"/>
      <c r="E15" s="2024"/>
      <c r="F15" s="2024"/>
      <c r="G15" s="2024"/>
      <c r="H15" s="2025"/>
      <c r="T15" s="1987" t="s">
        <v>2127</v>
      </c>
      <c r="U15" s="1988"/>
      <c r="V15" s="1988"/>
      <c r="W15" s="1988"/>
      <c r="X15" s="1988"/>
      <c r="Y15" s="2030"/>
      <c r="Z15" s="2030"/>
      <c r="AA15" s="203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9" t="s">
        <v>2202</v>
      </c>
      <c r="B17" s="2049"/>
      <c r="C17" s="2049"/>
      <c r="D17" s="2049"/>
      <c r="E17" s="2049"/>
      <c r="F17" s="2049"/>
      <c r="G17" s="2049"/>
      <c r="H17" s="2050"/>
      <c r="T17" s="2036" t="s">
        <v>2128</v>
      </c>
      <c r="U17" s="2037"/>
      <c r="V17" s="2037"/>
      <c r="W17" s="2037"/>
      <c r="X17" s="2037"/>
      <c r="Y17" s="2037"/>
      <c r="Z17" s="2037"/>
      <c r="AA17" s="2038"/>
    </row>
    <row r="18" spans="1:27" ht="13.5" customHeight="1" x14ac:dyDescent="0.2">
      <c r="A18" s="85" t="s">
        <v>551</v>
      </c>
      <c r="B18" s="76"/>
      <c r="C18" s="72"/>
      <c r="D18" s="76"/>
      <c r="E18" s="76"/>
      <c r="F18" s="76"/>
      <c r="G18" s="76"/>
      <c r="H18" s="56"/>
      <c r="I18" s="2046" t="s">
        <v>697</v>
      </c>
      <c r="J18" s="2047"/>
      <c r="K18" s="2047"/>
      <c r="L18" s="2047"/>
      <c r="M18" s="2047"/>
      <c r="N18" s="2047"/>
      <c r="O18" s="2047"/>
      <c r="P18" s="2047"/>
      <c r="Q18" s="2047"/>
      <c r="R18" s="2047"/>
      <c r="S18" s="2048"/>
      <c r="T18" s="85" t="s">
        <v>735</v>
      </c>
      <c r="U18" s="51"/>
      <c r="V18" s="72"/>
      <c r="W18" s="50"/>
      <c r="X18" s="85" t="s">
        <v>284</v>
      </c>
      <c r="Y18" s="81"/>
      <c r="Z18" s="159" t="s">
        <v>698</v>
      </c>
      <c r="AA18" s="46"/>
    </row>
    <row r="19" spans="1:27" ht="13.5" customHeight="1" x14ac:dyDescent="0.2">
      <c r="A19" s="2019" t="s">
        <v>2132</v>
      </c>
      <c r="B19" s="2020"/>
      <c r="C19" s="2020"/>
      <c r="D19" s="2020"/>
      <c r="E19" s="2020"/>
      <c r="F19" s="2020"/>
      <c r="G19" s="2020"/>
      <c r="H19" s="2018"/>
      <c r="I19" s="30"/>
      <c r="J19" s="99"/>
      <c r="K19" s="40"/>
      <c r="L19" s="38"/>
      <c r="M19" s="112" t="s">
        <v>333</v>
      </c>
      <c r="P19" s="27"/>
      <c r="Q19" s="27"/>
      <c r="R19" s="27"/>
      <c r="S19" s="31"/>
      <c r="T19" s="2019" t="s">
        <v>2130</v>
      </c>
      <c r="U19" s="2017"/>
      <c r="V19" s="2017"/>
      <c r="W19" s="2018"/>
      <c r="X19" s="2034" t="s">
        <v>2131</v>
      </c>
      <c r="Y19" s="2035"/>
      <c r="Z19" s="2032">
        <v>60050</v>
      </c>
      <c r="AA19" s="203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6" t="s">
        <v>2133</v>
      </c>
      <c r="B21" s="2017"/>
      <c r="C21" s="2017"/>
      <c r="D21" s="2017"/>
      <c r="E21" s="2017"/>
      <c r="F21" s="2017"/>
      <c r="G21" s="2017"/>
      <c r="H21" s="2018"/>
      <c r="I21" s="2042" t="s">
        <v>699</v>
      </c>
      <c r="J21" s="2005"/>
      <c r="K21" s="2005"/>
      <c r="L21" s="2005"/>
      <c r="M21" s="2005"/>
      <c r="N21" s="2005"/>
      <c r="O21" s="2005"/>
      <c r="P21" s="2005"/>
      <c r="Q21" s="2005"/>
      <c r="R21" s="2005"/>
      <c r="S21" s="2006"/>
      <c r="T21" s="1984" t="s">
        <v>2135</v>
      </c>
      <c r="U21" s="1985"/>
      <c r="V21" s="1985"/>
      <c r="W21" s="1985"/>
      <c r="X21" s="1998" t="s">
        <v>2136</v>
      </c>
      <c r="Y21" s="1999"/>
      <c r="Z21" s="1999"/>
      <c r="AA21" s="2000"/>
    </row>
    <row r="22" spans="1:27" ht="13.5" customHeight="1" x14ac:dyDescent="0.2">
      <c r="A22" s="87" t="s">
        <v>552</v>
      </c>
      <c r="B22" s="59"/>
      <c r="C22" s="59"/>
      <c r="D22" s="59"/>
      <c r="E22" s="59"/>
      <c r="F22" s="59"/>
      <c r="G22" s="59"/>
      <c r="H22" s="60"/>
      <c r="I22" s="2043" t="s">
        <v>1504</v>
      </c>
      <c r="J22" s="2044"/>
      <c r="K22" s="2044"/>
      <c r="L22" s="2044"/>
      <c r="M22" s="2044"/>
      <c r="N22" s="2044"/>
      <c r="O22" s="2044"/>
      <c r="P22" s="2044"/>
      <c r="Q22" s="2044"/>
      <c r="R22" s="2044"/>
      <c r="S22" s="2045"/>
      <c r="T22" s="85" t="s">
        <v>1596</v>
      </c>
      <c r="U22" s="51"/>
      <c r="V22" s="72"/>
      <c r="W22" s="51"/>
      <c r="X22" s="160" t="s">
        <v>1385</v>
      </c>
      <c r="Z22" s="45"/>
      <c r="AA22" s="46"/>
    </row>
    <row r="23" spans="1:27" ht="13.5" customHeight="1" x14ac:dyDescent="0.2">
      <c r="A23" s="2039" t="s">
        <v>2134</v>
      </c>
      <c r="B23" s="2040"/>
      <c r="C23" s="2040"/>
      <c r="D23" s="2040"/>
      <c r="E23" s="2040"/>
      <c r="F23" s="2040"/>
      <c r="G23" s="2040"/>
      <c r="H23" s="2041"/>
      <c r="T23" s="1979" t="s">
        <v>2125</v>
      </c>
      <c r="U23" s="1980"/>
      <c r="V23" s="1980"/>
      <c r="W23" s="1980"/>
      <c r="X23" s="1995">
        <v>43434</v>
      </c>
      <c r="Y23" s="1996"/>
      <c r="Z23" s="1996"/>
      <c r="AA23" s="1997"/>
    </row>
    <row r="24" spans="1:27" ht="14.1" customHeight="1" x14ac:dyDescent="0.2">
      <c r="A24" s="88" t="s">
        <v>698</v>
      </c>
      <c r="B24" s="49"/>
      <c r="C24" s="49"/>
      <c r="D24" s="49"/>
      <c r="E24" s="49"/>
      <c r="F24" s="49"/>
      <c r="G24" s="49"/>
      <c r="H24" s="61"/>
      <c r="J24" s="2081">
        <f>IF(B5="x",IF(AUDITCHECK!D29="AFR form Incomplete.","",IF(AUDITCHECK!D29="Deficit reduction plan is required.","School District must complete a deficit reduction plan in the 2018-2019 Budget",)),"")</f>
        <v>0</v>
      </c>
      <c r="K24" s="2081"/>
      <c r="L24" s="2081"/>
      <c r="M24" s="2081"/>
      <c r="N24" s="2081"/>
      <c r="O24" s="2081"/>
      <c r="P24" s="2081"/>
      <c r="Q24" s="2081"/>
      <c r="R24" s="2081"/>
      <c r="S24" s="2082"/>
      <c r="T24" s="105" t="s">
        <v>552</v>
      </c>
      <c r="U24" s="106"/>
      <c r="V24" s="106"/>
      <c r="W24" s="106"/>
      <c r="X24" s="107"/>
      <c r="Y24" s="107"/>
      <c r="Z24" s="107"/>
      <c r="AA24" s="108"/>
    </row>
    <row r="25" spans="1:27" ht="14.1" customHeight="1" x14ac:dyDescent="0.2">
      <c r="A25" s="2016">
        <v>60152</v>
      </c>
      <c r="B25" s="2017"/>
      <c r="C25" s="2017"/>
      <c r="D25" s="2017"/>
      <c r="E25" s="2017"/>
      <c r="F25" s="2017"/>
      <c r="G25" s="2017"/>
      <c r="H25" s="2018"/>
      <c r="I25" s="113"/>
      <c r="J25" s="2083"/>
      <c r="K25" s="2083"/>
      <c r="L25" s="2083"/>
      <c r="M25" s="2083"/>
      <c r="N25" s="2083"/>
      <c r="O25" s="2083"/>
      <c r="P25" s="2083"/>
      <c r="Q25" s="2083"/>
      <c r="R25" s="2083"/>
      <c r="S25" s="2084"/>
      <c r="T25" s="1976" t="s">
        <v>2137</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4" t="s">
        <v>1591</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2129</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2129</v>
      </c>
      <c r="C30" s="124" t="s">
        <v>1226</v>
      </c>
      <c r="D30" s="28"/>
      <c r="E30" s="28"/>
      <c r="F30" s="140"/>
      <c r="G30" s="114"/>
      <c r="H30" s="114"/>
      <c r="I30" s="54"/>
      <c r="J30" s="148" t="s">
        <v>2129</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2129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9"/>
      <c r="B38" s="2049"/>
      <c r="C38" s="2049"/>
      <c r="D38" s="2049"/>
      <c r="E38" s="2049"/>
      <c r="F38" s="2017"/>
      <c r="G38" s="2017"/>
      <c r="H38" s="2018"/>
      <c r="I38" s="2068"/>
      <c r="J38" s="1988"/>
      <c r="K38" s="1988"/>
      <c r="L38" s="1988"/>
      <c r="M38" s="1988"/>
      <c r="N38" s="1988"/>
      <c r="O38" s="1988"/>
      <c r="P38" s="1989"/>
      <c r="Q38" s="1989"/>
      <c r="R38" s="1989"/>
      <c r="S38" s="1990"/>
      <c r="T38" s="1987"/>
      <c r="U38" s="1988"/>
      <c r="V38" s="1988"/>
      <c r="W38" s="1988"/>
      <c r="X38" s="1989"/>
      <c r="Y38" s="1989"/>
      <c r="Z38" s="1989"/>
      <c r="AA38" s="1990"/>
    </row>
    <row r="39" spans="1:27" ht="12" customHeight="1" x14ac:dyDescent="0.2">
      <c r="A39" s="2072" t="s">
        <v>552</v>
      </c>
      <c r="B39" s="2073"/>
      <c r="C39" s="72"/>
      <c r="D39" s="69"/>
      <c r="E39" s="69"/>
      <c r="F39" s="79"/>
      <c r="G39" s="69"/>
      <c r="H39" s="56"/>
      <c r="I39" s="2072" t="s">
        <v>552</v>
      </c>
      <c r="J39" s="2073"/>
      <c r="K39" s="2073"/>
      <c r="L39" s="2073"/>
      <c r="M39" s="2073"/>
      <c r="N39" s="67"/>
      <c r="O39" s="72"/>
      <c r="P39" s="72"/>
      <c r="Q39" s="78"/>
      <c r="R39" s="72"/>
      <c r="S39" s="56"/>
      <c r="T39" s="72" t="s">
        <v>552</v>
      </c>
      <c r="U39" s="51"/>
      <c r="V39" s="72"/>
      <c r="W39" s="50"/>
      <c r="X39" s="78"/>
      <c r="Y39" s="45"/>
      <c r="Z39" s="45"/>
      <c r="AA39" s="46"/>
    </row>
    <row r="40" spans="1:27" ht="13.5" customHeight="1" x14ac:dyDescent="0.2">
      <c r="A40" s="2075"/>
      <c r="B40" s="2076"/>
      <c r="C40" s="2077"/>
      <c r="D40" s="2077"/>
      <c r="E40" s="2077"/>
      <c r="F40" s="2078"/>
      <c r="G40" s="2078"/>
      <c r="H40" s="2079"/>
      <c r="I40" s="1991"/>
      <c r="J40" s="1993"/>
      <c r="K40" s="1993"/>
      <c r="L40" s="1993"/>
      <c r="M40" s="1993"/>
      <c r="N40" s="1993"/>
      <c r="O40" s="1993"/>
      <c r="P40" s="1993"/>
      <c r="Q40" s="1993"/>
      <c r="R40" s="1993"/>
      <c r="S40" s="1994"/>
      <c r="T40" s="1991"/>
      <c r="U40" s="1992"/>
      <c r="V40" s="1993"/>
      <c r="W40" s="1993"/>
      <c r="X40" s="1993"/>
      <c r="Y40" s="1993"/>
      <c r="Z40" s="1993"/>
      <c r="AA40" s="199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5"/>
      <c r="B42" s="2066"/>
      <c r="C42" s="2067"/>
      <c r="D42" s="2080"/>
      <c r="E42" s="2066"/>
      <c r="F42" s="2066"/>
      <c r="G42" s="2066"/>
      <c r="H42" s="2067"/>
      <c r="I42" s="1986"/>
      <c r="J42" s="1982"/>
      <c r="K42" s="1982"/>
      <c r="L42" s="1982"/>
      <c r="M42" s="1982"/>
      <c r="N42" s="1982"/>
      <c r="O42" s="1983"/>
      <c r="P42" s="1981"/>
      <c r="Q42" s="1982"/>
      <c r="R42" s="1982"/>
      <c r="S42" s="1983"/>
      <c r="T42" s="1986"/>
      <c r="U42" s="1982"/>
      <c r="V42" s="1982"/>
      <c r="W42" s="1983"/>
      <c r="X42" s="1981"/>
      <c r="Y42" s="1982"/>
      <c r="Z42" s="1982"/>
      <c r="AA42" s="1983"/>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J48" sqref="J48:J49"/>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9" t="s">
        <v>1709</v>
      </c>
    </row>
    <row r="23" spans="1:5" x14ac:dyDescent="0.2">
      <c r="A23" s="168"/>
      <c r="B23" s="162" t="s">
        <v>1966</v>
      </c>
      <c r="D23" s="167" t="s">
        <v>658</v>
      </c>
      <c r="E23" s="1859"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8" t="s">
        <v>1125</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715</v>
      </c>
      <c r="B40" s="2085"/>
      <c r="C40" s="2085"/>
      <c r="D40" s="2085"/>
      <c r="E40" s="2085"/>
    </row>
    <row r="41" spans="1:5" x14ac:dyDescent="0.2">
      <c r="A41" s="2086" t="s">
        <v>1706</v>
      </c>
      <c r="B41" s="2086"/>
      <c r="C41" s="2086"/>
      <c r="D41" s="2086"/>
      <c r="E41" s="2086"/>
    </row>
    <row r="42" spans="1:5" ht="12.75" customHeight="1" x14ac:dyDescent="0.2">
      <c r="A42" s="2087" t="s">
        <v>1080</v>
      </c>
      <c r="B42" s="2087"/>
      <c r="C42" s="2087"/>
      <c r="D42" s="2087"/>
      <c r="E42" s="2087"/>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7" t="s">
        <v>1876</v>
      </c>
    </row>
    <row r="60" spans="1:3" x14ac:dyDescent="0.2">
      <c r="A60" s="196"/>
      <c r="B60" s="1507"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9"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8"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4" colorId="8" zoomScale="80" zoomScaleNormal="80" workbookViewId="0">
      <selection activeCell="J48" sqref="J48:J4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1230</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3" t="s">
        <v>1731</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331</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2129</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1390</v>
      </c>
      <c r="B70" s="2106"/>
      <c r="C70" s="2106"/>
      <c r="D70" s="2106"/>
      <c r="E70" s="2107"/>
      <c r="F70" s="2107"/>
      <c r="G70" s="2107"/>
      <c r="H70" s="2107"/>
      <c r="I70" s="210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1387</v>
      </c>
      <c r="B83" s="2108"/>
      <c r="C83" s="2108"/>
      <c r="D83" s="210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2126</v>
      </c>
      <c r="D114" s="209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1397</v>
      </c>
      <c r="D117" s="2101"/>
      <c r="E117" s="2102"/>
      <c r="F117" s="2102"/>
      <c r="G117" s="2102"/>
      <c r="H117" s="2102"/>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2019</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J48" sqref="J48:J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404</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221384941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2.5328E-2</v>
      </c>
      <c r="E10" s="356" t="s">
        <v>1062</v>
      </c>
      <c r="F10" s="355">
        <v>3.3319999999999999E-3</v>
      </c>
      <c r="G10" s="356" t="s">
        <v>1062</v>
      </c>
      <c r="H10" s="355">
        <v>9.9400000000000009E-4</v>
      </c>
      <c r="I10" s="356" t="s">
        <v>1063</v>
      </c>
      <c r="J10" s="1754">
        <f>ROUND(D10+F10+H10,5)</f>
        <v>2.9649999999999999E-2</v>
      </c>
      <c r="K10" s="222"/>
      <c r="L10" s="355">
        <v>4.3999999999999999E-5</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10979671</v>
      </c>
      <c r="E16" s="356"/>
      <c r="F16" s="1755">
        <f>SUM('Acct Summary 7-8'!C17,'Acct Summary 7-8'!D17,'Acct Summary 7-8'!F17)</f>
        <v>9654282</v>
      </c>
      <c r="G16" s="356"/>
      <c r="H16" s="1755">
        <f>SUM(D16-F16)</f>
        <v>1325389</v>
      </c>
      <c r="I16" s="222"/>
      <c r="J16" s="1755">
        <f>SUM('Acct Summary 7-8'!C81,'Acct Summary 7-8'!D81,'Acct Summary 7-8'!F81,'Acct Summary 7-8'!I81)</f>
        <v>9058683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2129</v>
      </c>
      <c r="C31" s="367" t="s">
        <v>607</v>
      </c>
      <c r="D31" s="237" t="s">
        <v>1132</v>
      </c>
      <c r="E31" s="222"/>
      <c r="F31" s="222"/>
      <c r="G31" s="363"/>
      <c r="H31" s="1757">
        <f>IF(B31="X",(J7*0.069),IF(B32="X",(J7*0.138),"Enter x in a.or b."))</f>
        <v>15275560.929000001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2810000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J48" sqref="J48:J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577</v>
      </c>
      <c r="B2" s="2138"/>
      <c r="C2" s="2138"/>
      <c r="D2" s="2138"/>
      <c r="E2" s="2138"/>
      <c r="F2" s="2138"/>
      <c r="G2" s="2138"/>
      <c r="H2" s="2138"/>
      <c r="I2" s="2138"/>
      <c r="J2" s="2138"/>
      <c r="K2" s="2138"/>
      <c r="L2" s="2138"/>
      <c r="M2" s="2138"/>
      <c r="N2" s="2138"/>
      <c r="O2" s="2138"/>
      <c r="P2" s="2138"/>
      <c r="Q2" s="2138"/>
      <c r="R2" s="2138"/>
    </row>
    <row r="3" spans="1:18" ht="12.75" x14ac:dyDescent="0.2">
      <c r="A3" s="2139" t="s">
        <v>1480</v>
      </c>
      <c r="B3" s="2139"/>
      <c r="C3" s="2139"/>
      <c r="D3" s="2139"/>
      <c r="E3" s="2139"/>
      <c r="F3" s="2139"/>
      <c r="G3" s="2139"/>
      <c r="H3" s="2139"/>
      <c r="I3" s="2139"/>
      <c r="J3" s="2139"/>
      <c r="K3" s="2139"/>
      <c r="L3" s="2139"/>
      <c r="M3" s="2139"/>
      <c r="N3" s="2139"/>
      <c r="O3" s="2139"/>
      <c r="P3" s="2139"/>
      <c r="Q3" s="2139"/>
      <c r="R3" s="2139"/>
    </row>
    <row r="4" spans="1:18" x14ac:dyDescent="0.2">
      <c r="A4" s="2140" t="s">
        <v>1635</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Marengo Union E Cons D 165</v>
      </c>
      <c r="E7" s="391"/>
      <c r="G7" s="252"/>
      <c r="H7" s="387"/>
      <c r="I7" s="387"/>
      <c r="J7" s="387"/>
      <c r="K7" s="387"/>
      <c r="L7" s="329"/>
      <c r="M7" s="329"/>
      <c r="N7" s="329"/>
      <c r="O7" s="329"/>
      <c r="P7" s="329"/>
    </row>
    <row r="8" spans="1:18" ht="12.75" x14ac:dyDescent="0.2">
      <c r="A8" s="329"/>
      <c r="B8" s="329"/>
      <c r="C8" s="389" t="s">
        <v>1187</v>
      </c>
      <c r="D8" s="392">
        <f>COVER!A13</f>
        <v>44063165003</v>
      </c>
      <c r="E8" s="393"/>
      <c r="G8" s="329"/>
      <c r="H8" s="329"/>
      <c r="I8" s="329"/>
      <c r="J8" s="329"/>
      <c r="K8" s="329"/>
      <c r="L8" s="329"/>
      <c r="M8" s="329"/>
      <c r="N8" s="329"/>
      <c r="O8" s="329"/>
      <c r="P8" s="329"/>
    </row>
    <row r="9" spans="1:18" ht="12.75" x14ac:dyDescent="0.2">
      <c r="A9" s="329"/>
      <c r="B9" s="329"/>
      <c r="C9" s="389" t="s">
        <v>737</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9058683</v>
      </c>
      <c r="I12" s="404"/>
      <c r="J12" s="404"/>
      <c r="K12" s="405">
        <f>TRUNC((H12/H13*100000),5)/100000</f>
        <v>0.82504138779999991</v>
      </c>
      <c r="L12" s="406"/>
      <c r="M12" s="360" t="s">
        <v>1206</v>
      </c>
      <c r="N12" s="360"/>
      <c r="O12" s="407">
        <v>0.35</v>
      </c>
      <c r="P12" s="218"/>
      <c r="Q12" s="218"/>
    </row>
    <row r="13" spans="1:18" s="408" customFormat="1" ht="12.75" x14ac:dyDescent="0.2">
      <c r="A13" s="218"/>
      <c r="B13" s="401"/>
      <c r="C13" s="2136" t="s">
        <v>1391</v>
      </c>
      <c r="D13" s="2137"/>
      <c r="E13" s="218"/>
      <c r="F13" s="409" t="s">
        <v>826</v>
      </c>
      <c r="G13" s="402"/>
      <c r="H13" s="403">
        <f>SUM('Acct Summary 7-8'!C8+'Acct Summary 7-8'!D8+'Acct Summary 7-8'!F8+'Acct Summary 7-8'!I8)+H14</f>
        <v>10979671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9654282</v>
      </c>
      <c r="I17" s="404"/>
      <c r="J17" s="416"/>
      <c r="K17" s="405">
        <f>TRUNC((H17/H18*100000),5)/100000</f>
        <v>0.87928700230000001</v>
      </c>
      <c r="L17" s="406"/>
      <c r="M17" s="417" t="s">
        <v>1233</v>
      </c>
      <c r="O17" s="418" t="str">
        <f>IF(AND(O16="2", J20 &gt; 2),"1",IF(AND(O16 = "1", J20 &gt; 2),"2",IF(AND(O16="1", J20 &gt;1),"1","0")))</f>
        <v>0</v>
      </c>
      <c r="P17" s="218"/>
    </row>
    <row r="18" spans="1:18" s="408" customFormat="1" ht="11.25" x14ac:dyDescent="0.2">
      <c r="A18" s="218"/>
      <c r="B18" s="401"/>
      <c r="C18" s="2136" t="s">
        <v>1384</v>
      </c>
      <c r="D18" s="2137"/>
      <c r="E18" s="218"/>
      <c r="F18" s="419" t="s">
        <v>827</v>
      </c>
      <c r="G18" s="402"/>
      <c r="H18" s="403">
        <f>SUM('Acct Summary 7-8'!C8+'Acct Summary 7-8'!D8+'Acct Summary 7-8'!F8+'Acct Summary 7-8'!I8)+H19</f>
        <v>10979671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3" t="s">
        <v>1479</v>
      </c>
      <c r="D24" s="2133"/>
      <c r="E24" s="218"/>
      <c r="F24" s="218" t="s">
        <v>465</v>
      </c>
      <c r="G24" s="402"/>
      <c r="H24" s="403">
        <f>SUM('Assets-Liab 5-6'!C4+'Assets-Liab 5-6'!D4+'Assets-Liab 5-6'!F4+'Assets-Liab 5-6'!I4+'Assets-Liab 5-6'!C5+'Assets-Liab 5-6'!D5+'Assets-Liab 5-6'!F5+'Assets-Liab 5-6'!I5)</f>
        <v>9058683</v>
      </c>
      <c r="I24" s="422"/>
      <c r="J24" s="422"/>
      <c r="K24" s="423">
        <f>TRUNC(((H24/H25*100000)/100000),2)</f>
        <v>337.79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26817.45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5579453.9755499996</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2810000</v>
      </c>
      <c r="I32" s="420"/>
      <c r="J32" s="420"/>
      <c r="K32" s="423">
        <f>TRUNC(100-((((H32/H33*100))*100)/100),2)</f>
        <v>81.599999999999994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15275560.929000001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3" activePane="bottomLeft" state="frozen"/>
      <selection activeCell="J48" sqref="J48:J49"/>
      <selection pane="bottomLeft" activeCell="J48" sqref="J48:J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3" t="s">
        <v>1030</v>
      </c>
      <c r="B3" s="2144"/>
      <c r="C3" s="1581"/>
      <c r="D3" s="1582"/>
      <c r="E3" s="1582"/>
      <c r="F3" s="1582"/>
      <c r="G3" s="1582"/>
      <c r="H3" s="1582"/>
      <c r="I3" s="1582"/>
      <c r="J3" s="1582"/>
      <c r="K3" s="1582"/>
      <c r="L3" s="1582"/>
      <c r="M3" s="1583"/>
      <c r="N3" s="1584"/>
    </row>
    <row r="4" spans="1:14" ht="13.5" customHeight="1" x14ac:dyDescent="0.2">
      <c r="A4" s="463" t="s">
        <v>1750</v>
      </c>
      <c r="B4" s="464"/>
      <c r="C4" s="465">
        <v>2855836</v>
      </c>
      <c r="D4" s="466">
        <v>1097229</v>
      </c>
      <c r="E4" s="466">
        <v>118129</v>
      </c>
      <c r="F4" s="466">
        <v>829791</v>
      </c>
      <c r="G4" s="466">
        <v>294216</v>
      </c>
      <c r="H4" s="466">
        <v>17651</v>
      </c>
      <c r="I4" s="466">
        <v>15630</v>
      </c>
      <c r="J4" s="467">
        <v>0</v>
      </c>
      <c r="K4" s="466">
        <v>0</v>
      </c>
      <c r="L4" s="466">
        <v>47376</v>
      </c>
      <c r="M4" s="468"/>
      <c r="N4" s="469"/>
    </row>
    <row r="5" spans="1:14" x14ac:dyDescent="0.2">
      <c r="A5" s="463" t="s">
        <v>1049</v>
      </c>
      <c r="B5" s="470">
        <v>120</v>
      </c>
      <c r="C5" s="465">
        <v>4260197</v>
      </c>
      <c r="D5" s="466">
        <v>0</v>
      </c>
      <c r="E5" s="466">
        <v>0</v>
      </c>
      <c r="F5" s="466">
        <v>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289</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665</v>
      </c>
      <c r="B13" s="1731"/>
      <c r="C13" s="1759">
        <f>SUM(C4:C12)</f>
        <v>7116033</v>
      </c>
      <c r="D13" s="1759">
        <f t="shared" ref="D13:L13" si="0">SUM(D4:D12)</f>
        <v>1097229</v>
      </c>
      <c r="E13" s="1759">
        <f t="shared" si="0"/>
        <v>118129</v>
      </c>
      <c r="F13" s="1759">
        <f t="shared" si="0"/>
        <v>829791</v>
      </c>
      <c r="G13" s="1759">
        <f t="shared" si="0"/>
        <v>294216</v>
      </c>
      <c r="H13" s="1759">
        <f t="shared" si="0"/>
        <v>17651</v>
      </c>
      <c r="I13" s="1759">
        <f t="shared" si="0"/>
        <v>15630</v>
      </c>
      <c r="J13" s="1759">
        <f t="shared" si="0"/>
        <v>0</v>
      </c>
      <c r="K13" s="1759">
        <f t="shared" si="0"/>
        <v>0</v>
      </c>
      <c r="L13" s="1759">
        <f t="shared" si="0"/>
        <v>47376</v>
      </c>
      <c r="M13" s="468"/>
      <c r="N13" s="469"/>
    </row>
    <row r="14" spans="1:14" ht="18" customHeight="1" thickTop="1" x14ac:dyDescent="0.2">
      <c r="A14" s="2145" t="s">
        <v>149</v>
      </c>
      <c r="B14" s="214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v>0</v>
      </c>
      <c r="N15" s="484"/>
    </row>
    <row r="16" spans="1:14" s="485" customFormat="1" ht="12.75" customHeight="1" x14ac:dyDescent="0.2">
      <c r="A16" s="482" t="s">
        <v>1469</v>
      </c>
      <c r="B16" s="483">
        <v>220</v>
      </c>
      <c r="C16" s="477"/>
      <c r="D16" s="477"/>
      <c r="E16" s="477"/>
      <c r="F16" s="477"/>
      <c r="G16" s="477"/>
      <c r="H16" s="477"/>
      <c r="I16" s="477"/>
      <c r="J16" s="477"/>
      <c r="K16" s="477"/>
      <c r="L16" s="477"/>
      <c r="M16" s="467">
        <v>59496</v>
      </c>
      <c r="N16" s="484"/>
    </row>
    <row r="17" spans="1:14" s="485" customFormat="1" ht="12.75" customHeight="1" x14ac:dyDescent="0.2">
      <c r="A17" s="482" t="s">
        <v>1470</v>
      </c>
      <c r="B17" s="483">
        <v>230</v>
      </c>
      <c r="C17" s="477"/>
      <c r="D17" s="477"/>
      <c r="E17" s="477"/>
      <c r="F17" s="477"/>
      <c r="G17" s="477"/>
      <c r="H17" s="477"/>
      <c r="I17" s="477"/>
      <c r="J17" s="477"/>
      <c r="K17" s="477"/>
      <c r="L17" s="477"/>
      <c r="M17" s="467">
        <v>4890035</v>
      </c>
      <c r="N17" s="484"/>
    </row>
    <row r="18" spans="1:14" s="485" customFormat="1" ht="12.75" customHeight="1" x14ac:dyDescent="0.2">
      <c r="A18" s="482" t="s">
        <v>1471</v>
      </c>
      <c r="B18" s="483">
        <v>240</v>
      </c>
      <c r="C18" s="477"/>
      <c r="D18" s="477"/>
      <c r="E18" s="477"/>
      <c r="F18" s="477"/>
      <c r="G18" s="477"/>
      <c r="H18" s="477"/>
      <c r="I18" s="477"/>
      <c r="J18" s="477"/>
      <c r="K18" s="477"/>
      <c r="L18" s="477"/>
      <c r="M18" s="467">
        <v>484248</v>
      </c>
      <c r="N18" s="484"/>
    </row>
    <row r="19" spans="1:14" s="485" customFormat="1" ht="12.75" customHeight="1" x14ac:dyDescent="0.2">
      <c r="A19" s="482" t="s">
        <v>1472</v>
      </c>
      <c r="B19" s="483">
        <v>250</v>
      </c>
      <c r="C19" s="477"/>
      <c r="D19" s="477"/>
      <c r="E19" s="477"/>
      <c r="F19" s="477"/>
      <c r="G19" s="477"/>
      <c r="H19" s="477"/>
      <c r="I19" s="477"/>
      <c r="J19" s="477"/>
      <c r="K19" s="477"/>
      <c r="L19" s="477"/>
      <c r="M19" s="467">
        <v>2557847</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118129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2691871</v>
      </c>
    </row>
    <row r="23" spans="1:14" ht="13.5" customHeight="1" thickBot="1" x14ac:dyDescent="0.25">
      <c r="A23" s="1758" t="s">
        <v>664</v>
      </c>
      <c r="B23" s="1763"/>
      <c r="C23" s="468"/>
      <c r="D23" s="468"/>
      <c r="E23" s="468"/>
      <c r="F23" s="468"/>
      <c r="G23" s="468"/>
      <c r="H23" s="468"/>
      <c r="I23" s="468"/>
      <c r="J23" s="468"/>
      <c r="K23" s="468"/>
      <c r="L23" s="468"/>
      <c r="M23" s="1710">
        <f>SUM(M15:M22)</f>
        <v>7991626</v>
      </c>
      <c r="N23" s="1710">
        <f>SUM(N21:N22)</f>
        <v>2810000</v>
      </c>
    </row>
    <row r="24" spans="1:14" ht="18" customHeight="1" thickTop="1" x14ac:dyDescent="0.2">
      <c r="A24" s="2147" t="s">
        <v>619</v>
      </c>
      <c r="B24" s="2148"/>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47376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47376</v>
      </c>
      <c r="M34" s="468"/>
      <c r="N34" s="480"/>
    </row>
    <row r="35" spans="1:14" ht="18" customHeight="1" thickTop="1" x14ac:dyDescent="0.2">
      <c r="A35" s="2149" t="s">
        <v>550</v>
      </c>
      <c r="B35" s="215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2810000</v>
      </c>
    </row>
    <row r="37" spans="1:14" ht="13.5" thickBot="1" x14ac:dyDescent="0.25">
      <c r="A37" s="1758" t="s">
        <v>674</v>
      </c>
      <c r="B37" s="1763"/>
      <c r="C37" s="477"/>
      <c r="D37" s="477"/>
      <c r="E37" s="477"/>
      <c r="F37" s="477"/>
      <c r="G37" s="477"/>
      <c r="H37" s="477"/>
      <c r="I37" s="477"/>
      <c r="J37" s="477"/>
      <c r="K37" s="477"/>
      <c r="L37" s="480"/>
      <c r="M37" s="468"/>
      <c r="N37" s="1710">
        <f>SUM(N36:N36)</f>
        <v>2810000</v>
      </c>
    </row>
    <row r="38" spans="1:14" s="329" customFormat="1" ht="13.5" customHeight="1" thickTop="1" x14ac:dyDescent="0.2">
      <c r="A38" s="496" t="s">
        <v>440</v>
      </c>
      <c r="B38" s="483">
        <v>714</v>
      </c>
      <c r="C38" s="466"/>
      <c r="D38" s="466"/>
      <c r="E38" s="466"/>
      <c r="F38" s="466"/>
      <c r="G38" s="466"/>
      <c r="H38" s="466">
        <v>3684</v>
      </c>
      <c r="I38" s="466"/>
      <c r="J38" s="467"/>
      <c r="K38" s="466"/>
      <c r="L38" s="481"/>
      <c r="M38" s="497"/>
      <c r="N38" s="497"/>
    </row>
    <row r="39" spans="1:14" s="329" customFormat="1" ht="13.5" customHeight="1" x14ac:dyDescent="0.2">
      <c r="A39" s="496" t="s">
        <v>360</v>
      </c>
      <c r="B39" s="483">
        <v>730</v>
      </c>
      <c r="C39" s="466">
        <v>7116033</v>
      </c>
      <c r="D39" s="466">
        <v>1097229</v>
      </c>
      <c r="E39" s="466">
        <v>118129</v>
      </c>
      <c r="F39" s="466">
        <v>829791</v>
      </c>
      <c r="G39" s="466">
        <v>294216</v>
      </c>
      <c r="H39" s="466">
        <v>13967</v>
      </c>
      <c r="I39" s="466">
        <v>15630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7991626</v>
      </c>
      <c r="N40" s="497"/>
    </row>
    <row r="41" spans="1:14" ht="13.5" customHeight="1" thickBot="1" x14ac:dyDescent="0.25">
      <c r="A41" s="1758" t="s">
        <v>676</v>
      </c>
      <c r="B41" s="1728"/>
      <c r="C41" s="1710">
        <f>(SUM(C34,C37,C38,C39))</f>
        <v>7116033</v>
      </c>
      <c r="D41" s="1710">
        <f t="shared" ref="D41:L41" si="2">SUM(D34,D37,D38:D39)</f>
        <v>1097229</v>
      </c>
      <c r="E41" s="1710">
        <f t="shared" si="2"/>
        <v>118129</v>
      </c>
      <c r="F41" s="1710">
        <f t="shared" si="2"/>
        <v>829791</v>
      </c>
      <c r="G41" s="1710">
        <f t="shared" si="2"/>
        <v>294216</v>
      </c>
      <c r="H41" s="1710">
        <f t="shared" si="2"/>
        <v>17651</v>
      </c>
      <c r="I41" s="1710">
        <f t="shared" si="2"/>
        <v>15630</v>
      </c>
      <c r="J41" s="1710">
        <f t="shared" si="2"/>
        <v>0</v>
      </c>
      <c r="K41" s="1710">
        <f t="shared" si="2"/>
        <v>0</v>
      </c>
      <c r="L41" s="1710">
        <f t="shared" si="2"/>
        <v>47376</v>
      </c>
      <c r="M41" s="1710">
        <f>SUM(M40)</f>
        <v>7991626</v>
      </c>
      <c r="N41" s="1710">
        <f>SUM(N37)</f>
        <v>2810000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4" activePane="bottomLeft" state="frozenSplit"/>
      <selection activeCell="J48" sqref="J48:J49"/>
      <selection pane="bottomLeft" activeCell="J48" sqref="J48:J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1" t="s">
        <v>1237</v>
      </c>
      <c r="B3" s="2172"/>
      <c r="C3" s="1595"/>
      <c r="D3" s="1596"/>
      <c r="E3" s="1596"/>
      <c r="F3" s="1596"/>
      <c r="G3" s="1596"/>
      <c r="H3" s="1596"/>
      <c r="I3" s="1596"/>
      <c r="J3" s="1596"/>
      <c r="K3" s="1597"/>
      <c r="L3" s="506"/>
    </row>
    <row r="4" spans="1:13" ht="15.75" customHeight="1" x14ac:dyDescent="0.2">
      <c r="A4" s="1954" t="s">
        <v>1579</v>
      </c>
      <c r="B4" s="1955">
        <v>1000</v>
      </c>
      <c r="C4" s="1764">
        <f>'Revenues 9-14'!C109</f>
        <v>6338129</v>
      </c>
      <c r="D4" s="1764">
        <f>'Revenues 9-14'!D109</f>
        <v>995917</v>
      </c>
      <c r="E4" s="1764">
        <f>'Revenues 9-14'!E109</f>
        <v>205496</v>
      </c>
      <c r="F4" s="1764">
        <f>'Revenues 9-14'!F109</f>
        <v>236914</v>
      </c>
      <c r="G4" s="1764">
        <f>'Revenues 9-14'!G109</f>
        <v>306466</v>
      </c>
      <c r="H4" s="1764">
        <f>'Revenues 9-14'!H109</f>
        <v>8237</v>
      </c>
      <c r="I4" s="1764">
        <f>'Revenues 9-14'!I109</f>
        <v>9889</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1933596</v>
      </c>
      <c r="D6" s="1765">
        <f>'Revenues 9-14'!D173</f>
        <v>271213</v>
      </c>
      <c r="E6" s="1765">
        <f>'Revenues 9-14'!E173</f>
        <v>0</v>
      </c>
      <c r="F6" s="1765">
        <f>'Revenues 9-14'!F173</f>
        <v>432329</v>
      </c>
      <c r="G6" s="1765">
        <f>'Revenues 9-14'!G173</f>
        <v>30000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761684</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9033409</v>
      </c>
      <c r="D8" s="1710">
        <f t="shared" ref="D8:K8" si="0">SUM(D4:D7)</f>
        <v>1267130</v>
      </c>
      <c r="E8" s="1710">
        <f t="shared" si="0"/>
        <v>205496</v>
      </c>
      <c r="F8" s="1710">
        <f t="shared" si="0"/>
        <v>669243</v>
      </c>
      <c r="G8" s="1710">
        <f t="shared" si="0"/>
        <v>336466</v>
      </c>
      <c r="H8" s="1710">
        <f t="shared" si="0"/>
        <v>8237</v>
      </c>
      <c r="I8" s="1710">
        <f t="shared" si="0"/>
        <v>9889</v>
      </c>
      <c r="J8" s="1710">
        <f t="shared" si="0"/>
        <v>0</v>
      </c>
      <c r="K8" s="1710">
        <f t="shared" si="0"/>
        <v>0</v>
      </c>
      <c r="L8" s="347"/>
    </row>
    <row r="9" spans="1:13" ht="15.75" thickTop="1" x14ac:dyDescent="0.2">
      <c r="A9" s="514" t="s">
        <v>1752</v>
      </c>
      <c r="B9" s="515">
        <v>3998</v>
      </c>
      <c r="C9" s="481">
        <v>3230953</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12264362</v>
      </c>
      <c r="D10" s="1710">
        <f t="shared" ref="D10:K10" si="1">SUM(D8:D9)</f>
        <v>1267130</v>
      </c>
      <c r="E10" s="1710">
        <f t="shared" si="1"/>
        <v>205496</v>
      </c>
      <c r="F10" s="1710">
        <f t="shared" si="1"/>
        <v>669243</v>
      </c>
      <c r="G10" s="1710">
        <f t="shared" si="1"/>
        <v>336466</v>
      </c>
      <c r="H10" s="1710">
        <f t="shared" si="1"/>
        <v>8237</v>
      </c>
      <c r="I10" s="1710">
        <f t="shared" si="1"/>
        <v>9889</v>
      </c>
      <c r="J10" s="1710">
        <f t="shared" si="1"/>
        <v>0</v>
      </c>
      <c r="K10" s="1710">
        <f t="shared" si="1"/>
        <v>0</v>
      </c>
      <c r="L10" s="518"/>
    </row>
    <row r="11" spans="1:13" s="519" customFormat="1" ht="16.7" customHeight="1" thickTop="1" x14ac:dyDescent="0.2">
      <c r="A11" s="2145" t="s">
        <v>1238</v>
      </c>
      <c r="B11" s="2146"/>
      <c r="C11" s="1592"/>
      <c r="D11" s="1593"/>
      <c r="E11" s="1593"/>
      <c r="F11" s="1593"/>
      <c r="G11" s="1593"/>
      <c r="H11" s="1593"/>
      <c r="I11" s="1593"/>
      <c r="J11" s="1593"/>
      <c r="K11" s="1594"/>
      <c r="L11" s="518"/>
    </row>
    <row r="12" spans="1:13" ht="15.75" customHeight="1" x14ac:dyDescent="0.2">
      <c r="A12" s="1598" t="s">
        <v>476</v>
      </c>
      <c r="B12" s="1600">
        <v>1000</v>
      </c>
      <c r="C12" s="1764">
        <f>'Expenditures 15-22'!K33</f>
        <v>4758977</v>
      </c>
      <c r="D12" s="520" t="s">
        <v>1231</v>
      </c>
      <c r="E12" s="468" t="s">
        <v>1231</v>
      </c>
      <c r="F12" s="468" t="s">
        <v>1231</v>
      </c>
      <c r="G12" s="1764">
        <f>'Expenditures 15-22'!K229</f>
        <v>96228</v>
      </c>
      <c r="H12" s="521"/>
      <c r="I12" s="468" t="s">
        <v>1231</v>
      </c>
      <c r="J12" s="468" t="s">
        <v>1231</v>
      </c>
      <c r="K12" s="521" t="s">
        <v>1231</v>
      </c>
      <c r="L12" s="347"/>
    </row>
    <row r="13" spans="1:13" ht="15.75" customHeight="1" x14ac:dyDescent="0.2">
      <c r="A13" s="1598" t="s">
        <v>477</v>
      </c>
      <c r="B13" s="1600">
        <v>2000</v>
      </c>
      <c r="C13" s="1765">
        <f>'Expenditures 15-22'!K74</f>
        <v>2854489</v>
      </c>
      <c r="D13" s="1765">
        <f>'Expenditures 15-22'!K129</f>
        <v>1219994</v>
      </c>
      <c r="E13" s="469" t="s">
        <v>1231</v>
      </c>
      <c r="F13" s="1765">
        <f>'Expenditures 15-22'!K184</f>
        <v>590465</v>
      </c>
      <c r="G13" s="1765">
        <f>'Expenditures 15-22'!K279</f>
        <v>203950</v>
      </c>
      <c r="H13" s="1765">
        <f>'Expenditures 15-22'!K303</f>
        <v>214700</v>
      </c>
      <c r="I13" s="468" t="s">
        <v>1231</v>
      </c>
      <c r="J13" s="1765">
        <f>'Expenditures 15-22'!K330</f>
        <v>0</v>
      </c>
      <c r="K13" s="1769">
        <f>'Expenditures 15-22'!K352</f>
        <v>0</v>
      </c>
      <c r="L13" s="347"/>
    </row>
    <row r="14" spans="1:13" ht="15.75" customHeight="1" x14ac:dyDescent="0.2">
      <c r="A14" s="1598" t="s">
        <v>469</v>
      </c>
      <c r="B14" s="1600">
        <v>3000</v>
      </c>
      <c r="C14" s="1765">
        <f>'Expenditures 15-22'!K75</f>
        <v>44470</v>
      </c>
      <c r="D14" s="1765">
        <f>'Expenditures 15-22'!K130</f>
        <v>0</v>
      </c>
      <c r="E14" s="520" t="s">
        <v>1231</v>
      </c>
      <c r="F14" s="1765">
        <f>'Expenditures 15-22'!K185</f>
        <v>0</v>
      </c>
      <c r="G14" s="1765">
        <f>'Expenditures 15-22'!K280</f>
        <v>2764</v>
      </c>
      <c r="H14" s="512"/>
      <c r="I14" s="468" t="s">
        <v>1231</v>
      </c>
      <c r="J14" s="468" t="s">
        <v>1231</v>
      </c>
      <c r="K14" s="512" t="s">
        <v>1231</v>
      </c>
      <c r="L14" s="347"/>
    </row>
    <row r="15" spans="1:13" ht="15.75" customHeight="1" x14ac:dyDescent="0.2">
      <c r="A15" s="1598" t="s">
        <v>109</v>
      </c>
      <c r="B15" s="1600">
        <v>4000</v>
      </c>
      <c r="C15" s="1765">
        <f>'Expenditures 15-22'!K102</f>
        <v>185887</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204500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7843823</v>
      </c>
      <c r="D17" s="1710">
        <f t="shared" si="2"/>
        <v>1219994</v>
      </c>
      <c r="E17" s="1710">
        <f t="shared" si="2"/>
        <v>204500</v>
      </c>
      <c r="F17" s="1710">
        <f t="shared" si="2"/>
        <v>590465</v>
      </c>
      <c r="G17" s="1710">
        <f t="shared" si="2"/>
        <v>302942</v>
      </c>
      <c r="H17" s="1710">
        <f t="shared" si="2"/>
        <v>214700</v>
      </c>
      <c r="I17" s="468"/>
      <c r="J17" s="1710">
        <f>SUM(J12:J16)</f>
        <v>0</v>
      </c>
      <c r="K17" s="1710">
        <f>SUM(K12:K16)</f>
        <v>0</v>
      </c>
      <c r="L17" s="347"/>
    </row>
    <row r="18" spans="1:12" ht="15" customHeight="1" thickTop="1" x14ac:dyDescent="0.2">
      <c r="A18" s="1766" t="s">
        <v>1753</v>
      </c>
      <c r="B18" s="1767">
        <v>4180</v>
      </c>
      <c r="C18" s="1764">
        <f t="shared" ref="C18:H18" si="3">C9</f>
        <v>3230953</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11074776</v>
      </c>
      <c r="D19" s="1710">
        <f t="shared" si="4"/>
        <v>1219994</v>
      </c>
      <c r="E19" s="1710">
        <f t="shared" si="4"/>
        <v>204500</v>
      </c>
      <c r="F19" s="1710">
        <f t="shared" si="4"/>
        <v>590465</v>
      </c>
      <c r="G19" s="1710">
        <f t="shared" si="4"/>
        <v>302942</v>
      </c>
      <c r="H19" s="1710">
        <f t="shared" si="4"/>
        <v>214700</v>
      </c>
      <c r="I19" s="468"/>
      <c r="J19" s="1710">
        <f>SUM(J17:J18)</f>
        <v>0</v>
      </c>
      <c r="K19" s="1710">
        <f>SUM(K17:K18)</f>
        <v>0</v>
      </c>
      <c r="L19" s="347"/>
    </row>
    <row r="20" spans="1:12" ht="16.5" thickTop="1" thickBot="1" x14ac:dyDescent="0.25">
      <c r="A20" s="2161" t="s">
        <v>1754</v>
      </c>
      <c r="B20" s="2162"/>
      <c r="C20" s="1768">
        <f>C8-C17</f>
        <v>1189586</v>
      </c>
      <c r="D20" s="1768">
        <f t="shared" ref="D20:K20" si="5">D8-D17</f>
        <v>47136</v>
      </c>
      <c r="E20" s="1768">
        <f t="shared" si="5"/>
        <v>996</v>
      </c>
      <c r="F20" s="1768">
        <f t="shared" si="5"/>
        <v>78778</v>
      </c>
      <c r="G20" s="1768">
        <f t="shared" si="5"/>
        <v>33524</v>
      </c>
      <c r="H20" s="1768">
        <f t="shared" si="5"/>
        <v>-206463</v>
      </c>
      <c r="I20" s="1768">
        <f t="shared" si="5"/>
        <v>9889</v>
      </c>
      <c r="J20" s="1768">
        <f t="shared" si="5"/>
        <v>0</v>
      </c>
      <c r="K20" s="1768">
        <f t="shared" si="5"/>
        <v>0</v>
      </c>
      <c r="L20" s="347"/>
    </row>
    <row r="21" spans="1:12" ht="16.7" customHeight="1" thickTop="1" x14ac:dyDescent="0.2">
      <c r="A21" s="2173" t="s">
        <v>616</v>
      </c>
      <c r="B21" s="2174"/>
      <c r="C21" s="1592"/>
      <c r="D21" s="1593"/>
      <c r="E21" s="1593"/>
      <c r="F21" s="1593"/>
      <c r="G21" s="1593"/>
      <c r="H21" s="1593"/>
      <c r="I21" s="1593"/>
      <c r="J21" s="1593"/>
      <c r="K21" s="1594"/>
      <c r="L21" s="524"/>
    </row>
    <row r="22" spans="1:12" ht="15.75" customHeight="1" collapsed="1" x14ac:dyDescent="0.2">
      <c r="A22" s="2169" t="s">
        <v>617</v>
      </c>
      <c r="B22" s="2170"/>
      <c r="C22" s="477"/>
      <c r="D22" s="477"/>
      <c r="E22" s="477"/>
      <c r="F22" s="477"/>
      <c r="G22" s="477"/>
      <c r="H22" s="477"/>
      <c r="I22" s="477"/>
      <c r="J22" s="477"/>
      <c r="K22" s="477"/>
      <c r="L22" s="347"/>
    </row>
    <row r="23" spans="1:12" s="485" customFormat="1" ht="15.75" customHeight="1" x14ac:dyDescent="0.2">
      <c r="A23" s="2165" t="s">
        <v>311</v>
      </c>
      <c r="B23" s="2166"/>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1894</v>
      </c>
      <c r="B30" s="527">
        <v>7160</v>
      </c>
      <c r="C30" s="477"/>
      <c r="D30" s="467">
        <v>0</v>
      </c>
      <c r="E30" s="477"/>
      <c r="F30" s="477"/>
      <c r="G30" s="477"/>
      <c r="H30" s="477"/>
      <c r="I30" s="477"/>
      <c r="J30" s="477"/>
      <c r="K30" s="477"/>
      <c r="L30" s="524"/>
    </row>
    <row r="31" spans="1:12" s="485" customFormat="1" ht="26.25" x14ac:dyDescent="0.2">
      <c r="A31" s="1511" t="s">
        <v>1898</v>
      </c>
      <c r="B31" s="527">
        <v>7170</v>
      </c>
      <c r="C31" s="477"/>
      <c r="D31" s="477"/>
      <c r="E31" s="474">
        <v>0</v>
      </c>
      <c r="F31" s="477"/>
      <c r="G31" s="477"/>
      <c r="H31" s="477"/>
      <c r="I31" s="477"/>
      <c r="J31" s="477"/>
      <c r="K31" s="477"/>
      <c r="L31" s="524"/>
    </row>
    <row r="32" spans="1:12" s="485" customFormat="1" ht="15.75" customHeight="1" x14ac:dyDescent="0.2">
      <c r="A32" s="2167" t="s">
        <v>1038</v>
      </c>
      <c r="B32" s="2168"/>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101382</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75" t="s">
        <v>392</v>
      </c>
      <c r="B44" s="2176"/>
      <c r="C44" s="1725">
        <f>SUM(C24:C43)</f>
        <v>0</v>
      </c>
      <c r="D44" s="1725">
        <f t="shared" ref="D44:K44" si="6">SUM(D24:D43)</f>
        <v>101382</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7" t="s">
        <v>111</v>
      </c>
      <c r="B46" s="217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1897</v>
      </c>
      <c r="B52" s="483">
        <v>8160</v>
      </c>
      <c r="C52" s="477"/>
      <c r="D52" s="477"/>
      <c r="E52" s="477"/>
      <c r="F52" s="477"/>
      <c r="G52" s="477"/>
      <c r="H52" s="477"/>
      <c r="I52" s="477"/>
      <c r="J52" s="477"/>
      <c r="K52" s="1765">
        <f>D30</f>
        <v>0</v>
      </c>
      <c r="L52" s="524"/>
    </row>
    <row r="53" spans="1:12" s="485" customFormat="1" ht="26.25" x14ac:dyDescent="0.2">
      <c r="A53" s="1512" t="s">
        <v>1896</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0</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0</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1" t="s">
        <v>460</v>
      </c>
      <c r="B76" s="2152"/>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53" t="s">
        <v>1239</v>
      </c>
      <c r="B77" s="2154"/>
      <c r="C77" s="1725">
        <f t="shared" ref="C77:K77" si="8">C44-C76</f>
        <v>0</v>
      </c>
      <c r="D77" s="1725">
        <f t="shared" si="8"/>
        <v>101382</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57" t="s">
        <v>618</v>
      </c>
      <c r="B78" s="2158"/>
      <c r="C78" s="1724">
        <f t="shared" ref="C78:K78" si="9">C20+C77</f>
        <v>1189586</v>
      </c>
      <c r="D78" s="1724">
        <f t="shared" si="9"/>
        <v>148518</v>
      </c>
      <c r="E78" s="1724">
        <f t="shared" si="9"/>
        <v>996</v>
      </c>
      <c r="F78" s="1724">
        <f t="shared" si="9"/>
        <v>78778</v>
      </c>
      <c r="G78" s="1724">
        <f t="shared" si="9"/>
        <v>33524</v>
      </c>
      <c r="H78" s="1724">
        <f t="shared" si="9"/>
        <v>-206463</v>
      </c>
      <c r="I78" s="1724">
        <f t="shared" si="9"/>
        <v>9889</v>
      </c>
      <c r="J78" s="1724">
        <f t="shared" si="9"/>
        <v>0</v>
      </c>
      <c r="K78" s="1724">
        <f t="shared" si="9"/>
        <v>0</v>
      </c>
      <c r="L78" s="533"/>
    </row>
    <row r="79" spans="1:12" ht="13.5" thickTop="1" x14ac:dyDescent="0.2">
      <c r="A79" s="1516" t="s">
        <v>2070</v>
      </c>
      <c r="B79" s="534"/>
      <c r="C79" s="478">
        <v>5926447</v>
      </c>
      <c r="D79" s="535">
        <v>948711</v>
      </c>
      <c r="E79" s="535">
        <v>117133</v>
      </c>
      <c r="F79" s="535">
        <v>751013</v>
      </c>
      <c r="G79" s="535">
        <v>260692</v>
      </c>
      <c r="H79" s="535">
        <v>224114</v>
      </c>
      <c r="I79" s="535">
        <v>5741</v>
      </c>
      <c r="J79" s="535">
        <v>0</v>
      </c>
      <c r="K79" s="535">
        <v>0</v>
      </c>
      <c r="L79" s="347"/>
    </row>
    <row r="80" spans="1:12" x14ac:dyDescent="0.2">
      <c r="A80" s="2163" t="s">
        <v>1895</v>
      </c>
      <c r="B80" s="2164"/>
      <c r="C80" s="467"/>
      <c r="D80" s="467"/>
      <c r="E80" s="467"/>
      <c r="F80" s="467"/>
      <c r="G80" s="467"/>
      <c r="H80" s="467"/>
      <c r="I80" s="467"/>
      <c r="J80" s="467"/>
      <c r="K80" s="467"/>
      <c r="L80" s="347"/>
    </row>
    <row r="81" spans="1:12" ht="13.5" thickBot="1" x14ac:dyDescent="0.25">
      <c r="A81" s="2155" t="s">
        <v>2071</v>
      </c>
      <c r="B81" s="2156"/>
      <c r="C81" s="1710">
        <f>(SUM(C78:C80))</f>
        <v>7116033</v>
      </c>
      <c r="D81" s="1710">
        <f>SUM(D78:D80)</f>
        <v>1097229</v>
      </c>
      <c r="E81" s="1710">
        <f t="shared" ref="E81:K81" si="10">SUM(E78:E80)</f>
        <v>118129</v>
      </c>
      <c r="F81" s="1710">
        <f t="shared" si="10"/>
        <v>829791</v>
      </c>
      <c r="G81" s="1710">
        <f t="shared" si="10"/>
        <v>294216</v>
      </c>
      <c r="H81" s="1710">
        <f t="shared" si="10"/>
        <v>17651</v>
      </c>
      <c r="I81" s="1710">
        <f t="shared" si="10"/>
        <v>15630</v>
      </c>
      <c r="J81" s="1710">
        <f t="shared" si="10"/>
        <v>0</v>
      </c>
      <c r="K81" s="1710">
        <f t="shared" si="10"/>
        <v>0</v>
      </c>
      <c r="L81" s="347"/>
    </row>
    <row r="82" spans="1:12" ht="0.75" customHeight="1" thickTop="1" thickBot="1" x14ac:dyDescent="0.25">
      <c r="A82" s="536" t="s">
        <v>361</v>
      </c>
      <c r="B82" s="537"/>
      <c r="C82" s="538">
        <f>(C81-C79)</f>
        <v>1189586</v>
      </c>
      <c r="D82" s="538">
        <f t="shared" ref="D82:K82" si="11">(D81-D79)</f>
        <v>148518</v>
      </c>
      <c r="E82" s="538">
        <f t="shared" si="11"/>
        <v>996</v>
      </c>
      <c r="F82" s="538">
        <f t="shared" si="11"/>
        <v>78778</v>
      </c>
      <c r="G82" s="538">
        <f t="shared" si="11"/>
        <v>33524</v>
      </c>
      <c r="H82" s="538">
        <f t="shared" si="11"/>
        <v>-206463</v>
      </c>
      <c r="I82" s="538">
        <f t="shared" si="11"/>
        <v>9889</v>
      </c>
      <c r="J82" s="538">
        <f t="shared" si="11"/>
        <v>0</v>
      </c>
      <c r="K82" s="538">
        <f t="shared" si="11"/>
        <v>0</v>
      </c>
    </row>
    <row r="83" spans="1:12" ht="14.25" hidden="1" thickTop="1" thickBot="1" x14ac:dyDescent="0.25">
      <c r="A83" s="539" t="s">
        <v>362</v>
      </c>
      <c r="B83" s="464"/>
      <c r="C83" s="540">
        <f>C82/C81</f>
        <v>0.16716982622199755</v>
      </c>
      <c r="D83" s="540">
        <f t="shared" ref="D83:K83" si="12">D82/D81</f>
        <v>0.13535734108376646</v>
      </c>
      <c r="E83" s="540">
        <f t="shared" si="12"/>
        <v>8.4314605219717436E-3</v>
      </c>
      <c r="F83" s="540">
        <f t="shared" si="12"/>
        <v>9.4937158874945624E-2</v>
      </c>
      <c r="G83" s="540">
        <f t="shared" si="12"/>
        <v>0.11394349729450472</v>
      </c>
      <c r="H83" s="540">
        <f t="shared" si="12"/>
        <v>-11.696957679451589</v>
      </c>
      <c r="I83" s="540">
        <f t="shared" si="12"/>
        <v>0.63269353806781825</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42" activePane="bottomLeft" state="frozen"/>
      <selection activeCell="J48" sqref="J48:J49"/>
      <selection pane="bottomLeft" activeCell="D65" sqref="D6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1902</v>
      </c>
      <c r="B1" s="452"/>
      <c r="C1" s="453" t="s">
        <v>445</v>
      </c>
      <c r="D1" s="453" t="s">
        <v>446</v>
      </c>
      <c r="E1" s="453" t="s">
        <v>447</v>
      </c>
      <c r="F1" s="453" t="s">
        <v>448</v>
      </c>
      <c r="G1" s="453" t="s">
        <v>449</v>
      </c>
      <c r="H1" s="453" t="s">
        <v>450</v>
      </c>
      <c r="I1" s="453" t="s">
        <v>451</v>
      </c>
      <c r="J1" s="453" t="s">
        <v>452</v>
      </c>
      <c r="K1" s="453" t="s">
        <v>780</v>
      </c>
    </row>
    <row r="2" spans="1:12" ht="36" x14ac:dyDescent="0.2">
      <c r="A2" s="216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5566770</v>
      </c>
      <c r="D5" s="481">
        <v>732853</v>
      </c>
      <c r="E5" s="466">
        <v>205319</v>
      </c>
      <c r="F5" s="548">
        <v>222099</v>
      </c>
      <c r="G5" s="466">
        <v>96124</v>
      </c>
      <c r="H5" s="466">
        <v>0</v>
      </c>
      <c r="I5" s="466">
        <v>9839</v>
      </c>
      <c r="J5" s="467">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9">
        <v>1140</v>
      </c>
      <c r="C7" s="466">
        <v>57364</v>
      </c>
      <c r="D7" s="466">
        <v>0</v>
      </c>
      <c r="E7" s="468"/>
      <c r="F7" s="467">
        <v>0</v>
      </c>
      <c r="G7" s="467">
        <v>0</v>
      </c>
      <c r="H7" s="467">
        <v>0</v>
      </c>
      <c r="I7" s="468"/>
      <c r="J7" s="468"/>
      <c r="K7" s="468"/>
    </row>
    <row r="8" spans="1:12" x14ac:dyDescent="0.2">
      <c r="A8" s="463" t="s">
        <v>433</v>
      </c>
      <c r="B8" s="470">
        <v>1150</v>
      </c>
      <c r="C8" s="475"/>
      <c r="D8" s="475"/>
      <c r="E8" s="477"/>
      <c r="F8" s="477"/>
      <c r="G8" s="481">
        <v>179225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5624134</v>
      </c>
      <c r="D12" s="1729">
        <f t="shared" si="0"/>
        <v>732853</v>
      </c>
      <c r="E12" s="1729">
        <f t="shared" si="0"/>
        <v>205319</v>
      </c>
      <c r="F12" s="1729">
        <f t="shared" si="0"/>
        <v>222099</v>
      </c>
      <c r="G12" s="1729">
        <f t="shared" si="0"/>
        <v>275349</v>
      </c>
      <c r="H12" s="1729">
        <f t="shared" si="0"/>
        <v>0</v>
      </c>
      <c r="I12" s="1729">
        <f t="shared" si="0"/>
        <v>9839</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269217</v>
      </c>
      <c r="D16" s="466">
        <v>243000</v>
      </c>
      <c r="E16" s="466">
        <v>0</v>
      </c>
      <c r="F16" s="466">
        <v>0</v>
      </c>
      <c r="G16" s="466">
        <v>30000</v>
      </c>
      <c r="H16" s="466">
        <v>0</v>
      </c>
      <c r="I16" s="466">
        <v>0</v>
      </c>
      <c r="J16" s="467">
        <v>0</v>
      </c>
      <c r="K16" s="466">
        <v>0</v>
      </c>
    </row>
    <row r="17" spans="1:11" ht="12.75" customHeight="1" x14ac:dyDescent="0.2">
      <c r="A17" s="463" t="s">
        <v>840</v>
      </c>
      <c r="B17" s="470">
        <v>1290</v>
      </c>
      <c r="C17" s="551">
        <v>1299</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270516</v>
      </c>
      <c r="D18" s="1732">
        <f t="shared" ref="D18:K18" si="1">SUM(D14:D17)</f>
        <v>243000</v>
      </c>
      <c r="E18" s="1732">
        <f t="shared" si="1"/>
        <v>0</v>
      </c>
      <c r="F18" s="1732">
        <f t="shared" si="1"/>
        <v>0</v>
      </c>
      <c r="G18" s="1732">
        <f t="shared" si="1"/>
        <v>30000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106822</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106822</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26105</v>
      </c>
      <c r="D65" s="466">
        <v>4808</v>
      </c>
      <c r="E65" s="466">
        <v>177</v>
      </c>
      <c r="F65" s="467">
        <v>3547</v>
      </c>
      <c r="G65" s="466">
        <v>1117</v>
      </c>
      <c r="H65" s="466">
        <v>1331</v>
      </c>
      <c r="I65" s="466">
        <v>50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26105</v>
      </c>
      <c r="D67" s="1710">
        <f t="shared" ref="D67:K67" si="2">SUM(D65:D66)</f>
        <v>4808</v>
      </c>
      <c r="E67" s="1710">
        <f t="shared" si="2"/>
        <v>177</v>
      </c>
      <c r="F67" s="1710">
        <f t="shared" si="2"/>
        <v>3547</v>
      </c>
      <c r="G67" s="1710">
        <f t="shared" si="2"/>
        <v>1117</v>
      </c>
      <c r="H67" s="1710">
        <f t="shared" si="2"/>
        <v>1331</v>
      </c>
      <c r="I67" s="1710">
        <f t="shared" si="2"/>
        <v>50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135028</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4105</v>
      </c>
      <c r="D72" s="468"/>
      <c r="E72" s="468"/>
      <c r="F72" s="468"/>
      <c r="G72" s="468"/>
      <c r="H72" s="468"/>
      <c r="I72" s="468"/>
      <c r="J72" s="468"/>
      <c r="K72" s="468"/>
    </row>
    <row r="73" spans="1:11" ht="12.75" customHeight="1" x14ac:dyDescent="0.2">
      <c r="A73" s="463" t="s">
        <v>1055</v>
      </c>
      <c r="B73" s="470">
        <v>1620</v>
      </c>
      <c r="C73" s="551">
        <v>6286</v>
      </c>
      <c r="D73" s="468"/>
      <c r="E73" s="468"/>
      <c r="F73" s="468"/>
      <c r="G73" s="468"/>
      <c r="H73" s="468"/>
      <c r="I73" s="468"/>
      <c r="J73" s="468"/>
      <c r="K73" s="468"/>
    </row>
    <row r="74" spans="1:11" ht="12.75" customHeight="1" x14ac:dyDescent="0.2">
      <c r="A74" s="463" t="s">
        <v>25</v>
      </c>
      <c r="B74" s="470">
        <v>1690</v>
      </c>
      <c r="C74" s="551">
        <v>3340</v>
      </c>
      <c r="D74" s="468"/>
      <c r="E74" s="468"/>
      <c r="F74" s="468"/>
      <c r="G74" s="468"/>
      <c r="H74" s="468"/>
      <c r="I74" s="468"/>
      <c r="J74" s="468"/>
      <c r="K74" s="468"/>
    </row>
    <row r="75" spans="1:11" ht="12.75" customHeight="1" thickBot="1" x14ac:dyDescent="0.25">
      <c r="A75" s="1730" t="s">
        <v>569</v>
      </c>
      <c r="B75" s="1731"/>
      <c r="C75" s="1710">
        <f>SUM(C69:C74)</f>
        <v>148759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3120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39078</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676</v>
      </c>
      <c r="D81" s="466">
        <v>0</v>
      </c>
      <c r="E81" s="468"/>
      <c r="F81" s="468"/>
      <c r="G81" s="468"/>
      <c r="H81" s="468"/>
      <c r="I81" s="468"/>
      <c r="J81" s="468"/>
      <c r="K81" s="468"/>
    </row>
    <row r="82" spans="1:11" ht="12.75" customHeight="1" thickBot="1" x14ac:dyDescent="0.25">
      <c r="A82" s="1730" t="s">
        <v>259</v>
      </c>
      <c r="B82" s="1731"/>
      <c r="C82" s="1729">
        <f>SUM(C77:C81)</f>
        <v>42874</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72158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72158</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0</v>
      </c>
      <c r="D95" s="551">
        <v>3775</v>
      </c>
      <c r="E95" s="521"/>
      <c r="F95" s="521"/>
      <c r="G95" s="521"/>
      <c r="H95" s="521"/>
      <c r="I95" s="521"/>
      <c r="J95" s="521"/>
      <c r="K95" s="521"/>
    </row>
    <row r="96" spans="1:11" ht="12.75" customHeight="1" x14ac:dyDescent="0.2">
      <c r="A96" s="463" t="s">
        <v>409</v>
      </c>
      <c r="B96" s="470">
        <v>1920</v>
      </c>
      <c r="C96" s="551">
        <v>27085</v>
      </c>
      <c r="D96" s="551">
        <v>10000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6906</v>
      </c>
      <c r="I97" s="467">
        <v>0</v>
      </c>
      <c r="J97" s="467">
        <v>0</v>
      </c>
      <c r="K97" s="467">
        <v>0</v>
      </c>
    </row>
    <row r="98" spans="1:12" ht="12.75" customHeight="1" x14ac:dyDescent="0.2">
      <c r="A98" s="463" t="s">
        <v>198</v>
      </c>
      <c r="B98" s="470">
        <v>1940</v>
      </c>
      <c r="C98" s="489">
        <v>16580</v>
      </c>
      <c r="D98" s="466">
        <v>0</v>
      </c>
      <c r="E98" s="512"/>
      <c r="F98" s="466">
        <v>4236</v>
      </c>
      <c r="G98" s="512"/>
      <c r="H98" s="512"/>
      <c r="I98" s="510"/>
      <c r="J98" s="512"/>
      <c r="K98" s="512"/>
    </row>
    <row r="99" spans="1:12" ht="12.75" customHeight="1" x14ac:dyDescent="0.2">
      <c r="A99" s="463" t="s">
        <v>875</v>
      </c>
      <c r="B99" s="470">
        <v>1950</v>
      </c>
      <c r="C99" s="489">
        <v>3022</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74</v>
      </c>
      <c r="D107" s="466">
        <v>1481</v>
      </c>
      <c r="E107" s="466">
        <v>0</v>
      </c>
      <c r="F107" s="466">
        <v>7032</v>
      </c>
      <c r="G107" s="466">
        <v>0</v>
      </c>
      <c r="H107" s="466">
        <v>0</v>
      </c>
      <c r="I107" s="466">
        <v>0</v>
      </c>
      <c r="J107" s="467">
        <v>0</v>
      </c>
      <c r="K107" s="466">
        <v>0</v>
      </c>
    </row>
    <row r="108" spans="1:12" ht="12.75" customHeight="1" thickBot="1" x14ac:dyDescent="0.25">
      <c r="A108" s="1730" t="s">
        <v>508</v>
      </c>
      <c r="B108" s="1734"/>
      <c r="C108" s="1729">
        <f>SUM(C95:C107)</f>
        <v>46761</v>
      </c>
      <c r="D108" s="1729">
        <f t="shared" ref="D108:K108" si="3">SUM(D95:D107)</f>
        <v>15256</v>
      </c>
      <c r="E108" s="1729">
        <f t="shared" si="3"/>
        <v>0</v>
      </c>
      <c r="F108" s="1729">
        <f t="shared" si="3"/>
        <v>11268</v>
      </c>
      <c r="G108" s="1729">
        <f t="shared" si="3"/>
        <v>0</v>
      </c>
      <c r="H108" s="1729">
        <f t="shared" si="3"/>
        <v>6906</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6338129</v>
      </c>
      <c r="D109" s="1737">
        <f t="shared" si="4"/>
        <v>995917</v>
      </c>
      <c r="E109" s="1737">
        <f t="shared" si="4"/>
        <v>205496</v>
      </c>
      <c r="F109" s="1737">
        <f t="shared" si="4"/>
        <v>236914</v>
      </c>
      <c r="G109" s="1737">
        <f t="shared" si="4"/>
        <v>306466</v>
      </c>
      <c r="H109" s="1737">
        <f t="shared" si="4"/>
        <v>8237</v>
      </c>
      <c r="I109" s="1737">
        <f t="shared" si="4"/>
        <v>9889</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1407213</v>
      </c>
      <c r="D117" s="481">
        <v>251000</v>
      </c>
      <c r="E117" s="466">
        <v>0</v>
      </c>
      <c r="F117" s="481">
        <v>59507</v>
      </c>
      <c r="G117" s="481">
        <v>30000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8"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1407213</v>
      </c>
      <c r="D121" s="1729">
        <f t="shared" si="5"/>
        <v>251000</v>
      </c>
      <c r="E121" s="1729">
        <f t="shared" si="5"/>
        <v>0</v>
      </c>
      <c r="F121" s="1729">
        <f t="shared" si="5"/>
        <v>59507</v>
      </c>
      <c r="G121" s="1729">
        <f t="shared" si="5"/>
        <v>30000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55488</v>
      </c>
      <c r="D124" s="561"/>
      <c r="E124" s="468"/>
      <c r="F124" s="548">
        <v>0</v>
      </c>
      <c r="G124" s="468"/>
      <c r="H124" s="468"/>
      <c r="I124" s="468"/>
      <c r="J124" s="468"/>
      <c r="K124" s="468"/>
    </row>
    <row r="125" spans="1:11" ht="12.75" customHeight="1" x14ac:dyDescent="0.2">
      <c r="A125" s="463" t="s">
        <v>1521</v>
      </c>
      <c r="B125" s="562">
        <v>3105</v>
      </c>
      <c r="C125" s="466">
        <v>67270</v>
      </c>
      <c r="D125" s="561"/>
      <c r="E125" s="468"/>
      <c r="F125" s="466">
        <v>0</v>
      </c>
      <c r="G125" s="468"/>
      <c r="H125" s="468"/>
      <c r="I125" s="468"/>
      <c r="J125" s="468"/>
      <c r="K125" s="468"/>
    </row>
    <row r="126" spans="1:11" ht="12.75" customHeight="1" x14ac:dyDescent="0.2">
      <c r="A126" s="463" t="s">
        <v>922</v>
      </c>
      <c r="B126" s="562">
        <v>3110</v>
      </c>
      <c r="C126" s="551">
        <v>95859</v>
      </c>
      <c r="D126" s="466">
        <v>0</v>
      </c>
      <c r="E126" s="468"/>
      <c r="F126" s="466">
        <v>0</v>
      </c>
      <c r="G126" s="468"/>
      <c r="H126" s="468"/>
      <c r="I126" s="468"/>
      <c r="J126" s="468"/>
      <c r="K126" s="468"/>
    </row>
    <row r="127" spans="1:11" ht="12.75" customHeight="1" x14ac:dyDescent="0.2">
      <c r="A127" s="463" t="s">
        <v>107</v>
      </c>
      <c r="B127" s="562">
        <v>3120</v>
      </c>
      <c r="C127" s="466">
        <v>45447</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1431</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265495</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37020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37020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3368</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137956</v>
      </c>
      <c r="G151" s="467">
        <v>0</v>
      </c>
      <c r="H151" s="468"/>
      <c r="I151" s="468"/>
      <c r="J151" s="468"/>
      <c r="K151" s="468"/>
    </row>
    <row r="152" spans="1:11" ht="12.75" customHeight="1" x14ac:dyDescent="0.2">
      <c r="A152" s="463" t="s">
        <v>1117</v>
      </c>
      <c r="B152" s="562">
        <v>3510</v>
      </c>
      <c r="C152" s="551">
        <v>0</v>
      </c>
      <c r="D152" s="466">
        <v>0</v>
      </c>
      <c r="E152" s="561"/>
      <c r="F152" s="466">
        <v>219866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357822</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215800</v>
      </c>
      <c r="D158" s="578">
        <v>0</v>
      </c>
      <c r="E158" s="561"/>
      <c r="F158" s="576">
        <v>15000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20213</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4700</v>
      </c>
      <c r="D171" s="580">
        <v>0</v>
      </c>
      <c r="E171" s="580">
        <v>0</v>
      </c>
      <c r="F171" s="580">
        <v>0</v>
      </c>
      <c r="G171" s="581">
        <v>0</v>
      </c>
      <c r="H171" s="582">
        <v>0</v>
      </c>
      <c r="I171" s="581">
        <v>0</v>
      </c>
      <c r="J171" s="581">
        <v>0</v>
      </c>
      <c r="K171" s="582">
        <v>0</v>
      </c>
    </row>
    <row r="172" spans="1:11" ht="12.75" customHeight="1" thickTop="1" thickBot="1" x14ac:dyDescent="0.25">
      <c r="A172" s="2179" t="s">
        <v>418</v>
      </c>
      <c r="B172" s="2180"/>
      <c r="C172" s="1744">
        <f t="shared" ref="C172:K172" si="6">SUM(C131,C140,C144,C145:C149,C154,C155:C170,C171)</f>
        <v>526383</v>
      </c>
      <c r="D172" s="1744">
        <f t="shared" si="6"/>
        <v>20213</v>
      </c>
      <c r="E172" s="1744">
        <f t="shared" si="6"/>
        <v>0</v>
      </c>
      <c r="F172" s="1744">
        <f t="shared" si="6"/>
        <v>372822</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1933596</v>
      </c>
      <c r="D173" s="1737">
        <f>SUM(D121,D172)</f>
        <v>271213</v>
      </c>
      <c r="E173" s="1737">
        <f>SUM(E121,E172)</f>
        <v>0</v>
      </c>
      <c r="F173" s="1737">
        <f t="shared" ref="F173:K173" si="7">SUM(F121,F172)</f>
        <v>432329</v>
      </c>
      <c r="G173" s="1737">
        <f t="shared" si="7"/>
        <v>30000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81" t="s">
        <v>1572</v>
      </c>
      <c r="B175" s="218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85" t="s">
        <v>1764</v>
      </c>
      <c r="B178" s="2186"/>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9" t="s">
        <v>1763</v>
      </c>
      <c r="B179" s="219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87" t="s">
        <v>818</v>
      </c>
      <c r="B184" s="2188"/>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83" t="s">
        <v>1903</v>
      </c>
      <c r="B185" s="218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209445</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38396</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247841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117446</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117446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13917</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251053</v>
      </c>
      <c r="D220" s="466">
        <v>0</v>
      </c>
      <c r="E220" s="468"/>
      <c r="F220" s="466">
        <v>0</v>
      </c>
      <c r="G220" s="466">
        <v>0</v>
      </c>
      <c r="H220" s="468"/>
      <c r="I220" s="468"/>
      <c r="J220" s="468"/>
      <c r="K220" s="468"/>
    </row>
    <row r="221" spans="1:11" ht="12.75" customHeight="1" x14ac:dyDescent="0.2">
      <c r="A221" s="463" t="s">
        <v>1114</v>
      </c>
      <c r="B221" s="470">
        <v>4625</v>
      </c>
      <c r="C221" s="551">
        <v>3940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268910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8299</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33690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23408</v>
      </c>
      <c r="D270" s="576">
        <v>0</v>
      </c>
      <c r="E270" s="468"/>
      <c r="F270" s="576">
        <v>0</v>
      </c>
      <c r="G270" s="576">
        <v>0</v>
      </c>
      <c r="H270" s="468"/>
      <c r="I270" s="468"/>
      <c r="J270" s="468"/>
      <c r="K270" s="468"/>
    </row>
    <row r="271" spans="1:11" ht="12.75" customHeight="1" thickTop="1" thickBot="1" x14ac:dyDescent="0.25">
      <c r="A271" s="463" t="s">
        <v>395</v>
      </c>
      <c r="B271" s="470">
        <v>4992</v>
      </c>
      <c r="C271" s="575">
        <v>52090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761684</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761684</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9033409</v>
      </c>
      <c r="D275" s="1737">
        <f t="shared" si="12"/>
        <v>1267130</v>
      </c>
      <c r="E275" s="1737">
        <f t="shared" si="12"/>
        <v>205496</v>
      </c>
      <c r="F275" s="1737">
        <f t="shared" si="12"/>
        <v>669243</v>
      </c>
      <c r="G275" s="1737">
        <f t="shared" si="12"/>
        <v>336466</v>
      </c>
      <c r="H275" s="1737">
        <f t="shared" si="12"/>
        <v>8237</v>
      </c>
      <c r="I275" s="1737">
        <f t="shared" si="12"/>
        <v>9889</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48" sqref="J48:J49"/>
      <selection pane="bottomLeft" activeCell="J48" sqref="J48:J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9"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1"/>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7" t="s">
        <v>315</v>
      </c>
      <c r="B3" s="2198"/>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2816147</v>
      </c>
      <c r="D5" s="466">
        <v>386597</v>
      </c>
      <c r="E5" s="466">
        <v>26735</v>
      </c>
      <c r="F5" s="466">
        <v>96424</v>
      </c>
      <c r="G5" s="466">
        <v>23064</v>
      </c>
      <c r="H5" s="466">
        <v>0</v>
      </c>
      <c r="I5" s="467">
        <v>2519</v>
      </c>
      <c r="J5" s="467">
        <v>0</v>
      </c>
      <c r="K5" s="1693">
        <f>SUM(C5:J5)</f>
        <v>3351486</v>
      </c>
      <c r="L5" s="466">
        <v>3504565</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144344</v>
      </c>
      <c r="D7" s="467">
        <v>29946</v>
      </c>
      <c r="E7" s="467">
        <v>2199</v>
      </c>
      <c r="F7" s="467">
        <v>3143</v>
      </c>
      <c r="G7" s="467">
        <v>0</v>
      </c>
      <c r="H7" s="467">
        <v>0</v>
      </c>
      <c r="I7" s="467">
        <v>0</v>
      </c>
      <c r="J7" s="467">
        <v>0</v>
      </c>
      <c r="K7" s="1693">
        <f t="shared" ref="K7:K32" si="0">SUM(C7:J7)</f>
        <v>179632</v>
      </c>
      <c r="L7" s="466">
        <v>181185</v>
      </c>
    </row>
    <row r="8" spans="1:14" x14ac:dyDescent="0.2">
      <c r="A8" s="1526" t="s">
        <v>166</v>
      </c>
      <c r="B8" s="615">
        <v>1200</v>
      </c>
      <c r="C8" s="466">
        <v>630962</v>
      </c>
      <c r="D8" s="466">
        <v>126154</v>
      </c>
      <c r="E8" s="466">
        <v>640</v>
      </c>
      <c r="F8" s="466">
        <v>20206</v>
      </c>
      <c r="G8" s="466">
        <v>0</v>
      </c>
      <c r="H8" s="466">
        <v>0</v>
      </c>
      <c r="I8" s="467">
        <v>0</v>
      </c>
      <c r="J8" s="467">
        <v>0</v>
      </c>
      <c r="K8" s="1693">
        <f t="shared" si="0"/>
        <v>777962</v>
      </c>
      <c r="L8" s="466">
        <v>818262</v>
      </c>
    </row>
    <row r="9" spans="1:14" x14ac:dyDescent="0.2">
      <c r="A9" s="1526" t="s">
        <v>745</v>
      </c>
      <c r="B9" s="615" t="s">
        <v>1025</v>
      </c>
      <c r="C9" s="467">
        <v>46335</v>
      </c>
      <c r="D9" s="467">
        <v>7284</v>
      </c>
      <c r="E9" s="467">
        <v>0</v>
      </c>
      <c r="F9" s="467">
        <v>0</v>
      </c>
      <c r="G9" s="467">
        <v>0</v>
      </c>
      <c r="H9" s="467">
        <v>0</v>
      </c>
      <c r="I9" s="467">
        <v>0</v>
      </c>
      <c r="J9" s="467">
        <v>0</v>
      </c>
      <c r="K9" s="1693">
        <f t="shared" si="0"/>
        <v>53619</v>
      </c>
      <c r="L9" s="466">
        <v>93840</v>
      </c>
    </row>
    <row r="10" spans="1:14" x14ac:dyDescent="0.2">
      <c r="A10" s="1526" t="s">
        <v>746</v>
      </c>
      <c r="B10" s="615">
        <v>1250</v>
      </c>
      <c r="C10" s="466">
        <v>0</v>
      </c>
      <c r="D10" s="466">
        <v>0</v>
      </c>
      <c r="E10" s="466">
        <v>0</v>
      </c>
      <c r="F10" s="466">
        <v>0</v>
      </c>
      <c r="G10" s="466">
        <v>0</v>
      </c>
      <c r="H10" s="466">
        <v>0</v>
      </c>
      <c r="I10" s="467">
        <v>0</v>
      </c>
      <c r="J10" s="467">
        <v>0</v>
      </c>
      <c r="K10" s="1693">
        <f t="shared" si="0"/>
        <v>0</v>
      </c>
      <c r="L10" s="466">
        <v>0</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42601</v>
      </c>
      <c r="D14" s="466">
        <v>527</v>
      </c>
      <c r="E14" s="466">
        <v>2926</v>
      </c>
      <c r="F14" s="466">
        <v>809</v>
      </c>
      <c r="G14" s="466">
        <v>0</v>
      </c>
      <c r="H14" s="466">
        <v>1180</v>
      </c>
      <c r="I14" s="467">
        <v>0</v>
      </c>
      <c r="J14" s="467">
        <v>0</v>
      </c>
      <c r="K14" s="1693">
        <f t="shared" si="0"/>
        <v>48043</v>
      </c>
      <c r="L14" s="466">
        <v>60428</v>
      </c>
    </row>
    <row r="15" spans="1:14" x14ac:dyDescent="0.2">
      <c r="A15" s="1526" t="s">
        <v>1021</v>
      </c>
      <c r="B15" s="615">
        <v>1600</v>
      </c>
      <c r="C15" s="466">
        <v>7671</v>
      </c>
      <c r="D15" s="466">
        <v>80</v>
      </c>
      <c r="E15" s="466">
        <v>0</v>
      </c>
      <c r="F15" s="466">
        <v>0</v>
      </c>
      <c r="G15" s="466">
        <v>0</v>
      </c>
      <c r="H15" s="466">
        <v>0</v>
      </c>
      <c r="I15" s="467">
        <v>0</v>
      </c>
      <c r="J15" s="467">
        <v>0</v>
      </c>
      <c r="K15" s="1693">
        <f t="shared" si="0"/>
        <v>7751</v>
      </c>
      <c r="L15" s="466">
        <v>14423</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124853</v>
      </c>
      <c r="D18" s="466">
        <v>21199</v>
      </c>
      <c r="E18" s="466">
        <v>0</v>
      </c>
      <c r="F18" s="466">
        <v>220</v>
      </c>
      <c r="G18" s="466">
        <v>0</v>
      </c>
      <c r="H18" s="466">
        <v>0</v>
      </c>
      <c r="I18" s="467">
        <v>0</v>
      </c>
      <c r="J18" s="467">
        <v>0</v>
      </c>
      <c r="K18" s="1693">
        <f t="shared" si="0"/>
        <v>146272</v>
      </c>
      <c r="L18" s="466">
        <v>160787</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194212</v>
      </c>
      <c r="I22" s="617"/>
      <c r="J22" s="477"/>
      <c r="K22" s="1693">
        <f t="shared" si="0"/>
        <v>194212</v>
      </c>
      <c r="L22" s="471">
        <v>200000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3812913</v>
      </c>
      <c r="D33" s="1692">
        <f t="shared" ref="D33:L33" si="1">SUM(D5:D32)</f>
        <v>571787</v>
      </c>
      <c r="E33" s="1692">
        <f t="shared" si="1"/>
        <v>32500</v>
      </c>
      <c r="F33" s="1692">
        <f t="shared" si="1"/>
        <v>120802</v>
      </c>
      <c r="G33" s="1692">
        <f t="shared" si="1"/>
        <v>23064</v>
      </c>
      <c r="H33" s="1692">
        <f t="shared" si="1"/>
        <v>195392</v>
      </c>
      <c r="I33" s="1692">
        <f t="shared" si="1"/>
        <v>2519</v>
      </c>
      <c r="J33" s="1692">
        <f t="shared" si="1"/>
        <v>0</v>
      </c>
      <c r="K33" s="1692">
        <f t="shared" si="1"/>
        <v>4758977</v>
      </c>
      <c r="L33" s="1692">
        <f t="shared" si="1"/>
        <v>5033490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179551</v>
      </c>
      <c r="D36" s="481">
        <v>24792</v>
      </c>
      <c r="E36" s="481">
        <v>0</v>
      </c>
      <c r="F36" s="481">
        <v>96</v>
      </c>
      <c r="G36" s="481">
        <v>0</v>
      </c>
      <c r="H36" s="481">
        <v>0</v>
      </c>
      <c r="I36" s="467">
        <v>0</v>
      </c>
      <c r="J36" s="467">
        <v>0</v>
      </c>
      <c r="K36" s="1693">
        <f t="shared" ref="K36:K41" si="2">SUM(C36:J36)</f>
        <v>204439</v>
      </c>
      <c r="L36" s="466">
        <v>207452</v>
      </c>
    </row>
    <row r="37" spans="1:14" x14ac:dyDescent="0.2">
      <c r="A37" s="1526" t="s">
        <v>1151</v>
      </c>
      <c r="B37" s="615">
        <v>2120</v>
      </c>
      <c r="C37" s="466">
        <v>55791</v>
      </c>
      <c r="D37" s="466">
        <v>8545</v>
      </c>
      <c r="E37" s="466">
        <v>0</v>
      </c>
      <c r="F37" s="466">
        <v>56</v>
      </c>
      <c r="G37" s="466">
        <v>0</v>
      </c>
      <c r="H37" s="466">
        <v>0</v>
      </c>
      <c r="I37" s="467">
        <v>0</v>
      </c>
      <c r="J37" s="467">
        <v>0</v>
      </c>
      <c r="K37" s="1693">
        <f t="shared" si="2"/>
        <v>64392</v>
      </c>
      <c r="L37" s="466">
        <v>66719</v>
      </c>
    </row>
    <row r="38" spans="1:14" x14ac:dyDescent="0.2">
      <c r="A38" s="1526" t="s">
        <v>207</v>
      </c>
      <c r="B38" s="615">
        <v>2130</v>
      </c>
      <c r="C38" s="466">
        <v>133604</v>
      </c>
      <c r="D38" s="466">
        <v>13331</v>
      </c>
      <c r="E38" s="466">
        <v>23709</v>
      </c>
      <c r="F38" s="466">
        <v>1044</v>
      </c>
      <c r="G38" s="466">
        <v>0</v>
      </c>
      <c r="H38" s="466">
        <v>135</v>
      </c>
      <c r="I38" s="467">
        <v>0</v>
      </c>
      <c r="J38" s="467">
        <v>0</v>
      </c>
      <c r="K38" s="1693">
        <f t="shared" si="2"/>
        <v>171823</v>
      </c>
      <c r="L38" s="466">
        <v>180505</v>
      </c>
    </row>
    <row r="39" spans="1:14" x14ac:dyDescent="0.2">
      <c r="A39" s="1526" t="s">
        <v>208</v>
      </c>
      <c r="B39" s="615">
        <v>2140</v>
      </c>
      <c r="C39" s="466">
        <v>105204</v>
      </c>
      <c r="D39" s="466">
        <v>9695</v>
      </c>
      <c r="E39" s="466">
        <v>5142</v>
      </c>
      <c r="F39" s="466">
        <v>3187</v>
      </c>
      <c r="G39" s="466">
        <v>0</v>
      </c>
      <c r="H39" s="466">
        <v>0</v>
      </c>
      <c r="I39" s="467">
        <v>0</v>
      </c>
      <c r="J39" s="467">
        <v>0</v>
      </c>
      <c r="K39" s="1693">
        <f t="shared" si="2"/>
        <v>123228</v>
      </c>
      <c r="L39" s="466">
        <v>117874</v>
      </c>
    </row>
    <row r="40" spans="1:14" x14ac:dyDescent="0.2">
      <c r="A40" s="1526" t="s">
        <v>209</v>
      </c>
      <c r="B40" s="615">
        <v>2150</v>
      </c>
      <c r="C40" s="466">
        <v>223909</v>
      </c>
      <c r="D40" s="466">
        <v>16687</v>
      </c>
      <c r="E40" s="466">
        <v>500</v>
      </c>
      <c r="F40" s="466">
        <v>699</v>
      </c>
      <c r="G40" s="466">
        <v>0</v>
      </c>
      <c r="H40" s="466">
        <v>0</v>
      </c>
      <c r="I40" s="467">
        <v>0</v>
      </c>
      <c r="J40" s="467">
        <v>0</v>
      </c>
      <c r="K40" s="1693">
        <f t="shared" si="2"/>
        <v>241795</v>
      </c>
      <c r="L40" s="466">
        <v>211062</v>
      </c>
    </row>
    <row r="41" spans="1:14" x14ac:dyDescent="0.2">
      <c r="A41" s="1526" t="s">
        <v>1768</v>
      </c>
      <c r="B41" s="615">
        <v>2190</v>
      </c>
      <c r="C41" s="466">
        <v>6930</v>
      </c>
      <c r="D41" s="466">
        <v>0</v>
      </c>
      <c r="E41" s="466">
        <v>0</v>
      </c>
      <c r="F41" s="466">
        <v>0</v>
      </c>
      <c r="G41" s="466">
        <v>0</v>
      </c>
      <c r="H41" s="466">
        <v>0</v>
      </c>
      <c r="I41" s="467">
        <v>0</v>
      </c>
      <c r="J41" s="467">
        <v>0</v>
      </c>
      <c r="K41" s="1693">
        <f t="shared" si="2"/>
        <v>6930</v>
      </c>
      <c r="L41" s="466">
        <v>10000</v>
      </c>
    </row>
    <row r="42" spans="1:14" ht="12.75" customHeight="1" thickBot="1" x14ac:dyDescent="0.25">
      <c r="A42" s="1690" t="s">
        <v>581</v>
      </c>
      <c r="B42" s="1691" t="s">
        <v>740</v>
      </c>
      <c r="C42" s="1692">
        <f>SUM(C36:C41)</f>
        <v>704989</v>
      </c>
      <c r="D42" s="1692">
        <f t="shared" ref="D42:L42" si="3">SUM(D36:D41)</f>
        <v>73050</v>
      </c>
      <c r="E42" s="1692">
        <f t="shared" si="3"/>
        <v>29351</v>
      </c>
      <c r="F42" s="1692">
        <f t="shared" si="3"/>
        <v>5082</v>
      </c>
      <c r="G42" s="1692">
        <f t="shared" si="3"/>
        <v>0</v>
      </c>
      <c r="H42" s="1692">
        <f t="shared" si="3"/>
        <v>135</v>
      </c>
      <c r="I42" s="1692">
        <f t="shared" si="3"/>
        <v>0</v>
      </c>
      <c r="J42" s="1692">
        <f t="shared" si="3"/>
        <v>0</v>
      </c>
      <c r="K42" s="1692">
        <f t="shared" si="3"/>
        <v>812607</v>
      </c>
      <c r="L42" s="1692">
        <f t="shared" si="3"/>
        <v>793612</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19949</v>
      </c>
      <c r="D44" s="481">
        <v>779</v>
      </c>
      <c r="E44" s="481">
        <v>49003</v>
      </c>
      <c r="F44" s="481">
        <v>140545</v>
      </c>
      <c r="G44" s="481">
        <v>0</v>
      </c>
      <c r="H44" s="481">
        <v>0</v>
      </c>
      <c r="I44" s="467">
        <v>0</v>
      </c>
      <c r="J44" s="467">
        <v>0</v>
      </c>
      <c r="K44" s="1694">
        <f>SUM(C44:J44)</f>
        <v>210276</v>
      </c>
      <c r="L44" s="481">
        <v>154217</v>
      </c>
    </row>
    <row r="45" spans="1:14" x14ac:dyDescent="0.2">
      <c r="A45" s="1526" t="s">
        <v>869</v>
      </c>
      <c r="B45" s="615">
        <v>2220</v>
      </c>
      <c r="C45" s="466">
        <v>46038</v>
      </c>
      <c r="D45" s="466">
        <v>15146</v>
      </c>
      <c r="E45" s="466">
        <v>634</v>
      </c>
      <c r="F45" s="466">
        <v>4097</v>
      </c>
      <c r="G45" s="466">
        <v>0</v>
      </c>
      <c r="H45" s="466">
        <v>0</v>
      </c>
      <c r="I45" s="467">
        <v>0</v>
      </c>
      <c r="J45" s="467">
        <v>0</v>
      </c>
      <c r="K45" s="1694">
        <f>SUM(C45:J45)</f>
        <v>65915</v>
      </c>
      <c r="L45" s="466">
        <v>67227</v>
      </c>
    </row>
    <row r="46" spans="1:14" x14ac:dyDescent="0.2">
      <c r="A46" s="1526" t="s">
        <v>870</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582</v>
      </c>
      <c r="B47" s="1691" t="s">
        <v>32</v>
      </c>
      <c r="C47" s="1692">
        <f>SUM(C44:C46)</f>
        <v>65987</v>
      </c>
      <c r="D47" s="1692">
        <f t="shared" ref="D47:K47" si="4">SUM(D44:D46)</f>
        <v>15925</v>
      </c>
      <c r="E47" s="1692">
        <f t="shared" si="4"/>
        <v>49637</v>
      </c>
      <c r="F47" s="1692">
        <f t="shared" si="4"/>
        <v>144642</v>
      </c>
      <c r="G47" s="1692">
        <f t="shared" si="4"/>
        <v>0</v>
      </c>
      <c r="H47" s="1692">
        <f t="shared" si="4"/>
        <v>0</v>
      </c>
      <c r="I47" s="1692">
        <f t="shared" si="4"/>
        <v>0</v>
      </c>
      <c r="J47" s="1692">
        <f t="shared" si="4"/>
        <v>0</v>
      </c>
      <c r="K47" s="1692">
        <f t="shared" si="4"/>
        <v>276191</v>
      </c>
      <c r="L47" s="1692">
        <f>SUM(L44:L46)</f>
        <v>221444</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8390</v>
      </c>
      <c r="D49" s="481">
        <v>8093</v>
      </c>
      <c r="E49" s="481">
        <v>134955</v>
      </c>
      <c r="F49" s="481">
        <v>7640</v>
      </c>
      <c r="G49" s="481">
        <v>0</v>
      </c>
      <c r="H49" s="481">
        <v>16395</v>
      </c>
      <c r="I49" s="467">
        <v>0</v>
      </c>
      <c r="J49" s="467">
        <v>0</v>
      </c>
      <c r="K49" s="1694">
        <f>SUM(C49:J49)</f>
        <v>175473</v>
      </c>
      <c r="L49" s="481">
        <v>195540</v>
      </c>
    </row>
    <row r="50" spans="1:14" x14ac:dyDescent="0.2">
      <c r="A50" s="1526" t="s">
        <v>872</v>
      </c>
      <c r="B50" s="615">
        <v>2320</v>
      </c>
      <c r="C50" s="466">
        <v>184198</v>
      </c>
      <c r="D50" s="466">
        <v>60183</v>
      </c>
      <c r="E50" s="466">
        <v>4070</v>
      </c>
      <c r="F50" s="466">
        <v>1561</v>
      </c>
      <c r="G50" s="466">
        <v>0</v>
      </c>
      <c r="H50" s="466">
        <v>2770</v>
      </c>
      <c r="I50" s="467">
        <v>0</v>
      </c>
      <c r="J50" s="467">
        <v>0</v>
      </c>
      <c r="K50" s="1694">
        <f>SUM(C50:J50)</f>
        <v>252782</v>
      </c>
      <c r="L50" s="466">
        <v>250182</v>
      </c>
    </row>
    <row r="51" spans="1:14" x14ac:dyDescent="0.2">
      <c r="A51" s="1526" t="s">
        <v>44</v>
      </c>
      <c r="B51" s="615">
        <v>2330</v>
      </c>
      <c r="C51" s="466">
        <v>87613</v>
      </c>
      <c r="D51" s="466">
        <v>8960</v>
      </c>
      <c r="E51" s="466">
        <v>2838</v>
      </c>
      <c r="F51" s="466">
        <v>0</v>
      </c>
      <c r="G51" s="466">
        <v>0</v>
      </c>
      <c r="H51" s="466">
        <v>2018</v>
      </c>
      <c r="I51" s="467">
        <v>0</v>
      </c>
      <c r="J51" s="467">
        <v>0</v>
      </c>
      <c r="K51" s="1694">
        <f>SUM(C51:J51)</f>
        <v>101429</v>
      </c>
      <c r="L51" s="466">
        <v>103600</v>
      </c>
    </row>
    <row r="52" spans="1:14" ht="22.5" x14ac:dyDescent="0.2">
      <c r="A52" s="1527" t="s">
        <v>316</v>
      </c>
      <c r="B52" s="628" t="s">
        <v>384</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741</v>
      </c>
      <c r="B53" s="1691" t="s">
        <v>33</v>
      </c>
      <c r="C53" s="1692">
        <f>SUM(C49:C52)</f>
        <v>280201</v>
      </c>
      <c r="D53" s="1692">
        <f t="shared" ref="D53:L53" si="5">SUM(D49:D52)</f>
        <v>77236</v>
      </c>
      <c r="E53" s="1692">
        <f t="shared" si="5"/>
        <v>141863</v>
      </c>
      <c r="F53" s="1692">
        <f t="shared" si="5"/>
        <v>9201</v>
      </c>
      <c r="G53" s="1692">
        <f t="shared" si="5"/>
        <v>0</v>
      </c>
      <c r="H53" s="1692">
        <f t="shared" si="5"/>
        <v>21183</v>
      </c>
      <c r="I53" s="1692">
        <f t="shared" si="5"/>
        <v>0</v>
      </c>
      <c r="J53" s="1692">
        <f t="shared" si="5"/>
        <v>0</v>
      </c>
      <c r="K53" s="1692">
        <f t="shared" si="5"/>
        <v>529684</v>
      </c>
      <c r="L53" s="1692">
        <f t="shared" si="5"/>
        <v>549322</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314487</v>
      </c>
      <c r="D55" s="481">
        <v>85206</v>
      </c>
      <c r="E55" s="481">
        <v>2051</v>
      </c>
      <c r="F55" s="481">
        <v>14060</v>
      </c>
      <c r="G55" s="481">
        <v>0</v>
      </c>
      <c r="H55" s="481">
        <v>834</v>
      </c>
      <c r="I55" s="467">
        <v>0</v>
      </c>
      <c r="J55" s="467">
        <v>0</v>
      </c>
      <c r="K55" s="1694">
        <f>SUM(C55:J55)</f>
        <v>416638</v>
      </c>
      <c r="L55" s="481">
        <v>456225</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314487</v>
      </c>
      <c r="D57" s="1696">
        <f t="shared" ref="D57:K57" si="6">SUM(D55:D56)</f>
        <v>85206</v>
      </c>
      <c r="E57" s="1696">
        <f t="shared" si="6"/>
        <v>2051</v>
      </c>
      <c r="F57" s="1696">
        <f t="shared" si="6"/>
        <v>14060</v>
      </c>
      <c r="G57" s="1696">
        <f t="shared" si="6"/>
        <v>0</v>
      </c>
      <c r="H57" s="1696">
        <f t="shared" si="6"/>
        <v>834</v>
      </c>
      <c r="I57" s="1696">
        <f t="shared" si="6"/>
        <v>0</v>
      </c>
      <c r="J57" s="1696">
        <f t="shared" si="6"/>
        <v>0</v>
      </c>
      <c r="K57" s="1696">
        <f t="shared" si="6"/>
        <v>416638</v>
      </c>
      <c r="L57" s="1692">
        <f>SUM(L55:L56)</f>
        <v>456225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74925</v>
      </c>
      <c r="D59" s="481">
        <v>5859</v>
      </c>
      <c r="E59" s="481">
        <v>872</v>
      </c>
      <c r="F59" s="481">
        <v>0</v>
      </c>
      <c r="G59" s="481">
        <v>0</v>
      </c>
      <c r="H59" s="481">
        <v>625</v>
      </c>
      <c r="I59" s="467">
        <v>0</v>
      </c>
      <c r="J59" s="467">
        <v>0</v>
      </c>
      <c r="K59" s="1694">
        <f t="shared" ref="K59:K64" si="7">SUM(C59:J59)</f>
        <v>82281</v>
      </c>
      <c r="L59" s="481">
        <v>82256</v>
      </c>
      <c r="M59" s="610"/>
      <c r="N59" s="610"/>
    </row>
    <row r="60" spans="1:14" s="343" customFormat="1" x14ac:dyDescent="0.2">
      <c r="A60" s="1526" t="s">
        <v>483</v>
      </c>
      <c r="B60" s="615">
        <v>2520</v>
      </c>
      <c r="C60" s="466">
        <v>32770</v>
      </c>
      <c r="D60" s="466">
        <v>1317</v>
      </c>
      <c r="E60" s="466">
        <v>290</v>
      </c>
      <c r="F60" s="466">
        <v>1072</v>
      </c>
      <c r="G60" s="466">
        <v>0</v>
      </c>
      <c r="H60" s="466">
        <v>46</v>
      </c>
      <c r="I60" s="467">
        <v>0</v>
      </c>
      <c r="J60" s="467">
        <v>0</v>
      </c>
      <c r="K60" s="1694">
        <f t="shared" si="7"/>
        <v>35495</v>
      </c>
      <c r="L60" s="466">
        <v>38375</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156559</v>
      </c>
      <c r="D63" s="466">
        <v>33158</v>
      </c>
      <c r="E63" s="466">
        <v>250</v>
      </c>
      <c r="F63" s="466">
        <v>175178</v>
      </c>
      <c r="G63" s="466">
        <v>0</v>
      </c>
      <c r="H63" s="466">
        <v>1038</v>
      </c>
      <c r="I63" s="467">
        <v>700</v>
      </c>
      <c r="J63" s="467">
        <v>0</v>
      </c>
      <c r="K63" s="1694">
        <f t="shared" si="7"/>
        <v>366883</v>
      </c>
      <c r="L63" s="466">
        <v>409890</v>
      </c>
    </row>
    <row r="64" spans="1:14" s="610" customFormat="1" x14ac:dyDescent="0.2">
      <c r="A64" s="1531" t="s">
        <v>103</v>
      </c>
      <c r="B64" s="631">
        <v>2570</v>
      </c>
      <c r="C64" s="481">
        <v>0</v>
      </c>
      <c r="D64" s="481">
        <v>0</v>
      </c>
      <c r="E64" s="481">
        <v>0</v>
      </c>
      <c r="F64" s="481">
        <v>0</v>
      </c>
      <c r="G64" s="481">
        <v>0</v>
      </c>
      <c r="H64" s="481">
        <v>0</v>
      </c>
      <c r="I64" s="467">
        <v>0</v>
      </c>
      <c r="J64" s="467">
        <v>0</v>
      </c>
      <c r="K64" s="1694">
        <f t="shared" si="7"/>
        <v>0</v>
      </c>
      <c r="L64" s="481">
        <v>0</v>
      </c>
    </row>
    <row r="65" spans="1:14" s="343" customFormat="1" ht="12.75" customHeight="1" thickBot="1" x14ac:dyDescent="0.25">
      <c r="A65" s="1690" t="s">
        <v>743</v>
      </c>
      <c r="B65" s="1691" t="s">
        <v>35</v>
      </c>
      <c r="C65" s="1692">
        <f>SUM(C59:C64)</f>
        <v>264254</v>
      </c>
      <c r="D65" s="1692">
        <f t="shared" ref="D65:L65" si="8">SUM(D59:D64)</f>
        <v>40334</v>
      </c>
      <c r="E65" s="1692">
        <f t="shared" si="8"/>
        <v>1412</v>
      </c>
      <c r="F65" s="1692">
        <f t="shared" si="8"/>
        <v>176250</v>
      </c>
      <c r="G65" s="1692">
        <f t="shared" si="8"/>
        <v>0</v>
      </c>
      <c r="H65" s="1692">
        <f t="shared" si="8"/>
        <v>1709</v>
      </c>
      <c r="I65" s="1692">
        <f t="shared" si="8"/>
        <v>700</v>
      </c>
      <c r="J65" s="1692">
        <f t="shared" si="8"/>
        <v>0</v>
      </c>
      <c r="K65" s="1692">
        <f t="shared" si="8"/>
        <v>484659</v>
      </c>
      <c r="L65" s="1692">
        <f t="shared" si="8"/>
        <v>530521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1743</v>
      </c>
      <c r="G68" s="466">
        <v>0</v>
      </c>
      <c r="H68" s="466">
        <v>0</v>
      </c>
      <c r="I68" s="467">
        <v>0</v>
      </c>
      <c r="J68" s="467">
        <v>0</v>
      </c>
      <c r="K68" s="1694">
        <f>SUM(C68:J68)</f>
        <v>1743</v>
      </c>
      <c r="L68" s="466">
        <v>4750</v>
      </c>
      <c r="M68" s="610"/>
      <c r="N68" s="610"/>
    </row>
    <row r="69" spans="1:14" s="343" customFormat="1" x14ac:dyDescent="0.2">
      <c r="A69" s="1526" t="s">
        <v>1121</v>
      </c>
      <c r="B69" s="615">
        <v>2630</v>
      </c>
      <c r="C69" s="466">
        <v>66408</v>
      </c>
      <c r="D69" s="466">
        <v>10557</v>
      </c>
      <c r="E69" s="466">
        <v>2811</v>
      </c>
      <c r="F69" s="466">
        <v>384</v>
      </c>
      <c r="G69" s="466">
        <v>0</v>
      </c>
      <c r="H69" s="466">
        <v>28712</v>
      </c>
      <c r="I69" s="467">
        <v>0</v>
      </c>
      <c r="J69" s="467">
        <v>0</v>
      </c>
      <c r="K69" s="1694">
        <f>SUM(C69:J69)</f>
        <v>108872</v>
      </c>
      <c r="L69" s="466">
        <v>110601</v>
      </c>
      <c r="M69" s="610"/>
      <c r="N69" s="610"/>
    </row>
    <row r="70" spans="1:14" s="343" customFormat="1" x14ac:dyDescent="0.2">
      <c r="A70" s="1526" t="s">
        <v>423</v>
      </c>
      <c r="B70" s="615">
        <v>2640</v>
      </c>
      <c r="C70" s="466">
        <v>2465</v>
      </c>
      <c r="D70" s="466">
        <v>285</v>
      </c>
      <c r="E70" s="466">
        <v>0</v>
      </c>
      <c r="F70" s="466">
        <v>0</v>
      </c>
      <c r="G70" s="466">
        <v>0</v>
      </c>
      <c r="H70" s="466">
        <v>0</v>
      </c>
      <c r="I70" s="467">
        <v>0</v>
      </c>
      <c r="J70" s="467">
        <v>0</v>
      </c>
      <c r="K70" s="1694">
        <f>SUM(C70:J70)</f>
        <v>2750</v>
      </c>
      <c r="L70" s="466">
        <v>4320</v>
      </c>
      <c r="M70" s="610"/>
      <c r="N70" s="610"/>
    </row>
    <row r="71" spans="1:14" s="343" customFormat="1" x14ac:dyDescent="0.2">
      <c r="A71" s="1526" t="s">
        <v>424</v>
      </c>
      <c r="B71" s="615">
        <v>2660</v>
      </c>
      <c r="C71" s="466">
        <v>89918</v>
      </c>
      <c r="D71" s="466">
        <v>15477</v>
      </c>
      <c r="E71" s="466">
        <v>12426</v>
      </c>
      <c r="F71" s="466">
        <v>63552</v>
      </c>
      <c r="G71" s="466">
        <v>9154</v>
      </c>
      <c r="H71" s="466">
        <v>0</v>
      </c>
      <c r="I71" s="467">
        <v>30818</v>
      </c>
      <c r="J71" s="467">
        <v>0</v>
      </c>
      <c r="K71" s="1694">
        <f>SUM(C71:J71)</f>
        <v>221345</v>
      </c>
      <c r="L71" s="466">
        <v>228825</v>
      </c>
      <c r="M71" s="610"/>
      <c r="N71" s="610"/>
    </row>
    <row r="72" spans="1:14" s="343" customFormat="1" ht="12.75" customHeight="1" thickBot="1" x14ac:dyDescent="0.25">
      <c r="A72" s="1690" t="s">
        <v>37</v>
      </c>
      <c r="B72" s="1697" t="s">
        <v>36</v>
      </c>
      <c r="C72" s="1692">
        <f>SUM(C67:C71)</f>
        <v>158791</v>
      </c>
      <c r="D72" s="1692">
        <f t="shared" ref="D72:K72" si="9">SUM(D67:D71)</f>
        <v>26319</v>
      </c>
      <c r="E72" s="1692">
        <f t="shared" si="9"/>
        <v>15237</v>
      </c>
      <c r="F72" s="1692">
        <f t="shared" si="9"/>
        <v>65679</v>
      </c>
      <c r="G72" s="1692">
        <f t="shared" si="9"/>
        <v>9154</v>
      </c>
      <c r="H72" s="1692">
        <f t="shared" si="9"/>
        <v>28712</v>
      </c>
      <c r="I72" s="1692">
        <f t="shared" si="9"/>
        <v>30818</v>
      </c>
      <c r="J72" s="1692">
        <f t="shared" si="9"/>
        <v>0</v>
      </c>
      <c r="K72" s="1692">
        <f t="shared" si="9"/>
        <v>334710</v>
      </c>
      <c r="L72" s="1692">
        <f>SUM(L67:L71)</f>
        <v>348496</v>
      </c>
      <c r="M72" s="610"/>
      <c r="N72" s="610"/>
    </row>
    <row r="73" spans="1:14" s="343" customFormat="1" ht="14.25" thickTop="1" thickBot="1" x14ac:dyDescent="0.25">
      <c r="A73" s="1532" t="s">
        <v>1037</v>
      </c>
      <c r="B73" s="633" t="s">
        <v>595</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865</v>
      </c>
      <c r="B74" s="1698">
        <v>2000</v>
      </c>
      <c r="C74" s="1699">
        <f>SUM(C42,C47,C53,C57,C65,C72,C73)</f>
        <v>1788709</v>
      </c>
      <c r="D74" s="1699">
        <f t="shared" ref="D74:K74" si="10">SUM(D42,D47,D53,D57,D65,D72,D73)</f>
        <v>318070</v>
      </c>
      <c r="E74" s="1699">
        <f t="shared" si="10"/>
        <v>239551</v>
      </c>
      <c r="F74" s="1699">
        <f t="shared" si="10"/>
        <v>414914</v>
      </c>
      <c r="G74" s="1699">
        <f t="shared" si="10"/>
        <v>9154</v>
      </c>
      <c r="H74" s="1699">
        <f t="shared" si="10"/>
        <v>52573</v>
      </c>
      <c r="I74" s="1699">
        <f t="shared" si="10"/>
        <v>31518</v>
      </c>
      <c r="J74" s="1699">
        <f t="shared" si="10"/>
        <v>0</v>
      </c>
      <c r="K74" s="1699">
        <f t="shared" si="10"/>
        <v>2854489</v>
      </c>
      <c r="L74" s="1699">
        <f>SUM(L42,L47,L53,L57,L65,L72,L73)</f>
        <v>2899620</v>
      </c>
    </row>
    <row r="75" spans="1:14" s="259" customFormat="1" ht="15.75" customHeight="1" thickTop="1" thickBot="1" x14ac:dyDescent="0.25">
      <c r="A75" s="1632" t="s">
        <v>49</v>
      </c>
      <c r="B75" s="1633" t="s">
        <v>596</v>
      </c>
      <c r="C75" s="573">
        <v>26959</v>
      </c>
      <c r="D75" s="573">
        <v>6796</v>
      </c>
      <c r="E75" s="573">
        <v>9000</v>
      </c>
      <c r="F75" s="573">
        <v>1715</v>
      </c>
      <c r="G75" s="573">
        <v>0</v>
      </c>
      <c r="H75" s="573">
        <v>0</v>
      </c>
      <c r="I75" s="531">
        <v>0</v>
      </c>
      <c r="J75" s="531">
        <v>0</v>
      </c>
      <c r="K75" s="1692">
        <f>SUM(C75:J75)</f>
        <v>44470</v>
      </c>
      <c r="L75" s="576">
        <v>41122</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2986</v>
      </c>
      <c r="F79" s="617"/>
      <c r="G79" s="617"/>
      <c r="H79" s="466">
        <v>0</v>
      </c>
      <c r="I79" s="477"/>
      <c r="J79" s="477"/>
      <c r="K79" s="1693">
        <f t="shared" si="11"/>
        <v>2986</v>
      </c>
      <c r="L79" s="466">
        <v>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5341</v>
      </c>
      <c r="I83" s="477"/>
      <c r="J83" s="477"/>
      <c r="K83" s="1693">
        <f t="shared" si="11"/>
        <v>5341</v>
      </c>
      <c r="L83" s="466">
        <v>8080</v>
      </c>
    </row>
    <row r="84" spans="1:12" ht="13.5" thickBot="1" x14ac:dyDescent="0.25">
      <c r="A84" s="1690" t="s">
        <v>1565</v>
      </c>
      <c r="B84" s="1700">
        <v>4100</v>
      </c>
      <c r="C84" s="617"/>
      <c r="D84" s="617"/>
      <c r="E84" s="1692">
        <f>SUM(E78:E83)</f>
        <v>2986</v>
      </c>
      <c r="F84" s="617"/>
      <c r="G84" s="617"/>
      <c r="H84" s="1692">
        <f>SUM(H78:H83)</f>
        <v>5341</v>
      </c>
      <c r="I84" s="477"/>
      <c r="J84" s="477"/>
      <c r="K84" s="1692">
        <f>SUM(K78:K83)</f>
        <v>8327</v>
      </c>
      <c r="L84" s="1692">
        <f>SUM(L78:L83)</f>
        <v>8080</v>
      </c>
    </row>
    <row r="85" spans="1:12" ht="12.75" customHeight="1" thickTop="1" thickBot="1" x14ac:dyDescent="0.25">
      <c r="A85" s="1533" t="s">
        <v>273</v>
      </c>
      <c r="B85" s="636">
        <v>4210</v>
      </c>
      <c r="C85" s="617"/>
      <c r="D85" s="617"/>
      <c r="E85" s="637"/>
      <c r="F85" s="617"/>
      <c r="G85" s="617"/>
      <c r="H85" s="535">
        <v>2120</v>
      </c>
      <c r="I85" s="477"/>
      <c r="J85" s="477"/>
      <c r="K85" s="1699">
        <f>H85</f>
        <v>2120</v>
      </c>
      <c r="L85" s="530">
        <v>0</v>
      </c>
    </row>
    <row r="86" spans="1:12" ht="12.75" customHeight="1" thickTop="1" thickBot="1" x14ac:dyDescent="0.25">
      <c r="A86" s="1534" t="s">
        <v>723</v>
      </c>
      <c r="B86" s="638">
        <v>4220</v>
      </c>
      <c r="C86" s="617"/>
      <c r="D86" s="617"/>
      <c r="E86" s="639"/>
      <c r="F86" s="617"/>
      <c r="G86" s="617"/>
      <c r="H86" s="467">
        <v>175440</v>
      </c>
      <c r="I86" s="477"/>
      <c r="J86" s="477"/>
      <c r="K86" s="1699">
        <f t="shared" ref="K86:K98" si="12">H86</f>
        <v>175440</v>
      </c>
      <c r="L86" s="530">
        <v>250000</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177560</v>
      </c>
      <c r="I92" s="477"/>
      <c r="J92" s="477"/>
      <c r="K92" s="1699">
        <f t="shared" si="12"/>
        <v>177560</v>
      </c>
      <c r="L92" s="1692">
        <f>SUM(L85:L91)</f>
        <v>250000</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2986</v>
      </c>
      <c r="F102" s="617"/>
      <c r="G102" s="617"/>
      <c r="H102" s="1699">
        <f>SUM(H84,H92,H100,H101)</f>
        <v>182901</v>
      </c>
      <c r="I102" s="477"/>
      <c r="J102" s="477"/>
      <c r="K102" s="1699">
        <f>SUM(K84,K92,K100,K101)</f>
        <v>185887</v>
      </c>
      <c r="L102" s="1699">
        <f>SUM(L84,L92,L100,L101)</f>
        <v>258080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5628581</v>
      </c>
      <c r="D114" s="1692">
        <f t="shared" ref="D114:K114" si="13">SUM(D33,D74,D75,D102,D112,D113)</f>
        <v>896653</v>
      </c>
      <c r="E114" s="1692">
        <f t="shared" si="13"/>
        <v>284037</v>
      </c>
      <c r="F114" s="1692">
        <f t="shared" si="13"/>
        <v>537431</v>
      </c>
      <c r="G114" s="1692">
        <f t="shared" si="13"/>
        <v>32218</v>
      </c>
      <c r="H114" s="1692">
        <f>SUM(H33,H74,H75,H102,H112,H113)</f>
        <v>430866</v>
      </c>
      <c r="I114" s="1692">
        <f t="shared" si="13"/>
        <v>34037</v>
      </c>
      <c r="J114" s="1692">
        <f t="shared" si="13"/>
        <v>0</v>
      </c>
      <c r="K114" s="1692">
        <f t="shared" si="13"/>
        <v>7843823</v>
      </c>
      <c r="L114" s="1692">
        <f>SUM(L33,L74,L75,L102,L112,L113)</f>
        <v>8232312</v>
      </c>
    </row>
    <row r="115" spans="1:14" ht="13.5" thickTop="1" x14ac:dyDescent="0.2">
      <c r="A115" s="2216" t="s">
        <v>1053</v>
      </c>
      <c r="B115" s="2217"/>
      <c r="C115" s="619"/>
      <c r="D115" s="619"/>
      <c r="E115" s="619"/>
      <c r="F115" s="619"/>
      <c r="G115" s="619"/>
      <c r="H115" s="619"/>
      <c r="I115" s="619"/>
      <c r="J115" s="619"/>
      <c r="K115" s="1706">
        <f>'Revenues 9-14'!C275-'Expenditures 15-22'!K114</f>
        <v>1189586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4" t="s">
        <v>314</v>
      </c>
      <c r="B117" s="2195"/>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359572</v>
      </c>
      <c r="D124" s="466">
        <v>65224</v>
      </c>
      <c r="E124" s="466">
        <v>427140</v>
      </c>
      <c r="F124" s="466">
        <v>207225</v>
      </c>
      <c r="G124" s="466">
        <v>146427</v>
      </c>
      <c r="H124" s="466">
        <v>0</v>
      </c>
      <c r="I124" s="467">
        <v>14406</v>
      </c>
      <c r="J124" s="467">
        <v>0</v>
      </c>
      <c r="K124" s="1692">
        <f>SUM(C124:J124)</f>
        <v>1219994</v>
      </c>
      <c r="L124" s="466">
        <v>1229800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359572</v>
      </c>
      <c r="D127" s="1692">
        <f t="shared" ref="D127:L127" si="14">SUM(D122:D126)</f>
        <v>65224</v>
      </c>
      <c r="E127" s="1692">
        <f t="shared" si="14"/>
        <v>427140</v>
      </c>
      <c r="F127" s="1692">
        <f t="shared" si="14"/>
        <v>207225</v>
      </c>
      <c r="G127" s="1692">
        <f t="shared" si="14"/>
        <v>146427</v>
      </c>
      <c r="H127" s="1692">
        <f t="shared" si="14"/>
        <v>0</v>
      </c>
      <c r="I127" s="1692">
        <f t="shared" si="14"/>
        <v>14406</v>
      </c>
      <c r="J127" s="1692">
        <f t="shared" si="14"/>
        <v>0</v>
      </c>
      <c r="K127" s="1692">
        <f t="shared" si="14"/>
        <v>1219994</v>
      </c>
      <c r="L127" s="1692">
        <f t="shared" si="14"/>
        <v>1229800</v>
      </c>
    </row>
    <row r="128" spans="1:14" ht="12.75" customHeight="1" thickTop="1" x14ac:dyDescent="0.2">
      <c r="A128" s="1533" t="s">
        <v>1037</v>
      </c>
      <c r="B128" s="656" t="s">
        <v>595</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865</v>
      </c>
      <c r="B129" s="1709" t="s">
        <v>590</v>
      </c>
      <c r="C129" s="1699">
        <f>SUM(C120,C127,C128)</f>
        <v>359572</v>
      </c>
      <c r="D129" s="1699">
        <f t="shared" ref="D129:L129" si="15">SUM(D120,D127,D128)</f>
        <v>65224</v>
      </c>
      <c r="E129" s="1699">
        <f t="shared" si="15"/>
        <v>427140</v>
      </c>
      <c r="F129" s="1699">
        <f t="shared" si="15"/>
        <v>207225</v>
      </c>
      <c r="G129" s="1699">
        <f t="shared" si="15"/>
        <v>146427</v>
      </c>
      <c r="H129" s="1699">
        <f t="shared" si="15"/>
        <v>0</v>
      </c>
      <c r="I129" s="1699">
        <f t="shared" si="15"/>
        <v>14406</v>
      </c>
      <c r="J129" s="1699">
        <f t="shared" si="15"/>
        <v>0</v>
      </c>
      <c r="K129" s="1699">
        <f t="shared" si="15"/>
        <v>1219994</v>
      </c>
      <c r="L129" s="1699">
        <f t="shared" si="15"/>
        <v>1229800</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1954</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0</v>
      </c>
      <c r="F134" s="617"/>
      <c r="G134" s="617"/>
      <c r="H134" s="481">
        <v>0</v>
      </c>
      <c r="I134" s="477"/>
      <c r="J134" s="617"/>
      <c r="K134" s="1694">
        <f>SUM(E134,H134)</f>
        <v>0</v>
      </c>
      <c r="L134" s="481">
        <v>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0</v>
      </c>
    </row>
    <row r="151" spans="1:14" ht="12.75" customHeight="1" thickTop="1" thickBot="1" x14ac:dyDescent="0.25">
      <c r="A151" s="2206" t="s">
        <v>641</v>
      </c>
      <c r="B151" s="2188"/>
      <c r="C151" s="1692">
        <f>SUM(C129,C130,C139,C149,C150)</f>
        <v>359572</v>
      </c>
      <c r="D151" s="1692">
        <f t="shared" ref="D151:K151" si="16">SUM(D129,D130,D139,D149,D150)</f>
        <v>65224</v>
      </c>
      <c r="E151" s="1692">
        <f t="shared" si="16"/>
        <v>427140</v>
      </c>
      <c r="F151" s="1692">
        <f t="shared" si="16"/>
        <v>207225</v>
      </c>
      <c r="G151" s="1692">
        <f t="shared" si="16"/>
        <v>146427</v>
      </c>
      <c r="H151" s="1692">
        <f t="shared" si="16"/>
        <v>0</v>
      </c>
      <c r="I151" s="1692">
        <f t="shared" si="16"/>
        <v>14406</v>
      </c>
      <c r="J151" s="1692">
        <f t="shared" si="16"/>
        <v>0</v>
      </c>
      <c r="K151" s="1692">
        <f t="shared" si="16"/>
        <v>1219994</v>
      </c>
      <c r="L151" s="1692">
        <f>SUM(L129,L130,L139,L149,L150)</f>
        <v>1229800</v>
      </c>
    </row>
    <row r="152" spans="1:14" ht="12.75" customHeight="1" thickTop="1" x14ac:dyDescent="0.2">
      <c r="A152" s="2209" t="s">
        <v>1240</v>
      </c>
      <c r="B152" s="2210"/>
      <c r="C152" s="619"/>
      <c r="D152" s="619"/>
      <c r="E152" s="619"/>
      <c r="F152" s="619"/>
      <c r="G152" s="619"/>
      <c r="H152" s="619"/>
      <c r="I152" s="619"/>
      <c r="J152" s="617"/>
      <c r="K152" s="1706">
        <f>'Revenues 9-14'!D275-'Expenditures 15-22'!K151</f>
        <v>47136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4" t="s">
        <v>642</v>
      </c>
      <c r="B154" s="2196"/>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1955</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1954</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1956</v>
      </c>
      <c r="C158" s="617"/>
      <c r="D158" s="617"/>
      <c r="E158" s="617"/>
      <c r="F158" s="617"/>
      <c r="G158" s="617"/>
      <c r="H158" s="467">
        <v>0</v>
      </c>
      <c r="I158" s="617"/>
      <c r="J158" s="617"/>
      <c r="K158" s="1693">
        <f>H158</f>
        <v>0</v>
      </c>
      <c r="L158" s="467">
        <v>0</v>
      </c>
      <c r="M158" s="620"/>
      <c r="N158" s="620"/>
    </row>
    <row r="159" spans="1:14" s="621" customFormat="1" ht="12" x14ac:dyDescent="0.2">
      <c r="A159" s="1849" t="s">
        <v>1957</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1958</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112675</v>
      </c>
      <c r="I169" s="617"/>
      <c r="J169" s="617"/>
      <c r="K169" s="1693">
        <f>SUM(C169:H169)</f>
        <v>112675</v>
      </c>
      <c r="L169" s="657">
        <v>112675</v>
      </c>
    </row>
    <row r="170" spans="1:14" ht="33.75" customHeight="1" x14ac:dyDescent="0.2">
      <c r="A170" s="670" t="s">
        <v>1769</v>
      </c>
      <c r="B170" s="672" t="s">
        <v>31</v>
      </c>
      <c r="C170" s="617"/>
      <c r="D170" s="617"/>
      <c r="E170" s="617"/>
      <c r="F170" s="617"/>
      <c r="G170" s="617"/>
      <c r="H170" s="569">
        <v>90000</v>
      </c>
      <c r="I170" s="617"/>
      <c r="J170" s="617"/>
      <c r="K170" s="1693">
        <f>SUM(C170:J170)</f>
        <v>90000</v>
      </c>
      <c r="L170" s="569">
        <v>90000</v>
      </c>
    </row>
    <row r="171" spans="1:14" ht="15.75" customHeight="1" x14ac:dyDescent="0.2">
      <c r="A171" s="622" t="s">
        <v>790</v>
      </c>
      <c r="B171" s="673" t="s">
        <v>86</v>
      </c>
      <c r="C171" s="617"/>
      <c r="D171" s="617"/>
      <c r="E171" s="466">
        <v>0</v>
      </c>
      <c r="F171" s="617"/>
      <c r="G171" s="617"/>
      <c r="H171" s="569">
        <v>1825</v>
      </c>
      <c r="I171" s="477"/>
      <c r="J171" s="617"/>
      <c r="K171" s="1693">
        <f>SUM(C171:J171)</f>
        <v>1825</v>
      </c>
      <c r="L171" s="569">
        <v>1500</v>
      </c>
    </row>
    <row r="172" spans="1:14" ht="12.75" customHeight="1" thickBot="1" x14ac:dyDescent="0.25">
      <c r="A172" s="1690" t="s">
        <v>659</v>
      </c>
      <c r="B172" s="1691" t="s">
        <v>513</v>
      </c>
      <c r="C172" s="617"/>
      <c r="D172" s="617"/>
      <c r="E172" s="1699">
        <f>SUM(E168,E169,E170,E171)</f>
        <v>0</v>
      </c>
      <c r="F172" s="617"/>
      <c r="G172" s="617"/>
      <c r="H172" s="1699">
        <f>SUM(H168,H169,H170,H171)</f>
        <v>204500</v>
      </c>
      <c r="I172" s="639"/>
      <c r="J172" s="617"/>
      <c r="K172" s="1699">
        <f>SUM(K168,K169,K170,K171)</f>
        <v>204500</v>
      </c>
      <c r="L172" s="1699">
        <f>SUM(L168,L169,L170,L171)</f>
        <v>204175</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204500</v>
      </c>
      <c r="I174" s="639"/>
      <c r="J174" s="617"/>
      <c r="K174" s="1699">
        <f>SUM(K160,K172,K173)</f>
        <v>204500</v>
      </c>
      <c r="L174" s="1699">
        <f>SUM(L160,L172,L173)</f>
        <v>204175</v>
      </c>
    </row>
    <row r="175" spans="1:14" ht="13.5" thickTop="1" x14ac:dyDescent="0.2">
      <c r="A175" s="2216" t="s">
        <v>1053</v>
      </c>
      <c r="B175" s="2217"/>
      <c r="C175" s="617"/>
      <c r="D175" s="617"/>
      <c r="E175" s="617"/>
      <c r="F175" s="617"/>
      <c r="G175" s="617"/>
      <c r="H175" s="619"/>
      <c r="I175" s="617"/>
      <c r="J175" s="617"/>
      <c r="K175" s="1706">
        <f>'Revenues 9-14'!E275-'Expenditures 15-22'!K174</f>
        <v>996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306366</v>
      </c>
      <c r="D182" s="466">
        <v>21635</v>
      </c>
      <c r="E182" s="466">
        <v>93651</v>
      </c>
      <c r="F182" s="466">
        <v>67474</v>
      </c>
      <c r="G182" s="466">
        <v>99728</v>
      </c>
      <c r="H182" s="466">
        <v>1611</v>
      </c>
      <c r="I182" s="467">
        <v>0</v>
      </c>
      <c r="J182" s="467">
        <v>0</v>
      </c>
      <c r="K182" s="1693">
        <f>SUM(C182:J182)</f>
        <v>590465</v>
      </c>
      <c r="L182" s="466">
        <v>663970</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306366</v>
      </c>
      <c r="D184" s="1699">
        <f t="shared" ref="D184:J184" si="17">SUM(D180,D182,D183)</f>
        <v>21635</v>
      </c>
      <c r="E184" s="1699">
        <f t="shared" si="17"/>
        <v>93651</v>
      </c>
      <c r="F184" s="1699">
        <f t="shared" si="17"/>
        <v>67474</v>
      </c>
      <c r="G184" s="1699">
        <f t="shared" si="17"/>
        <v>99728</v>
      </c>
      <c r="H184" s="1699">
        <f t="shared" si="17"/>
        <v>1611</v>
      </c>
      <c r="I184" s="1699">
        <f t="shared" si="17"/>
        <v>0</v>
      </c>
      <c r="J184" s="1699">
        <f t="shared" si="17"/>
        <v>0</v>
      </c>
      <c r="K184" s="1699">
        <f>SUM(K180,K182,K183)</f>
        <v>590465</v>
      </c>
      <c r="L184" s="1699">
        <f>SUM(L180, L182:L183)</f>
        <v>663970</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0</v>
      </c>
    </row>
    <row r="210" spans="1:14" ht="12.75" customHeight="1" thickTop="1" thickBot="1" x14ac:dyDescent="0.25">
      <c r="A210" s="1714" t="s">
        <v>295</v>
      </c>
      <c r="B210" s="1715"/>
      <c r="C210" s="1692">
        <f>SUM(C184,C185)</f>
        <v>306366</v>
      </c>
      <c r="D210" s="1692">
        <f>SUM(D184,D185)</f>
        <v>21635</v>
      </c>
      <c r="E210" s="1692">
        <f>SUM(E184,E185,E196)</f>
        <v>93651</v>
      </c>
      <c r="F210" s="1692">
        <f>SUM(F184,F185)</f>
        <v>67474</v>
      </c>
      <c r="G210" s="1692">
        <f>SUM(G184,G185)</f>
        <v>99728</v>
      </c>
      <c r="H210" s="1692">
        <f>SUM(H184,H185,H196,H208,H209)</f>
        <v>1611</v>
      </c>
      <c r="I210" s="1692">
        <f>SUM(I184,I185)</f>
        <v>0</v>
      </c>
      <c r="J210" s="1692">
        <f>SUM(J184,J185)</f>
        <v>0</v>
      </c>
      <c r="K210" s="1693">
        <f>SUM(K184,K185,K196,K208,K209)</f>
        <v>590465</v>
      </c>
      <c r="L210" s="1692">
        <f>SUM(L184,L185,L196,L208,L209)</f>
        <v>663970</v>
      </c>
    </row>
    <row r="211" spans="1:14" ht="13.5" thickTop="1" x14ac:dyDescent="0.2">
      <c r="A211" s="2216" t="s">
        <v>1053</v>
      </c>
      <c r="B211" s="2217"/>
      <c r="C211" s="619"/>
      <c r="D211" s="619"/>
      <c r="E211" s="619"/>
      <c r="F211" s="619"/>
      <c r="G211" s="619"/>
      <c r="H211" s="619"/>
      <c r="I211" s="617"/>
      <c r="J211" s="617"/>
      <c r="K211" s="1706">
        <f>'Revenues 9-14'!F275-'Expenditures 15-22'!K210</f>
        <v>78778</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1" t="s">
        <v>1022</v>
      </c>
      <c r="B213" s="221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48759</v>
      </c>
      <c r="E215" s="617"/>
      <c r="F215" s="617"/>
      <c r="G215" s="617"/>
      <c r="H215" s="617"/>
      <c r="I215" s="617"/>
      <c r="J215" s="617"/>
      <c r="K215" s="1693">
        <f>D215</f>
        <v>48759</v>
      </c>
      <c r="L215" s="466">
        <v>53599</v>
      </c>
    </row>
    <row r="216" spans="1:14" x14ac:dyDescent="0.2">
      <c r="A216" s="1526" t="s">
        <v>165</v>
      </c>
      <c r="B216" s="615" t="s">
        <v>1024</v>
      </c>
      <c r="C216" s="617"/>
      <c r="D216" s="467">
        <v>6341</v>
      </c>
      <c r="E216" s="617"/>
      <c r="F216" s="617"/>
      <c r="G216" s="617"/>
      <c r="H216" s="617"/>
      <c r="I216" s="617"/>
      <c r="J216" s="617"/>
      <c r="K216" s="1693">
        <f t="shared" ref="K216:K228" si="19">D216</f>
        <v>6341</v>
      </c>
      <c r="L216" s="466">
        <v>5559</v>
      </c>
    </row>
    <row r="217" spans="1:14" x14ac:dyDescent="0.2">
      <c r="A217" s="1526" t="s">
        <v>166</v>
      </c>
      <c r="B217" s="615">
        <v>1200</v>
      </c>
      <c r="C217" s="617"/>
      <c r="D217" s="466">
        <v>36551</v>
      </c>
      <c r="E217" s="617"/>
      <c r="F217" s="617"/>
      <c r="G217" s="617"/>
      <c r="H217" s="617"/>
      <c r="I217" s="617"/>
      <c r="J217" s="617"/>
      <c r="K217" s="1693">
        <f t="shared" si="19"/>
        <v>36551</v>
      </c>
      <c r="L217" s="466">
        <v>38036</v>
      </c>
    </row>
    <row r="218" spans="1:14" x14ac:dyDescent="0.2">
      <c r="A218" s="1526" t="s">
        <v>296</v>
      </c>
      <c r="B218" s="615" t="s">
        <v>1025</v>
      </c>
      <c r="C218" s="617"/>
      <c r="D218" s="467">
        <v>1064</v>
      </c>
      <c r="E218" s="617"/>
      <c r="F218" s="617"/>
      <c r="G218" s="617"/>
      <c r="H218" s="617"/>
      <c r="I218" s="617"/>
      <c r="J218" s="617"/>
      <c r="K218" s="1693">
        <f t="shared" si="19"/>
        <v>1064</v>
      </c>
      <c r="L218" s="466">
        <v>550</v>
      </c>
    </row>
    <row r="219" spans="1:14" x14ac:dyDescent="0.2">
      <c r="A219" s="1526" t="s">
        <v>297</v>
      </c>
      <c r="B219" s="615">
        <v>1250</v>
      </c>
      <c r="C219" s="617"/>
      <c r="D219" s="466">
        <v>0</v>
      </c>
      <c r="E219" s="617"/>
      <c r="F219" s="617"/>
      <c r="G219" s="617"/>
      <c r="H219" s="617"/>
      <c r="I219" s="617"/>
      <c r="J219" s="617"/>
      <c r="K219" s="1693">
        <f t="shared" si="19"/>
        <v>0</v>
      </c>
      <c r="L219" s="466">
        <v>0</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1334</v>
      </c>
      <c r="E223" s="617"/>
      <c r="F223" s="617"/>
      <c r="G223" s="617"/>
      <c r="H223" s="617"/>
      <c r="I223" s="617"/>
      <c r="J223" s="617"/>
      <c r="K223" s="1693">
        <f t="shared" si="19"/>
        <v>1334</v>
      </c>
      <c r="L223" s="466">
        <v>1639</v>
      </c>
    </row>
    <row r="224" spans="1:14" x14ac:dyDescent="0.2">
      <c r="A224" s="1526" t="s">
        <v>1021</v>
      </c>
      <c r="B224" s="615">
        <v>1600</v>
      </c>
      <c r="C224" s="617"/>
      <c r="D224" s="466">
        <v>369</v>
      </c>
      <c r="E224" s="617"/>
      <c r="F224" s="617"/>
      <c r="G224" s="617"/>
      <c r="H224" s="617"/>
      <c r="I224" s="617"/>
      <c r="J224" s="617"/>
      <c r="K224" s="1693">
        <f t="shared" si="19"/>
        <v>369</v>
      </c>
      <c r="L224" s="466">
        <v>352</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1810</v>
      </c>
      <c r="E227" s="617"/>
      <c r="F227" s="617"/>
      <c r="G227" s="617"/>
      <c r="H227" s="617"/>
      <c r="I227" s="617"/>
      <c r="J227" s="617"/>
      <c r="K227" s="1693">
        <f t="shared" si="19"/>
        <v>1810</v>
      </c>
      <c r="L227" s="466">
        <v>2246</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96228</v>
      </c>
      <c r="E229" s="617"/>
      <c r="F229" s="617"/>
      <c r="G229" s="617"/>
      <c r="H229" s="617"/>
      <c r="I229" s="617"/>
      <c r="J229" s="617"/>
      <c r="K229" s="1692">
        <f>SUM(K215:K228)</f>
        <v>96228</v>
      </c>
      <c r="L229" s="1692">
        <f>SUM(L215:L228)</f>
        <v>101981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2603</v>
      </c>
      <c r="E232" s="617"/>
      <c r="F232" s="617"/>
      <c r="G232" s="617"/>
      <c r="H232" s="617"/>
      <c r="I232" s="617"/>
      <c r="J232" s="617"/>
      <c r="K232" s="1693">
        <f t="shared" ref="K232:K237" si="20">D232</f>
        <v>2603</v>
      </c>
      <c r="L232" s="466">
        <v>2983</v>
      </c>
    </row>
    <row r="233" spans="1:12" x14ac:dyDescent="0.2">
      <c r="A233" s="1526" t="s">
        <v>1151</v>
      </c>
      <c r="B233" s="615">
        <v>2120</v>
      </c>
      <c r="C233" s="617"/>
      <c r="D233" s="466">
        <v>809</v>
      </c>
      <c r="E233" s="617"/>
      <c r="F233" s="617"/>
      <c r="G233" s="617"/>
      <c r="H233" s="617"/>
      <c r="I233" s="617"/>
      <c r="J233" s="617"/>
      <c r="K233" s="1693">
        <f t="shared" si="20"/>
        <v>809</v>
      </c>
      <c r="L233" s="466">
        <v>929</v>
      </c>
    </row>
    <row r="234" spans="1:12" x14ac:dyDescent="0.2">
      <c r="A234" s="1526" t="s">
        <v>207</v>
      </c>
      <c r="B234" s="615">
        <v>2130</v>
      </c>
      <c r="C234" s="617"/>
      <c r="D234" s="466">
        <v>12425</v>
      </c>
      <c r="E234" s="617"/>
      <c r="F234" s="617"/>
      <c r="G234" s="617"/>
      <c r="H234" s="617"/>
      <c r="I234" s="617"/>
      <c r="J234" s="617"/>
      <c r="K234" s="1693">
        <f t="shared" si="20"/>
        <v>12425</v>
      </c>
      <c r="L234" s="466">
        <v>12567</v>
      </c>
    </row>
    <row r="235" spans="1:12" x14ac:dyDescent="0.2">
      <c r="A235" s="1526" t="s">
        <v>208</v>
      </c>
      <c r="B235" s="615">
        <v>2140</v>
      </c>
      <c r="C235" s="617"/>
      <c r="D235" s="466">
        <v>1525</v>
      </c>
      <c r="E235" s="617"/>
      <c r="F235" s="617"/>
      <c r="G235" s="617"/>
      <c r="H235" s="617"/>
      <c r="I235" s="617"/>
      <c r="J235" s="617"/>
      <c r="K235" s="1693">
        <f t="shared" si="20"/>
        <v>1525</v>
      </c>
      <c r="L235" s="466">
        <v>1752</v>
      </c>
    </row>
    <row r="236" spans="1:12" x14ac:dyDescent="0.2">
      <c r="A236" s="1526" t="s">
        <v>209</v>
      </c>
      <c r="B236" s="615">
        <v>2150</v>
      </c>
      <c r="C236" s="617"/>
      <c r="D236" s="466">
        <v>3247</v>
      </c>
      <c r="E236" s="617"/>
      <c r="F236" s="617"/>
      <c r="G236" s="617"/>
      <c r="H236" s="617"/>
      <c r="I236" s="617"/>
      <c r="J236" s="617"/>
      <c r="K236" s="1693">
        <f t="shared" si="20"/>
        <v>3247</v>
      </c>
      <c r="L236" s="466">
        <v>3629</v>
      </c>
    </row>
    <row r="237" spans="1:12" x14ac:dyDescent="0.2">
      <c r="A237" s="1526" t="s">
        <v>167</v>
      </c>
      <c r="B237" s="615">
        <v>2190</v>
      </c>
      <c r="C237" s="617"/>
      <c r="D237" s="466">
        <v>949</v>
      </c>
      <c r="E237" s="617"/>
      <c r="F237" s="617"/>
      <c r="G237" s="617"/>
      <c r="H237" s="617"/>
      <c r="I237" s="617"/>
      <c r="J237" s="617"/>
      <c r="K237" s="1693">
        <f t="shared" si="20"/>
        <v>949</v>
      </c>
      <c r="L237" s="466">
        <v>871</v>
      </c>
    </row>
    <row r="238" spans="1:12" ht="12.75" customHeight="1" thickBot="1" x14ac:dyDescent="0.25">
      <c r="A238" s="1690" t="s">
        <v>581</v>
      </c>
      <c r="B238" s="1697" t="s">
        <v>740</v>
      </c>
      <c r="C238" s="617"/>
      <c r="D238" s="1692">
        <f>SUM(D232:D237)</f>
        <v>21558</v>
      </c>
      <c r="E238" s="617"/>
      <c r="F238" s="617"/>
      <c r="G238" s="617"/>
      <c r="H238" s="617"/>
      <c r="I238" s="617"/>
      <c r="J238" s="617"/>
      <c r="K238" s="1692">
        <f>SUM(K232:K237)</f>
        <v>21558</v>
      </c>
      <c r="L238" s="1692">
        <f>SUM(L232:L237)</f>
        <v>22731</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324</v>
      </c>
      <c r="E240" s="617"/>
      <c r="F240" s="617"/>
      <c r="G240" s="617"/>
      <c r="H240" s="617"/>
      <c r="I240" s="617"/>
      <c r="J240" s="617"/>
      <c r="K240" s="1694">
        <f>D240</f>
        <v>324</v>
      </c>
      <c r="L240" s="481">
        <v>433</v>
      </c>
    </row>
    <row r="241" spans="1:12" x14ac:dyDescent="0.2">
      <c r="A241" s="1526" t="s">
        <v>869</v>
      </c>
      <c r="B241" s="615">
        <v>2220</v>
      </c>
      <c r="C241" s="617"/>
      <c r="D241" s="466">
        <v>6321</v>
      </c>
      <c r="E241" s="617"/>
      <c r="F241" s="617"/>
      <c r="G241" s="617"/>
      <c r="H241" s="617"/>
      <c r="I241" s="617"/>
      <c r="J241" s="617"/>
      <c r="K241" s="1694">
        <f>D241</f>
        <v>6321</v>
      </c>
      <c r="L241" s="466">
        <v>6432</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6645</v>
      </c>
      <c r="E243" s="617"/>
      <c r="F243" s="617"/>
      <c r="G243" s="617"/>
      <c r="H243" s="617"/>
      <c r="I243" s="617"/>
      <c r="J243" s="617"/>
      <c r="K243" s="1692">
        <f>SUM(K240:K242)</f>
        <v>6645</v>
      </c>
      <c r="L243" s="1692">
        <f>SUM(L240:L242)</f>
        <v>6865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1151</v>
      </c>
      <c r="E245" s="617"/>
      <c r="F245" s="617"/>
      <c r="G245" s="617"/>
      <c r="H245" s="617"/>
      <c r="I245" s="617"/>
      <c r="J245" s="617"/>
      <c r="K245" s="1694">
        <f>D245</f>
        <v>1151</v>
      </c>
      <c r="L245" s="481">
        <v>1195</v>
      </c>
    </row>
    <row r="246" spans="1:12" x14ac:dyDescent="0.2">
      <c r="A246" s="1526" t="s">
        <v>872</v>
      </c>
      <c r="B246" s="615">
        <v>2320</v>
      </c>
      <c r="C246" s="617"/>
      <c r="D246" s="466">
        <v>9468</v>
      </c>
      <c r="E246" s="617"/>
      <c r="F246" s="617"/>
      <c r="G246" s="617"/>
      <c r="H246" s="617"/>
      <c r="I246" s="617"/>
      <c r="J246" s="617"/>
      <c r="K246" s="1694">
        <f t="shared" ref="K246:K256" si="21">D246</f>
        <v>9468</v>
      </c>
      <c r="L246" s="466">
        <v>10341</v>
      </c>
    </row>
    <row r="247" spans="1:12" x14ac:dyDescent="0.2">
      <c r="A247" s="1526" t="s">
        <v>873</v>
      </c>
      <c r="B247" s="615">
        <v>2330</v>
      </c>
      <c r="C247" s="617"/>
      <c r="D247" s="466">
        <v>3733</v>
      </c>
      <c r="E247" s="617"/>
      <c r="F247" s="617"/>
      <c r="G247" s="617"/>
      <c r="H247" s="617"/>
      <c r="I247" s="617"/>
      <c r="J247" s="617"/>
      <c r="K247" s="1694">
        <f t="shared" si="21"/>
        <v>3733</v>
      </c>
      <c r="L247" s="466">
        <v>4009</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1905</v>
      </c>
      <c r="B249" s="684" t="s">
        <v>300</v>
      </c>
      <c r="C249" s="617"/>
      <c r="D249" s="474">
        <v>0</v>
      </c>
      <c r="E249" s="617"/>
      <c r="F249" s="617"/>
      <c r="G249" s="617"/>
      <c r="H249" s="617"/>
      <c r="I249" s="617"/>
      <c r="J249" s="617"/>
      <c r="K249" s="1694">
        <f t="shared" si="21"/>
        <v>0</v>
      </c>
      <c r="L249" s="466">
        <v>0</v>
      </c>
    </row>
    <row r="250" spans="1:12" x14ac:dyDescent="0.2">
      <c r="A250" s="1527" t="s">
        <v>1906</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14352</v>
      </c>
      <c r="E257" s="617"/>
      <c r="F257" s="617"/>
      <c r="G257" s="617"/>
      <c r="H257" s="617"/>
      <c r="I257" s="617"/>
      <c r="J257" s="617"/>
      <c r="K257" s="1692">
        <f>SUM(K245:K256)</f>
        <v>14352</v>
      </c>
      <c r="L257" s="1692">
        <f>SUM(L245:L256)</f>
        <v>15545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17324</v>
      </c>
      <c r="E259" s="617"/>
      <c r="F259" s="617"/>
      <c r="G259" s="617"/>
      <c r="H259" s="617"/>
      <c r="I259" s="617"/>
      <c r="J259" s="617"/>
      <c r="K259" s="1694">
        <f>D259</f>
        <v>17324</v>
      </c>
      <c r="L259" s="481">
        <v>19229</v>
      </c>
    </row>
    <row r="260" spans="1:14" s="598" customFormat="1" x14ac:dyDescent="0.2">
      <c r="A260" s="1544" t="s">
        <v>1904</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17324</v>
      </c>
      <c r="E261" s="617"/>
      <c r="F261" s="617"/>
      <c r="G261" s="617"/>
      <c r="H261" s="617"/>
      <c r="I261" s="617"/>
      <c r="J261" s="617"/>
      <c r="K261" s="1692">
        <f>SUM(K259:K260)</f>
        <v>17324</v>
      </c>
      <c r="L261" s="1692">
        <f>SUM(L259:L260)</f>
        <v>19229</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11043</v>
      </c>
      <c r="E263" s="617"/>
      <c r="F263" s="617"/>
      <c r="G263" s="617"/>
      <c r="H263" s="617"/>
      <c r="I263" s="617"/>
      <c r="J263" s="617"/>
      <c r="K263" s="1694">
        <f>D263</f>
        <v>11043</v>
      </c>
      <c r="L263" s="481">
        <v>11446</v>
      </c>
    </row>
    <row r="264" spans="1:14" x14ac:dyDescent="0.2">
      <c r="A264" s="1526" t="s">
        <v>483</v>
      </c>
      <c r="B264" s="686">
        <v>2520</v>
      </c>
      <c r="C264" s="617"/>
      <c r="D264" s="466">
        <v>4494</v>
      </c>
      <c r="E264" s="617"/>
      <c r="F264" s="617"/>
      <c r="G264" s="617"/>
      <c r="H264" s="617"/>
      <c r="I264" s="617"/>
      <c r="J264" s="617"/>
      <c r="K264" s="1694">
        <f t="shared" ref="K264:K269" si="22">D264</f>
        <v>4494</v>
      </c>
      <c r="L264" s="466">
        <v>5331</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47393</v>
      </c>
      <c r="E266" s="617"/>
      <c r="F266" s="617"/>
      <c r="G266" s="617"/>
      <c r="H266" s="617"/>
      <c r="I266" s="617"/>
      <c r="J266" s="617"/>
      <c r="K266" s="1694">
        <f t="shared" si="22"/>
        <v>47393</v>
      </c>
      <c r="L266" s="466">
        <v>51942</v>
      </c>
    </row>
    <row r="267" spans="1:14" x14ac:dyDescent="0.2">
      <c r="A267" s="1526" t="s">
        <v>1010</v>
      </c>
      <c r="B267" s="615">
        <v>2550</v>
      </c>
      <c r="C267" s="617"/>
      <c r="D267" s="466">
        <v>38814</v>
      </c>
      <c r="E267" s="617"/>
      <c r="F267" s="617"/>
      <c r="G267" s="617"/>
      <c r="H267" s="617"/>
      <c r="I267" s="617"/>
      <c r="J267" s="617"/>
      <c r="K267" s="1694">
        <f t="shared" si="22"/>
        <v>38814</v>
      </c>
      <c r="L267" s="466">
        <v>47862</v>
      </c>
    </row>
    <row r="268" spans="1:14" x14ac:dyDescent="0.2">
      <c r="A268" s="1526" t="s">
        <v>102</v>
      </c>
      <c r="B268" s="615">
        <v>2560</v>
      </c>
      <c r="C268" s="617"/>
      <c r="D268" s="466">
        <v>21025</v>
      </c>
      <c r="E268" s="617"/>
      <c r="F268" s="617"/>
      <c r="G268" s="617"/>
      <c r="H268" s="617"/>
      <c r="I268" s="617"/>
      <c r="J268" s="617"/>
      <c r="K268" s="1694">
        <f t="shared" si="22"/>
        <v>21025</v>
      </c>
      <c r="L268" s="466">
        <v>21572</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122769</v>
      </c>
      <c r="E270" s="617"/>
      <c r="F270" s="617"/>
      <c r="G270" s="617"/>
      <c r="H270" s="617"/>
      <c r="I270" s="617"/>
      <c r="J270" s="617"/>
      <c r="K270" s="1692">
        <f>SUM(K263:K269)</f>
        <v>122769</v>
      </c>
      <c r="L270" s="1692">
        <f>SUM(L263:L269)</f>
        <v>138153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9087</v>
      </c>
      <c r="E274" s="617"/>
      <c r="F274" s="617"/>
      <c r="G274" s="617"/>
      <c r="H274" s="617"/>
      <c r="I274" s="617"/>
      <c r="J274" s="617"/>
      <c r="K274" s="1694">
        <f>D274</f>
        <v>9087</v>
      </c>
      <c r="L274" s="466">
        <v>9968</v>
      </c>
    </row>
    <row r="275" spans="1:12" x14ac:dyDescent="0.2">
      <c r="A275" s="1526" t="s">
        <v>423</v>
      </c>
      <c r="B275" s="615">
        <v>2640</v>
      </c>
      <c r="C275" s="617"/>
      <c r="D275" s="466">
        <v>36</v>
      </c>
      <c r="E275" s="617"/>
      <c r="F275" s="617"/>
      <c r="G275" s="617"/>
      <c r="H275" s="617"/>
      <c r="I275" s="617"/>
      <c r="J275" s="617"/>
      <c r="K275" s="1694">
        <f>D275</f>
        <v>36</v>
      </c>
      <c r="L275" s="466">
        <v>24</v>
      </c>
    </row>
    <row r="276" spans="1:12" x14ac:dyDescent="0.2">
      <c r="A276" s="1526" t="s">
        <v>424</v>
      </c>
      <c r="B276" s="615">
        <v>2660</v>
      </c>
      <c r="C276" s="617"/>
      <c r="D276" s="466">
        <v>12179</v>
      </c>
      <c r="E276" s="617"/>
      <c r="F276" s="617"/>
      <c r="G276" s="617"/>
      <c r="H276" s="617"/>
      <c r="I276" s="617"/>
      <c r="J276" s="617"/>
      <c r="K276" s="1694">
        <f>D276</f>
        <v>12179</v>
      </c>
      <c r="L276" s="466">
        <v>12926</v>
      </c>
    </row>
    <row r="277" spans="1:12" ht="12.75" customHeight="1" thickBot="1" x14ac:dyDescent="0.25">
      <c r="A277" s="1713" t="s">
        <v>37</v>
      </c>
      <c r="B277" s="1691" t="s">
        <v>36</v>
      </c>
      <c r="C277" s="617"/>
      <c r="D277" s="1692">
        <f>SUM(D272:D276)</f>
        <v>21302</v>
      </c>
      <c r="E277" s="617"/>
      <c r="F277" s="617"/>
      <c r="G277" s="617"/>
      <c r="H277" s="617"/>
      <c r="I277" s="617"/>
      <c r="J277" s="617"/>
      <c r="K277" s="1692">
        <f>SUM(K272:K276)</f>
        <v>21302</v>
      </c>
      <c r="L277" s="1692">
        <f>SUM(L272:L276)</f>
        <v>22918</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203950</v>
      </c>
      <c r="E279" s="617"/>
      <c r="F279" s="617"/>
      <c r="G279" s="617"/>
      <c r="H279" s="617"/>
      <c r="I279" s="617"/>
      <c r="J279" s="617"/>
      <c r="K279" s="1699">
        <f>SUM(K238,K243,K257,K261,K270,K277,K278)</f>
        <v>203950</v>
      </c>
      <c r="L279" s="1699">
        <f>SUM(L238,L243,L257,L261,L270,L277,L278)</f>
        <v>225441</v>
      </c>
    </row>
    <row r="280" spans="1:12" ht="15.75" customHeight="1" thickTop="1" thickBot="1" x14ac:dyDescent="0.25">
      <c r="A280" s="1646" t="s">
        <v>930</v>
      </c>
      <c r="B280" s="1635">
        <v>3000</v>
      </c>
      <c r="C280" s="617"/>
      <c r="D280" s="576">
        <v>2764</v>
      </c>
      <c r="E280" s="617"/>
      <c r="F280" s="617"/>
      <c r="G280" s="617"/>
      <c r="H280" s="617"/>
      <c r="I280" s="617"/>
      <c r="J280" s="617"/>
      <c r="K280" s="1701">
        <f>D280</f>
        <v>2764</v>
      </c>
      <c r="L280" s="576">
        <v>3578</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1954</v>
      </c>
      <c r="C282" s="617"/>
      <c r="D282" s="467">
        <v>0</v>
      </c>
      <c r="E282" s="617"/>
      <c r="F282" s="617"/>
      <c r="G282" s="617"/>
      <c r="H282" s="617"/>
      <c r="I282" s="617"/>
      <c r="J282" s="617"/>
      <c r="K282" s="1693">
        <f>D282</f>
        <v>0</v>
      </c>
      <c r="L282" s="467">
        <v>0</v>
      </c>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207" t="s">
        <v>526</v>
      </c>
      <c r="B295" s="2208"/>
      <c r="C295" s="617"/>
      <c r="D295" s="1692">
        <f>SUM(D229,D279,D280,D285)</f>
        <v>302942</v>
      </c>
      <c r="E295" s="617"/>
      <c r="F295" s="617"/>
      <c r="G295" s="617"/>
      <c r="H295" s="1692">
        <f>H293</f>
        <v>0</v>
      </c>
      <c r="I295" s="617"/>
      <c r="J295" s="617"/>
      <c r="K295" s="1692">
        <f>SUM(K229,K279,K280,K285,K293,K294)</f>
        <v>302942</v>
      </c>
      <c r="L295" s="1692">
        <f>SUM(L229,L279,L280,L285,L293,L294)</f>
        <v>331000</v>
      </c>
    </row>
    <row r="296" spans="1:14" ht="13.5" thickTop="1" x14ac:dyDescent="0.2">
      <c r="A296" s="2216" t="s">
        <v>1053</v>
      </c>
      <c r="B296" s="2217"/>
      <c r="C296" s="617"/>
      <c r="D296" s="619"/>
      <c r="E296" s="617"/>
      <c r="F296" s="617"/>
      <c r="G296" s="617"/>
      <c r="H296" s="688"/>
      <c r="I296" s="617"/>
      <c r="J296" s="617"/>
      <c r="K296" s="1706">
        <f>'Revenues 9-14'!G275-'Expenditures 15-22'!K295</f>
        <v>33524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9" t="s">
        <v>145</v>
      </c>
      <c r="B298" s="2193"/>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107129</v>
      </c>
      <c r="F301" s="466">
        <v>0</v>
      </c>
      <c r="G301" s="466">
        <v>107571</v>
      </c>
      <c r="H301" s="466">
        <v>0</v>
      </c>
      <c r="I301" s="467">
        <v>0</v>
      </c>
      <c r="J301" s="467">
        <v>0</v>
      </c>
      <c r="K301" s="1693">
        <f>SUM(C301:J301)</f>
        <v>214700</v>
      </c>
      <c r="L301" s="467">
        <v>214700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107129</v>
      </c>
      <c r="F303" s="1699">
        <f t="shared" si="23"/>
        <v>0</v>
      </c>
      <c r="G303" s="1699">
        <f t="shared" si="23"/>
        <v>107571</v>
      </c>
      <c r="H303" s="1699">
        <f t="shared" si="23"/>
        <v>0</v>
      </c>
      <c r="I303" s="1699">
        <f t="shared" si="23"/>
        <v>0</v>
      </c>
      <c r="J303" s="1699">
        <f t="shared" si="23"/>
        <v>0</v>
      </c>
      <c r="K303" s="1699">
        <f t="shared" si="23"/>
        <v>214700</v>
      </c>
      <c r="L303" s="1699">
        <f t="shared" si="23"/>
        <v>214700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1959</v>
      </c>
      <c r="B306" s="691" t="s">
        <v>1954</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204" t="s">
        <v>295</v>
      </c>
      <c r="B312" s="2205"/>
      <c r="C312" s="1692">
        <f>SUM(C303)</f>
        <v>0</v>
      </c>
      <c r="D312" s="1692">
        <f>SUM(D303)</f>
        <v>0</v>
      </c>
      <c r="E312" s="1692">
        <f>SUM(E303,E310)</f>
        <v>107129</v>
      </c>
      <c r="F312" s="1692">
        <f>SUM(F303)</f>
        <v>0</v>
      </c>
      <c r="G312" s="1692">
        <f>SUM(G303)</f>
        <v>107571</v>
      </c>
      <c r="H312" s="1692">
        <f>SUM(H303,H310)</f>
        <v>0</v>
      </c>
      <c r="I312" s="1692">
        <f>SUM(I303)</f>
        <v>0</v>
      </c>
      <c r="J312" s="1692">
        <f>SUM(J303)</f>
        <v>0</v>
      </c>
      <c r="K312" s="1692">
        <f>SUM(K303,K310,K311)</f>
        <v>214700</v>
      </c>
      <c r="L312" s="1692">
        <f>SUM(L303,L310,L311)</f>
        <v>214700</v>
      </c>
      <c r="M312" s="666"/>
      <c r="N312" s="666"/>
    </row>
    <row r="313" spans="1:14" ht="13.5" thickTop="1" x14ac:dyDescent="0.2">
      <c r="A313" s="2200" t="s">
        <v>1053</v>
      </c>
      <c r="B313" s="2201"/>
      <c r="C313" s="627"/>
      <c r="D313" s="627"/>
      <c r="E313" s="627"/>
      <c r="F313" s="627"/>
      <c r="G313" s="627"/>
      <c r="H313" s="627"/>
      <c r="I313" s="627"/>
      <c r="J313" s="627"/>
      <c r="K313" s="1707">
        <f>'Revenues 9-14'!H275-'Expenditures 15-22'!K312</f>
        <v>-206463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3" t="s">
        <v>151</v>
      </c>
      <c r="B315" s="221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5" t="s">
        <v>954</v>
      </c>
      <c r="B317" s="221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1905</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1960</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1954</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1956</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1961</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202" t="s">
        <v>1053</v>
      </c>
      <c r="B343" s="2203"/>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2" t="s">
        <v>1023</v>
      </c>
      <c r="B345" s="2193"/>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0</v>
      </c>
      <c r="F349" s="466">
        <v>0</v>
      </c>
      <c r="G349" s="466">
        <v>0</v>
      </c>
      <c r="H349" s="466">
        <v>0</v>
      </c>
      <c r="I349" s="467">
        <v>0</v>
      </c>
      <c r="J349" s="467">
        <v>0</v>
      </c>
      <c r="K349" s="1693">
        <f>SUM(C349:J349)</f>
        <v>0</v>
      </c>
      <c r="L349" s="466">
        <v>0</v>
      </c>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1962</v>
      </c>
      <c r="B354" s="684" t="s">
        <v>1954</v>
      </c>
      <c r="C354" s="617"/>
      <c r="D354" s="617"/>
      <c r="E354" s="617"/>
      <c r="F354" s="617"/>
      <c r="G354" s="617"/>
      <c r="H354" s="474">
        <v>0</v>
      </c>
      <c r="I354" s="702"/>
      <c r="J354" s="617"/>
      <c r="K354" s="1721">
        <f>H354</f>
        <v>0</v>
      </c>
      <c r="L354" s="471">
        <v>0</v>
      </c>
    </row>
    <row r="355" spans="1:14" ht="12.75" customHeight="1" x14ac:dyDescent="0.2">
      <c r="A355" s="1535" t="s">
        <v>1963</v>
      </c>
      <c r="B355" s="691" t="s">
        <v>1956</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216" t="s">
        <v>1053</v>
      </c>
      <c r="B368" s="2217"/>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B4" colorId="8" zoomScale="110" zoomScaleNormal="110" workbookViewId="0">
      <selection activeCell="J48" sqref="J48:J4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8" t="s">
        <v>1902</v>
      </c>
      <c r="B2" s="1550" t="s">
        <v>2034</v>
      </c>
      <c r="C2" s="715" t="s">
        <v>1907</v>
      </c>
      <c r="D2" s="715" t="s">
        <v>1908</v>
      </c>
      <c r="E2" s="715" t="s">
        <v>1909</v>
      </c>
      <c r="F2" s="715" t="s">
        <v>1910</v>
      </c>
    </row>
    <row r="3" spans="1:6" ht="12" customHeight="1" x14ac:dyDescent="0.2">
      <c r="A3" s="2219"/>
      <c r="B3" s="1547"/>
      <c r="C3" s="1548"/>
      <c r="D3" s="1549" t="s">
        <v>274</v>
      </c>
      <c r="E3" s="1548"/>
      <c r="F3" s="1549" t="s">
        <v>275</v>
      </c>
    </row>
    <row r="4" spans="1:6" ht="13.7" customHeight="1" x14ac:dyDescent="0.2">
      <c r="A4" s="716" t="s">
        <v>1217</v>
      </c>
      <c r="B4" s="1771">
        <f>'Revenues 9-14'!C5</f>
        <v>5566770</v>
      </c>
      <c r="C4" s="1546">
        <v>3028913</v>
      </c>
      <c r="D4" s="1774">
        <f>B4-C4</f>
        <v>2537857</v>
      </c>
      <c r="E4" s="1546">
        <v>5607344</v>
      </c>
      <c r="F4" s="1774">
        <f>E4-C4</f>
        <v>2578431</v>
      </c>
    </row>
    <row r="5" spans="1:6" ht="13.7" customHeight="1" x14ac:dyDescent="0.2">
      <c r="A5" s="716" t="s">
        <v>925</v>
      </c>
      <c r="B5" s="1772">
        <f>'Revenues 9-14'!D5</f>
        <v>732853</v>
      </c>
      <c r="C5" s="585">
        <v>398500</v>
      </c>
      <c r="D5" s="1775">
        <f t="shared" ref="D5:D18" si="0">B5-C5</f>
        <v>334353</v>
      </c>
      <c r="E5" s="585">
        <v>737732</v>
      </c>
      <c r="F5" s="1775">
        <f>E5-C5</f>
        <v>339232</v>
      </c>
    </row>
    <row r="6" spans="1:6" ht="13.7" customHeight="1" x14ac:dyDescent="0.2">
      <c r="A6" s="716" t="s">
        <v>431</v>
      </c>
      <c r="B6" s="1772">
        <f>'Revenues 9-14'!E5</f>
        <v>205319</v>
      </c>
      <c r="C6" s="585">
        <v>110855</v>
      </c>
      <c r="D6" s="1775">
        <f t="shared" si="0"/>
        <v>94464</v>
      </c>
      <c r="E6" s="585">
        <v>205224</v>
      </c>
      <c r="F6" s="1775">
        <f t="shared" ref="F6:F18" si="1">E6-C6</f>
        <v>94369</v>
      </c>
    </row>
    <row r="7" spans="1:6" ht="13.7" customHeight="1" x14ac:dyDescent="0.2">
      <c r="A7" s="716" t="s">
        <v>157</v>
      </c>
      <c r="B7" s="1772">
        <f>'Revenues 9-14'!F5</f>
        <v>222099</v>
      </c>
      <c r="C7" s="585">
        <v>118879</v>
      </c>
      <c r="D7" s="1775">
        <f t="shared" si="0"/>
        <v>103220</v>
      </c>
      <c r="E7" s="585">
        <v>220076</v>
      </c>
      <c r="F7" s="1775">
        <f t="shared" si="1"/>
        <v>101197</v>
      </c>
    </row>
    <row r="8" spans="1:6" ht="13.7" customHeight="1" x14ac:dyDescent="0.2">
      <c r="A8" s="716" t="s">
        <v>1241</v>
      </c>
      <c r="B8" s="1772">
        <f>'Revenues 9-14'!G5</f>
        <v>96124</v>
      </c>
      <c r="C8" s="585">
        <v>52270</v>
      </c>
      <c r="D8" s="1775">
        <f t="shared" si="0"/>
        <v>43854</v>
      </c>
      <c r="E8" s="585">
        <v>96765</v>
      </c>
      <c r="F8" s="1775">
        <f t="shared" si="1"/>
        <v>44495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9839</v>
      </c>
      <c r="C10" s="585">
        <v>5299</v>
      </c>
      <c r="D10" s="1775">
        <f t="shared" si="0"/>
        <v>4540</v>
      </c>
      <c r="E10" s="585">
        <v>9810</v>
      </c>
      <c r="F10" s="1775">
        <f t="shared" si="1"/>
        <v>4511</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57364</v>
      </c>
      <c r="C14" s="585">
        <v>31191</v>
      </c>
      <c r="D14" s="1775">
        <f t="shared" si="0"/>
        <v>26173</v>
      </c>
      <c r="E14" s="585">
        <v>57744</v>
      </c>
      <c r="F14" s="1775">
        <f t="shared" si="1"/>
        <v>26553</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179225</v>
      </c>
      <c r="C16" s="585">
        <v>97456</v>
      </c>
      <c r="D16" s="1775">
        <f t="shared" si="0"/>
        <v>81769</v>
      </c>
      <c r="E16" s="585">
        <v>180418</v>
      </c>
      <c r="F16" s="1775">
        <f t="shared" si="1"/>
        <v>82962</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7069593</v>
      </c>
      <c r="C19" s="1773">
        <f>SUM(C4:C18)</f>
        <v>3843363</v>
      </c>
      <c r="D19" s="1773">
        <f>SUM(D4:D18)</f>
        <v>3226230</v>
      </c>
      <c r="E19" s="1773">
        <f>SUM(E4:E18)</f>
        <v>7115113</v>
      </c>
      <c r="F19" s="1773">
        <f>SUM(F4:F18)</f>
        <v>3271750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J48" sqref="J48:J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5"/>
      <c r="C1" s="722"/>
    </row>
    <row r="2" spans="1:7" ht="33.75" x14ac:dyDescent="0.2">
      <c r="A2" s="2233" t="s">
        <v>1902</v>
      </c>
      <c r="B2" s="2234"/>
      <c r="C2" s="1909" t="s">
        <v>2035</v>
      </c>
      <c r="D2" s="724" t="s">
        <v>2042</v>
      </c>
      <c r="E2" s="724" t="s">
        <v>2043</v>
      </c>
      <c r="F2" s="1909" t="s">
        <v>2036</v>
      </c>
    </row>
    <row r="3" spans="1:7" ht="15.75" customHeight="1" x14ac:dyDescent="0.2">
      <c r="A3" s="2237" t="s">
        <v>1176</v>
      </c>
      <c r="B3" s="2238"/>
      <c r="C3" s="2226"/>
      <c r="D3" s="2227"/>
      <c r="E3" s="2227"/>
      <c r="F3" s="2228"/>
    </row>
    <row r="4" spans="1:7" ht="12.75" customHeight="1" thickBot="1" x14ac:dyDescent="0.25">
      <c r="A4" s="2235" t="s">
        <v>651</v>
      </c>
      <c r="B4" s="2236"/>
      <c r="C4" s="581"/>
      <c r="D4" s="581"/>
      <c r="E4" s="581"/>
      <c r="F4" s="1777">
        <f>SUM(C4+D4)-E4</f>
        <v>0</v>
      </c>
    </row>
    <row r="5" spans="1:7" ht="15.75" customHeight="1" thickTop="1" x14ac:dyDescent="0.2">
      <c r="A5" s="2220" t="s">
        <v>1172</v>
      </c>
      <c r="B5" s="2221"/>
      <c r="C5" s="2229"/>
      <c r="D5" s="2230"/>
      <c r="E5" s="2230"/>
      <c r="F5" s="2231"/>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2" t="s">
        <v>652</v>
      </c>
      <c r="B15" s="2223"/>
      <c r="C15" s="1777">
        <f>SUM(C6:C14)</f>
        <v>0</v>
      </c>
      <c r="D15" s="1777">
        <f>SUM(D6:D14)</f>
        <v>0</v>
      </c>
      <c r="E15" s="1777">
        <f>SUM(E6:E14)</f>
        <v>0</v>
      </c>
      <c r="F15" s="1777">
        <f>SUM(F6:F14)</f>
        <v>0</v>
      </c>
      <c r="G15" s="552"/>
    </row>
    <row r="16" spans="1:7" s="202" customFormat="1" ht="15.75" customHeight="1" thickTop="1" x14ac:dyDescent="0.2">
      <c r="A16" s="2232" t="s">
        <v>1173</v>
      </c>
      <c r="B16" s="2221"/>
      <c r="C16" s="2229"/>
      <c r="D16" s="2230"/>
      <c r="E16" s="2230"/>
      <c r="F16" s="2231"/>
    </row>
    <row r="17" spans="1:11" ht="12.75" customHeight="1" thickBot="1" x14ac:dyDescent="0.25">
      <c r="A17" s="2245" t="s">
        <v>66</v>
      </c>
      <c r="B17" s="2246"/>
      <c r="C17" s="727"/>
      <c r="D17" s="585"/>
      <c r="E17" s="727"/>
      <c r="F17" s="1777">
        <f>SUM(C17+D17)-E17</f>
        <v>0</v>
      </c>
    </row>
    <row r="18" spans="1:11" ht="12.75" customHeight="1" thickTop="1" thickBot="1" x14ac:dyDescent="0.25">
      <c r="A18" s="2245" t="s">
        <v>6</v>
      </c>
      <c r="B18" s="2246"/>
      <c r="C18" s="727"/>
      <c r="D18" s="585"/>
      <c r="E18" s="727"/>
      <c r="F18" s="1777">
        <f>SUM(C18+D18)-E18</f>
        <v>0</v>
      </c>
    </row>
    <row r="19" spans="1:11" ht="12.75" customHeight="1" thickTop="1" thickBot="1" x14ac:dyDescent="0.25">
      <c r="A19" s="2245" t="s">
        <v>406</v>
      </c>
      <c r="B19" s="2246"/>
      <c r="C19" s="727"/>
      <c r="D19" s="585"/>
      <c r="E19" s="727"/>
      <c r="F19" s="1777">
        <f>SUM(C19+D19)-E19</f>
        <v>0</v>
      </c>
    </row>
    <row r="20" spans="1:11" ht="12.75" customHeight="1" thickTop="1" thickBot="1" x14ac:dyDescent="0.25">
      <c r="A20" s="2245" t="s">
        <v>468</v>
      </c>
      <c r="B20" s="2246"/>
      <c r="C20" s="727"/>
      <c r="D20" s="585"/>
      <c r="E20" s="727"/>
      <c r="F20" s="1777">
        <f>SUM(C20+D20)-E20</f>
        <v>0</v>
      </c>
    </row>
    <row r="21" spans="1:11" ht="14.25" thickTop="1" thickBot="1" x14ac:dyDescent="0.25">
      <c r="A21" s="2222" t="s">
        <v>653</v>
      </c>
      <c r="B21" s="2223"/>
      <c r="C21" s="1777">
        <f>SUM(C17:C20)</f>
        <v>0</v>
      </c>
      <c r="D21" s="1777">
        <f>SUM(D17:D20)</f>
        <v>0</v>
      </c>
      <c r="E21" s="1777">
        <f>SUM(E17:E20)</f>
        <v>0</v>
      </c>
      <c r="F21" s="1777">
        <f>SUM(F17:F20)</f>
        <v>0</v>
      </c>
      <c r="G21" s="552"/>
    </row>
    <row r="22" spans="1:11" ht="15.75" customHeight="1" thickTop="1" x14ac:dyDescent="0.2">
      <c r="A22" s="2247" t="s">
        <v>1174</v>
      </c>
      <c r="B22" s="2221"/>
      <c r="C22" s="2229"/>
      <c r="D22" s="2230"/>
      <c r="E22" s="2230"/>
      <c r="F22" s="2231"/>
    </row>
    <row r="23" spans="1:11" ht="13.5" thickBot="1" x14ac:dyDescent="0.25">
      <c r="A23" s="2235" t="s">
        <v>654</v>
      </c>
      <c r="B23" s="2236"/>
      <c r="C23" s="581"/>
      <c r="D23" s="581"/>
      <c r="E23" s="581"/>
      <c r="F23" s="1777">
        <f>SUM(C23+D23)-E23</f>
        <v>0</v>
      </c>
      <c r="G23" s="552"/>
    </row>
    <row r="24" spans="1:11" ht="15.75" customHeight="1" thickTop="1" x14ac:dyDescent="0.2">
      <c r="A24" s="2247" t="s">
        <v>1175</v>
      </c>
      <c r="B24" s="2221"/>
      <c r="C24" s="2229"/>
      <c r="D24" s="2230"/>
      <c r="E24" s="2230"/>
      <c r="F24" s="2231"/>
    </row>
    <row r="25" spans="1:11" ht="13.5" thickBot="1" x14ac:dyDescent="0.25">
      <c r="A25" s="2235" t="s">
        <v>655</v>
      </c>
      <c r="B25" s="2236"/>
      <c r="C25" s="581"/>
      <c r="D25" s="581"/>
      <c r="E25" s="581"/>
      <c r="F25" s="1777">
        <f>SUM(C25+D25)-E25</f>
        <v>0</v>
      </c>
      <c r="G25" s="552"/>
    </row>
    <row r="26" spans="1:11" ht="15.75" customHeight="1" thickTop="1" x14ac:dyDescent="0.2">
      <c r="A26" s="2220" t="s">
        <v>678</v>
      </c>
      <c r="B26" s="2221"/>
      <c r="C26" s="728"/>
      <c r="D26" s="728"/>
      <c r="E26" s="728"/>
      <c r="F26" s="729"/>
    </row>
    <row r="27" spans="1:11" ht="13.5" thickBot="1" x14ac:dyDescent="0.25">
      <c r="A27" s="2222" t="s">
        <v>1130</v>
      </c>
      <c r="B27" s="2223"/>
      <c r="C27" s="585"/>
      <c r="D27" s="585"/>
      <c r="E27" s="585"/>
      <c r="F27" s="1777">
        <f>SUM(C27+D27)-E27</f>
        <v>0</v>
      </c>
      <c r="G27" s="552"/>
    </row>
    <row r="28" spans="1:11" ht="7.5" customHeight="1" thickTop="1" x14ac:dyDescent="0.2">
      <c r="A28" s="594"/>
    </row>
    <row r="29" spans="1:11" ht="23.25" customHeight="1" x14ac:dyDescent="0.2">
      <c r="A29" s="2248" t="s">
        <v>603</v>
      </c>
      <c r="B29" s="2225"/>
      <c r="C29" s="730"/>
      <c r="D29" s="730"/>
      <c r="E29" s="730"/>
      <c r="F29" s="730"/>
      <c r="G29" s="730"/>
      <c r="H29" s="730"/>
      <c r="I29" s="730"/>
      <c r="J29" s="730"/>
    </row>
    <row r="30" spans="1:11" ht="33.75" x14ac:dyDescent="0.2">
      <c r="A30" s="1551" t="s">
        <v>1131</v>
      </c>
      <c r="B30" s="731" t="s">
        <v>1186</v>
      </c>
      <c r="C30" s="1910" t="s">
        <v>604</v>
      </c>
      <c r="D30" s="1910" t="s">
        <v>1772</v>
      </c>
      <c r="E30" s="1910" t="s">
        <v>2037</v>
      </c>
      <c r="F30" s="1910" t="s">
        <v>2038</v>
      </c>
      <c r="G30" s="1910" t="s">
        <v>2041</v>
      </c>
      <c r="H30" s="1910" t="s">
        <v>2039</v>
      </c>
      <c r="I30" s="1910" t="s">
        <v>2040</v>
      </c>
      <c r="J30" s="1911" t="s">
        <v>2</v>
      </c>
      <c r="K30" s="732"/>
    </row>
    <row r="31" spans="1:11" ht="12" customHeight="1" x14ac:dyDescent="0.2">
      <c r="A31" s="733" t="s">
        <v>2149</v>
      </c>
      <c r="B31" s="734">
        <v>40071</v>
      </c>
      <c r="C31" s="735">
        <v>1080000</v>
      </c>
      <c r="D31" s="736">
        <v>1</v>
      </c>
      <c r="E31" s="735">
        <v>115000</v>
      </c>
      <c r="F31" s="735"/>
      <c r="G31" s="735"/>
      <c r="H31" s="735">
        <v>70000</v>
      </c>
      <c r="I31" s="1778">
        <f>((E31+F31)-H31)+G31</f>
        <v>45000</v>
      </c>
      <c r="J31" s="735">
        <v>42637</v>
      </c>
      <c r="K31" s="737"/>
    </row>
    <row r="32" spans="1:11" ht="12" customHeight="1" x14ac:dyDescent="0.2">
      <c r="A32" s="733" t="s">
        <v>2150</v>
      </c>
      <c r="B32" s="734">
        <v>40602</v>
      </c>
      <c r="C32" s="735">
        <v>575000</v>
      </c>
      <c r="D32" s="736">
        <v>1</v>
      </c>
      <c r="E32" s="735">
        <v>380000</v>
      </c>
      <c r="F32" s="735"/>
      <c r="G32" s="735"/>
      <c r="H32" s="735">
        <v>20000</v>
      </c>
      <c r="I32" s="1778">
        <f>((E32+F32)-H32)+G32</f>
        <v>360000</v>
      </c>
      <c r="J32" s="735">
        <v>345824</v>
      </c>
      <c r="K32" s="737"/>
    </row>
    <row r="33" spans="1:11" ht="12" customHeight="1" x14ac:dyDescent="0.2">
      <c r="A33" s="733" t="s">
        <v>2151</v>
      </c>
      <c r="B33" s="734">
        <v>42130</v>
      </c>
      <c r="C33" s="735">
        <v>2075000</v>
      </c>
      <c r="D33" s="736">
        <v>1</v>
      </c>
      <c r="E33" s="735">
        <v>2075000</v>
      </c>
      <c r="F33" s="735"/>
      <c r="G33" s="735"/>
      <c r="H33" s="735"/>
      <c r="I33" s="1778">
        <f t="shared" ref="I33:I48" si="1">((E33+F33)-H33)+G33</f>
        <v>2075000</v>
      </c>
      <c r="J33" s="735">
        <v>1987585</v>
      </c>
      <c r="K33" s="737"/>
    </row>
    <row r="34" spans="1:11" ht="12" customHeight="1" x14ac:dyDescent="0.2">
      <c r="A34" s="733" t="s">
        <v>2152</v>
      </c>
      <c r="B34" s="734">
        <v>42130</v>
      </c>
      <c r="C34" s="735">
        <v>330000</v>
      </c>
      <c r="D34" s="736">
        <v>1</v>
      </c>
      <c r="E34" s="735">
        <v>330000</v>
      </c>
      <c r="F34" s="735"/>
      <c r="G34" s="735"/>
      <c r="H34" s="735"/>
      <c r="I34" s="1778">
        <f t="shared" si="1"/>
        <v>330000</v>
      </c>
      <c r="J34" s="735">
        <v>315825</v>
      </c>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4060000</v>
      </c>
      <c r="D49" s="746"/>
      <c r="E49" s="1778">
        <f t="shared" ref="E49:J49" si="2">SUM(E31:E48)</f>
        <v>2900000</v>
      </c>
      <c r="F49" s="1778">
        <f t="shared" si="2"/>
        <v>0</v>
      </c>
      <c r="G49" s="1778">
        <f t="shared" si="2"/>
        <v>0</v>
      </c>
      <c r="H49" s="1778">
        <f t="shared" si="2"/>
        <v>90000</v>
      </c>
      <c r="I49" s="1778">
        <f t="shared" si="2"/>
        <v>2810000</v>
      </c>
      <c r="J49" s="1778">
        <f t="shared" si="2"/>
        <v>2691871</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39" t="s">
        <v>605</v>
      </c>
      <c r="C52" s="2240"/>
      <c r="D52" s="2240"/>
      <c r="E52" s="750" t="s">
        <v>900</v>
      </c>
      <c r="F52" s="2241"/>
      <c r="G52" s="2242"/>
      <c r="H52" s="737"/>
      <c r="I52" s="737"/>
      <c r="J52" s="747"/>
    </row>
    <row r="53" spans="1:11" ht="11.25" customHeight="1" x14ac:dyDescent="0.2">
      <c r="A53" s="751" t="s">
        <v>969</v>
      </c>
      <c r="B53" s="752" t="s">
        <v>1008</v>
      </c>
      <c r="C53" s="747"/>
      <c r="D53" s="738"/>
      <c r="E53" s="750" t="s">
        <v>518</v>
      </c>
      <c r="F53" s="2243"/>
      <c r="G53" s="2244"/>
      <c r="H53" s="737"/>
      <c r="I53" s="737"/>
      <c r="J53" s="747"/>
    </row>
    <row r="54" spans="1:11" ht="11.25" customHeight="1" x14ac:dyDescent="0.2">
      <c r="A54" s="753" t="s">
        <v>970</v>
      </c>
      <c r="B54" s="748" t="s">
        <v>1009</v>
      </c>
      <c r="C54" s="747"/>
      <c r="D54" s="738"/>
      <c r="E54" s="750" t="s">
        <v>519</v>
      </c>
      <c r="F54" s="2243"/>
      <c r="G54" s="224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7" colorId="8" zoomScale="110" zoomScaleNormal="110" workbookViewId="0">
      <selection activeCell="J48" sqref="J48:J4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3" t="s">
        <v>911</v>
      </c>
      <c r="B1" s="2274"/>
      <c r="C1" s="2274"/>
      <c r="D1" s="2274"/>
      <c r="E1" s="2274"/>
      <c r="F1" s="2274"/>
      <c r="G1" s="2275"/>
      <c r="H1" s="1552"/>
      <c r="I1" s="761"/>
      <c r="J1" s="433"/>
    </row>
    <row r="2" spans="1:11" ht="26.25" x14ac:dyDescent="0.2">
      <c r="A2" s="2252" t="s">
        <v>1776</v>
      </c>
      <c r="B2" s="2253"/>
      <c r="C2" s="2253"/>
      <c r="D2" s="2253"/>
      <c r="E2" s="2254"/>
      <c r="F2" s="762" t="s">
        <v>960</v>
      </c>
      <c r="G2" s="763" t="s">
        <v>1773</v>
      </c>
      <c r="H2" s="763" t="s">
        <v>430</v>
      </c>
      <c r="I2" s="763" t="s">
        <v>1220</v>
      </c>
      <c r="J2" s="763" t="s">
        <v>1916</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40"/>
      <c r="F4" s="767"/>
      <c r="G4" s="768"/>
      <c r="H4" s="769"/>
      <c r="I4" s="768"/>
      <c r="J4" s="770"/>
      <c r="K4" s="770"/>
    </row>
    <row r="5" spans="1:11" x14ac:dyDescent="0.2">
      <c r="A5" s="2276" t="s">
        <v>1129</v>
      </c>
      <c r="B5" s="2249"/>
      <c r="C5" s="2249"/>
      <c r="D5" s="2249"/>
      <c r="E5" s="2277"/>
      <c r="F5" s="771" t="s">
        <v>903</v>
      </c>
      <c r="G5" s="772"/>
      <c r="H5" s="765">
        <v>57364</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76" t="s">
        <v>1917</v>
      </c>
      <c r="B10" s="2249"/>
      <c r="C10" s="2249"/>
      <c r="D10" s="2249"/>
      <c r="E10" s="2278"/>
      <c r="F10" s="784" t="s">
        <v>917</v>
      </c>
      <c r="G10" s="783"/>
      <c r="H10" s="785"/>
      <c r="I10" s="765"/>
      <c r="J10" s="766"/>
      <c r="K10" s="766"/>
    </row>
    <row r="11" spans="1:11" x14ac:dyDescent="0.2">
      <c r="A11" s="2276" t="s">
        <v>162</v>
      </c>
      <c r="B11" s="2249"/>
      <c r="C11" s="2249"/>
      <c r="D11" s="2249"/>
      <c r="E11" s="2277"/>
      <c r="F11" s="771" t="s">
        <v>907</v>
      </c>
      <c r="G11" s="772"/>
      <c r="H11" s="765"/>
      <c r="I11" s="765"/>
      <c r="J11" s="766"/>
      <c r="K11" s="774"/>
    </row>
    <row r="12" spans="1:11" ht="13.5" thickBot="1" x14ac:dyDescent="0.25">
      <c r="A12" s="2266" t="s">
        <v>961</v>
      </c>
      <c r="B12" s="2267"/>
      <c r="C12" s="2267"/>
      <c r="D12" s="2267"/>
      <c r="E12" s="2268"/>
      <c r="F12" s="1779"/>
      <c r="G12" s="1780">
        <f>SUM(G5:G11)</f>
        <v>0</v>
      </c>
      <c r="H12" s="1780">
        <f>SUM(H5:H11)</f>
        <v>57364</v>
      </c>
      <c r="I12" s="1780">
        <f>SUM(I5:I11)</f>
        <v>0</v>
      </c>
      <c r="J12" s="1780">
        <f>SUM(J5:J11)</f>
        <v>0</v>
      </c>
      <c r="K12" s="1780">
        <f>SUM(K5:K11)</f>
        <v>0</v>
      </c>
    </row>
    <row r="13" spans="1:11" ht="13.5" thickTop="1" x14ac:dyDescent="0.2">
      <c r="A13" s="2260" t="s">
        <v>388</v>
      </c>
      <c r="B13" s="2261"/>
      <c r="C13" s="2261"/>
      <c r="D13" s="2261"/>
      <c r="E13" s="2262"/>
      <c r="F13" s="786"/>
      <c r="G13" s="787"/>
      <c r="H13" s="788"/>
      <c r="I13" s="789"/>
      <c r="J13" s="789"/>
      <c r="K13" s="789"/>
    </row>
    <row r="14" spans="1:11" x14ac:dyDescent="0.2">
      <c r="A14" s="2282" t="s">
        <v>476</v>
      </c>
      <c r="B14" s="2282"/>
      <c r="C14" s="2282"/>
      <c r="D14" s="2282"/>
      <c r="E14" s="2283"/>
      <c r="F14" s="790" t="s">
        <v>909</v>
      </c>
      <c r="G14" s="783"/>
      <c r="H14" s="765">
        <v>57364</v>
      </c>
      <c r="I14" s="772"/>
      <c r="J14" s="774"/>
      <c r="K14" s="766"/>
    </row>
    <row r="15" spans="1:11" x14ac:dyDescent="0.2">
      <c r="A15" s="2249" t="s">
        <v>4</v>
      </c>
      <c r="B15" s="2249"/>
      <c r="C15" s="2249"/>
      <c r="D15" s="2249"/>
      <c r="E15" s="2277"/>
      <c r="F15" s="790" t="s">
        <v>910</v>
      </c>
      <c r="G15" s="772"/>
      <c r="H15" s="765"/>
      <c r="I15" s="765"/>
      <c r="J15" s="766"/>
      <c r="K15" s="766"/>
    </row>
    <row r="16" spans="1:11" x14ac:dyDescent="0.2">
      <c r="A16" s="2249" t="s">
        <v>316</v>
      </c>
      <c r="B16" s="2249"/>
      <c r="C16" s="2249"/>
      <c r="D16" s="2249"/>
      <c r="E16" s="2277"/>
      <c r="F16" s="790" t="s">
        <v>980</v>
      </c>
      <c r="G16" s="773"/>
      <c r="H16" s="768"/>
      <c r="I16" s="768"/>
      <c r="J16" s="770"/>
      <c r="K16" s="770"/>
    </row>
    <row r="17" spans="1:11" x14ac:dyDescent="0.2">
      <c r="A17" s="2271" t="s">
        <v>992</v>
      </c>
      <c r="B17" s="2271"/>
      <c r="C17" s="2271"/>
      <c r="D17" s="2271"/>
      <c r="E17" s="2272"/>
      <c r="F17" s="791"/>
      <c r="G17" s="792"/>
      <c r="H17" s="793"/>
      <c r="I17" s="793"/>
      <c r="J17" s="794"/>
      <c r="K17" s="795"/>
    </row>
    <row r="18" spans="1:11" x14ac:dyDescent="0.2">
      <c r="A18" s="2263" t="s">
        <v>386</v>
      </c>
      <c r="B18" s="2264"/>
      <c r="C18" s="2264"/>
      <c r="D18" s="2264"/>
      <c r="E18" s="2265"/>
      <c r="F18" s="790" t="s">
        <v>989</v>
      </c>
      <c r="G18" s="783"/>
      <c r="H18" s="783"/>
      <c r="I18" s="783"/>
      <c r="J18" s="766"/>
      <c r="K18" s="796"/>
    </row>
    <row r="19" spans="1:11" ht="21.75" customHeight="1" x14ac:dyDescent="0.2">
      <c r="A19" s="2284" t="s">
        <v>1913</v>
      </c>
      <c r="B19" s="2284"/>
      <c r="C19" s="2284"/>
      <c r="D19" s="2284"/>
      <c r="E19" s="2285"/>
      <c r="F19" s="790" t="s">
        <v>990</v>
      </c>
      <c r="G19" s="783"/>
      <c r="H19" s="783"/>
      <c r="I19" s="783"/>
      <c r="J19" s="766"/>
      <c r="K19" s="796"/>
    </row>
    <row r="20" spans="1:11" x14ac:dyDescent="0.2">
      <c r="A20" s="2263" t="s">
        <v>1918</v>
      </c>
      <c r="B20" s="2264"/>
      <c r="C20" s="2264"/>
      <c r="D20" s="2264"/>
      <c r="E20" s="2265"/>
      <c r="F20" s="790" t="s">
        <v>991</v>
      </c>
      <c r="G20" s="783"/>
      <c r="H20" s="783"/>
      <c r="I20" s="783"/>
      <c r="J20" s="766"/>
      <c r="K20" s="796"/>
    </row>
    <row r="21" spans="1:11" ht="13.5" thickBot="1" x14ac:dyDescent="0.25">
      <c r="A21" s="2269" t="s">
        <v>659</v>
      </c>
      <c r="B21" s="2269"/>
      <c r="C21" s="2269"/>
      <c r="D21" s="2269"/>
      <c r="E21" s="2269"/>
      <c r="F21" s="1781"/>
      <c r="G21" s="793"/>
      <c r="H21" s="797"/>
      <c r="I21" s="797"/>
      <c r="J21" s="1782">
        <f>SUM(J18:J20)</f>
        <v>0</v>
      </c>
      <c r="K21" s="794"/>
    </row>
    <row r="22" spans="1:11" ht="13.5" thickTop="1" x14ac:dyDescent="0.2">
      <c r="A22" s="2249" t="s">
        <v>1919</v>
      </c>
      <c r="B22" s="2249"/>
      <c r="C22" s="2249"/>
      <c r="D22" s="2249"/>
      <c r="E22" s="2277"/>
      <c r="F22" s="790" t="s">
        <v>917</v>
      </c>
      <c r="G22" s="783"/>
      <c r="H22" s="765"/>
      <c r="I22" s="765"/>
      <c r="J22" s="798"/>
      <c r="K22" s="766"/>
    </row>
    <row r="23" spans="1:11" ht="13.5" thickBot="1" x14ac:dyDescent="0.25">
      <c r="A23" s="2270" t="s">
        <v>962</v>
      </c>
      <c r="B23" s="2269"/>
      <c r="C23" s="2269"/>
      <c r="D23" s="2269"/>
      <c r="E23" s="2269"/>
      <c r="F23" s="1783"/>
      <c r="G23" s="1780">
        <f>SUM(G14:G16,G21,G22)</f>
        <v>0</v>
      </c>
      <c r="H23" s="1780">
        <f>SUM(H14:H16,H21,H22)</f>
        <v>57364</v>
      </c>
      <c r="I23" s="1780">
        <f>SUM(I14:I16,I21,I22)</f>
        <v>0</v>
      </c>
      <c r="J23" s="1780">
        <f>SUM(J14:J16,J21,J22)</f>
        <v>0</v>
      </c>
      <c r="K23" s="1780">
        <f>SUM(K14:K16,K21,K22)</f>
        <v>0</v>
      </c>
    </row>
    <row r="24" spans="1:11" ht="14.25" thickTop="1" thickBot="1" x14ac:dyDescent="0.25">
      <c r="A24" s="2270" t="s">
        <v>2023</v>
      </c>
      <c r="B24" s="2269"/>
      <c r="C24" s="2269"/>
      <c r="D24" s="2269"/>
      <c r="E24" s="2269"/>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2033</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9"/>
      <c r="I31" s="2280"/>
      <c r="J31" s="2280"/>
      <c r="K31" s="2280"/>
    </row>
    <row r="32" spans="1:11" x14ac:dyDescent="0.2">
      <c r="A32" s="810"/>
      <c r="B32" s="237"/>
      <c r="C32" s="237"/>
      <c r="D32" s="237"/>
      <c r="E32" s="806"/>
      <c r="F32" s="812" t="s">
        <v>561</v>
      </c>
      <c r="G32" s="765"/>
      <c r="H32" s="2281"/>
      <c r="I32" s="2280"/>
      <c r="J32" s="2280"/>
      <c r="K32" s="2280"/>
    </row>
    <row r="33" spans="1:11" ht="1.5" customHeight="1" x14ac:dyDescent="0.2">
      <c r="A33" s="813" t="s">
        <v>1231</v>
      </c>
      <c r="B33" s="364"/>
      <c r="C33" s="364"/>
      <c r="D33" s="364"/>
      <c r="E33" s="364"/>
      <c r="F33" s="364"/>
      <c r="G33" s="814"/>
      <c r="H33" s="2281"/>
      <c r="I33" s="2280"/>
      <c r="J33" s="2280"/>
      <c r="K33" s="2280"/>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9"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1914</v>
      </c>
      <c r="B46" s="408" t="s">
        <v>1774</v>
      </c>
    </row>
    <row r="47" spans="1:11" s="824" customFormat="1" ht="12.75" customHeight="1" x14ac:dyDescent="0.2">
      <c r="A47" s="822"/>
      <c r="B47" s="823" t="s">
        <v>1775</v>
      </c>
      <c r="E47" s="823"/>
      <c r="K47" s="825"/>
    </row>
    <row r="48" spans="1:11" ht="12.75" customHeight="1" x14ac:dyDescent="0.2">
      <c r="A48" s="1554"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 colorId="8" zoomScale="83" zoomScaleNormal="83" workbookViewId="0">
      <selection activeCell="J48" sqref="J48:J4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2032</v>
      </c>
      <c r="B1" s="2289"/>
      <c r="C1" s="2290"/>
      <c r="D1" s="827"/>
      <c r="E1" s="828"/>
      <c r="F1" s="828"/>
      <c r="G1" s="829"/>
      <c r="H1" s="830"/>
      <c r="I1" s="831"/>
      <c r="J1" s="2286"/>
      <c r="K1" s="2287"/>
      <c r="L1" s="2287"/>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1" t="s">
        <v>948</v>
      </c>
      <c r="B3" s="1652">
        <v>210</v>
      </c>
      <c r="C3" s="836">
        <v>0</v>
      </c>
      <c r="D3" s="836"/>
      <c r="E3" s="836"/>
      <c r="F3" s="1782">
        <f>(C3+D3)-E3</f>
        <v>0</v>
      </c>
      <c r="G3" s="837"/>
      <c r="H3" s="836">
        <v>0</v>
      </c>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59496</v>
      </c>
      <c r="D5" s="842"/>
      <c r="E5" s="842"/>
      <c r="F5" s="1782">
        <f>(C5+D5)-E5</f>
        <v>59496</v>
      </c>
      <c r="G5" s="838"/>
      <c r="H5" s="843"/>
      <c r="I5" s="843"/>
      <c r="J5" s="843"/>
      <c r="K5" s="794"/>
      <c r="L5" s="1791">
        <f>F5-K5</f>
        <v>59496</v>
      </c>
    </row>
    <row r="6" spans="1:14" ht="14.25" thickTop="1" thickBot="1" x14ac:dyDescent="0.25">
      <c r="A6" s="779" t="s">
        <v>1179</v>
      </c>
      <c r="B6" s="841">
        <v>222</v>
      </c>
      <c r="C6" s="766">
        <v>0</v>
      </c>
      <c r="D6" s="766"/>
      <c r="E6" s="766"/>
      <c r="F6" s="1782">
        <f>(C6+D6)-E6</f>
        <v>0</v>
      </c>
      <c r="G6" s="838">
        <v>50</v>
      </c>
      <c r="H6" s="766">
        <v>0</v>
      </c>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6079288</v>
      </c>
      <c r="D8" s="845">
        <v>94967</v>
      </c>
      <c r="E8" s="845">
        <v>1284220</v>
      </c>
      <c r="F8" s="1782">
        <f>(C8+D8)-E8</f>
        <v>4890035</v>
      </c>
      <c r="G8" s="844">
        <v>50</v>
      </c>
      <c r="H8" s="766">
        <v>3352784</v>
      </c>
      <c r="I8" s="766">
        <v>123485</v>
      </c>
      <c r="J8" s="766">
        <v>1215220</v>
      </c>
      <c r="K8" s="1791">
        <f>(H8+I8)-J8</f>
        <v>2261049</v>
      </c>
      <c r="L8" s="1791">
        <f>F8-K8</f>
        <v>2628986</v>
      </c>
    </row>
    <row r="9" spans="1:14" ht="14.25" thickTop="1" thickBot="1" x14ac:dyDescent="0.25">
      <c r="A9" s="779" t="s">
        <v>1181</v>
      </c>
      <c r="B9" s="841">
        <v>232</v>
      </c>
      <c r="C9" s="766">
        <v>0</v>
      </c>
      <c r="D9" s="766"/>
      <c r="E9" s="766"/>
      <c r="F9" s="1782">
        <f>(C9+D9)-E9</f>
        <v>0</v>
      </c>
      <c r="G9" s="844">
        <v>20</v>
      </c>
      <c r="H9" s="766">
        <v>0</v>
      </c>
      <c r="I9" s="766"/>
      <c r="J9" s="766"/>
      <c r="K9" s="1791">
        <f>(H9+I9)-J9</f>
        <v>0</v>
      </c>
      <c r="L9" s="1791">
        <f>F9-K9</f>
        <v>0</v>
      </c>
    </row>
    <row r="10" spans="1:14" ht="24" thickTop="1" thickBot="1" x14ac:dyDescent="0.25">
      <c r="A10" s="846" t="s">
        <v>1182</v>
      </c>
      <c r="B10" s="841">
        <v>240</v>
      </c>
      <c r="C10" s="847">
        <v>476009</v>
      </c>
      <c r="D10" s="847">
        <v>19765</v>
      </c>
      <c r="E10" s="847">
        <v>11526</v>
      </c>
      <c r="F10" s="1786">
        <f>(C10+D10)-E10</f>
        <v>484248</v>
      </c>
      <c r="G10" s="844">
        <v>20</v>
      </c>
      <c r="H10" s="848">
        <v>115635</v>
      </c>
      <c r="I10" s="848">
        <v>21764</v>
      </c>
      <c r="J10" s="848">
        <v>11526</v>
      </c>
      <c r="K10" s="1791">
        <f>(H10+I10)-J10</f>
        <v>125873</v>
      </c>
      <c r="L10" s="1791">
        <f>F10-K10</f>
        <v>358375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1139360</v>
      </c>
      <c r="D12" s="845">
        <v>171484</v>
      </c>
      <c r="E12" s="845">
        <v>3698</v>
      </c>
      <c r="F12" s="1782">
        <f>(C12+D12)-E12</f>
        <v>1307146</v>
      </c>
      <c r="G12" s="844">
        <v>10</v>
      </c>
      <c r="H12" s="766">
        <v>904468</v>
      </c>
      <c r="I12" s="766">
        <v>74684</v>
      </c>
      <c r="J12" s="766">
        <v>3698</v>
      </c>
      <c r="K12" s="1791">
        <f>(H12+I12)-J12</f>
        <v>975454</v>
      </c>
      <c r="L12" s="1791">
        <f>F12-K12</f>
        <v>331692</v>
      </c>
    </row>
    <row r="13" spans="1:14" ht="14.25" thickTop="1" thickBot="1" x14ac:dyDescent="0.25">
      <c r="A13" s="849" t="s">
        <v>1184</v>
      </c>
      <c r="B13" s="841">
        <v>252</v>
      </c>
      <c r="C13" s="845">
        <v>1209901</v>
      </c>
      <c r="D13" s="845">
        <v>99728</v>
      </c>
      <c r="E13" s="845">
        <v>58928</v>
      </c>
      <c r="F13" s="1782">
        <f>(C13+D13)-E13</f>
        <v>1250701</v>
      </c>
      <c r="G13" s="844">
        <v>5</v>
      </c>
      <c r="H13" s="766">
        <v>1077874</v>
      </c>
      <c r="I13" s="766">
        <v>75968</v>
      </c>
      <c r="J13" s="766">
        <v>52071</v>
      </c>
      <c r="K13" s="1791">
        <f>(H13+I13)-J13</f>
        <v>1101771</v>
      </c>
      <c r="L13" s="1791">
        <f>F13-K13</f>
        <v>148930</v>
      </c>
    </row>
    <row r="14" spans="1:14" ht="14.25" thickTop="1" thickBot="1" x14ac:dyDescent="0.25">
      <c r="A14" s="849" t="s">
        <v>1185</v>
      </c>
      <c r="B14" s="841">
        <v>253</v>
      </c>
      <c r="C14" s="766">
        <v>0</v>
      </c>
      <c r="D14" s="766"/>
      <c r="E14" s="766"/>
      <c r="F14" s="1782">
        <f>(C14+D14)-E14</f>
        <v>0</v>
      </c>
      <c r="G14" s="844">
        <v>3</v>
      </c>
      <c r="H14" s="766">
        <v>0</v>
      </c>
      <c r="I14" s="766"/>
      <c r="J14" s="766"/>
      <c r="K14" s="1791">
        <f>(H14+I14)-J14</f>
        <v>0</v>
      </c>
      <c r="L14" s="1791">
        <f>F14-K14</f>
        <v>0</v>
      </c>
    </row>
    <row r="15" spans="1:14" ht="15" customHeight="1" thickTop="1" thickBot="1" x14ac:dyDescent="0.25">
      <c r="A15" s="1653" t="s">
        <v>549</v>
      </c>
      <c r="B15" s="1652">
        <v>260</v>
      </c>
      <c r="C15" s="845">
        <v>0</v>
      </c>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8964054</v>
      </c>
      <c r="D16" s="1782">
        <f>SUM(D3,D5:D6,D8:D10,D12:D15)</f>
        <v>385944</v>
      </c>
      <c r="E16" s="1782">
        <f>SUM(E3,E5:E6,E8:E10,E12:E15)</f>
        <v>1358372</v>
      </c>
      <c r="F16" s="1782">
        <f>SUM(F3,F5:F6,F8:F10,F12:F15)</f>
        <v>7991626</v>
      </c>
      <c r="G16" s="844"/>
      <c r="H16" s="1782">
        <f>SUM(H3,H6,H8:H10,H12:H14,)</f>
        <v>5450761</v>
      </c>
      <c r="I16" s="1782">
        <f>SUM(I3,I6,I8:I10,I12:I14,)</f>
        <v>295901</v>
      </c>
      <c r="J16" s="1782">
        <f>SUM(J3,J6,J8:J10,J12:J14,)</f>
        <v>1282515</v>
      </c>
      <c r="K16" s="1782">
        <f>(H16+I16)-J16</f>
        <v>4464147</v>
      </c>
      <c r="L16" s="1782">
        <f>F16-K16</f>
        <v>3527479</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48443</v>
      </c>
      <c r="G17" s="838">
        <v>10</v>
      </c>
      <c r="H17" s="770"/>
      <c r="I17" s="1791">
        <f>F17/G17</f>
        <v>4844.3</v>
      </c>
      <c r="J17" s="770"/>
      <c r="K17" s="796"/>
      <c r="L17" s="796"/>
    </row>
    <row r="18" spans="1:12" ht="14.25" thickTop="1" thickBot="1" x14ac:dyDescent="0.25">
      <c r="A18" s="1789" t="s">
        <v>706</v>
      </c>
      <c r="B18" s="1790"/>
      <c r="C18" s="772"/>
      <c r="D18" s="772"/>
      <c r="E18" s="772"/>
      <c r="F18" s="851"/>
      <c r="G18" s="852"/>
      <c r="H18" s="774"/>
      <c r="I18" s="1782">
        <f>SUM(I16,I17)</f>
        <v>300745.3</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167" activePane="bottomLeft" state="frozen"/>
      <selection activeCell="J48" sqref="J48:J49"/>
      <selection pane="bottomLeft" activeCell="J48" sqref="J48:J4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4" t="s">
        <v>1699</v>
      </c>
      <c r="B1" s="2295"/>
      <c r="C1" s="2295"/>
      <c r="D1" s="2295"/>
      <c r="E1" s="2295"/>
      <c r="F1" s="2296"/>
      <c r="G1" s="856"/>
    </row>
    <row r="2" spans="1:7" ht="15" customHeight="1" thickBot="1" x14ac:dyDescent="0.25">
      <c r="A2" s="2297" t="s">
        <v>498</v>
      </c>
      <c r="B2" s="2298"/>
      <c r="C2" s="2298"/>
      <c r="D2" s="2298"/>
      <c r="E2" s="2298"/>
      <c r="F2" s="229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0"/>
      <c r="B5" s="2301"/>
      <c r="C5" s="2301"/>
      <c r="D5" s="2301"/>
      <c r="E5" s="2301"/>
      <c r="F5" s="2301"/>
    </row>
    <row r="6" spans="1:7" ht="13.5" customHeight="1" thickBot="1" x14ac:dyDescent="0.25">
      <c r="A6" s="2291" t="s">
        <v>1166</v>
      </c>
      <c r="B6" s="2292"/>
      <c r="C6" s="2292"/>
      <c r="D6" s="2292"/>
      <c r="E6" s="2292"/>
      <c r="F6" s="229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7843823</v>
      </c>
      <c r="G8" s="866"/>
    </row>
    <row r="9" spans="1:7" x14ac:dyDescent="0.2">
      <c r="A9" s="870" t="s">
        <v>480</v>
      </c>
      <c r="B9" s="871" t="s">
        <v>1986</v>
      </c>
      <c r="C9" s="872"/>
      <c r="D9" s="870" t="s">
        <v>522</v>
      </c>
      <c r="E9" s="869"/>
      <c r="F9" s="1935">
        <f>'Expenditures 15-22'!K151</f>
        <v>1219994</v>
      </c>
      <c r="G9" s="873"/>
    </row>
    <row r="10" spans="1:7" x14ac:dyDescent="0.2">
      <c r="A10" s="870" t="s">
        <v>520</v>
      </c>
      <c r="B10" s="871" t="s">
        <v>1987</v>
      </c>
      <c r="C10" s="872"/>
      <c r="D10" s="870" t="s">
        <v>522</v>
      </c>
      <c r="E10" s="869"/>
      <c r="F10" s="1935">
        <f>'Expenditures 15-22'!K174</f>
        <v>204500</v>
      </c>
      <c r="G10" s="873"/>
    </row>
    <row r="11" spans="1:7" x14ac:dyDescent="0.2">
      <c r="A11" s="870" t="s">
        <v>481</v>
      </c>
      <c r="B11" s="871" t="s">
        <v>1988</v>
      </c>
      <c r="C11" s="872"/>
      <c r="D11" s="870" t="s">
        <v>522</v>
      </c>
      <c r="E11" s="869"/>
      <c r="F11" s="1935">
        <f>'Expenditures 15-22'!K210</f>
        <v>590465</v>
      </c>
      <c r="G11" s="873"/>
    </row>
    <row r="12" spans="1:7" x14ac:dyDescent="0.2">
      <c r="A12" s="870" t="s">
        <v>482</v>
      </c>
      <c r="B12" s="871" t="s">
        <v>1989</v>
      </c>
      <c r="C12" s="872"/>
      <c r="D12" s="870" t="s">
        <v>522</v>
      </c>
      <c r="E12" s="869"/>
      <c r="F12" s="1935">
        <f>'Expenditures 15-22'!K295</f>
        <v>302942</v>
      </c>
      <c r="G12" s="873"/>
    </row>
    <row r="13" spans="1:7" x14ac:dyDescent="0.2">
      <c r="A13" s="870" t="s">
        <v>108</v>
      </c>
      <c r="B13" s="871" t="s">
        <v>1990</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10161724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179632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53619</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7751</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194212</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44470</v>
      </c>
      <c r="G52" s="866"/>
    </row>
    <row r="53" spans="1:7" x14ac:dyDescent="0.2">
      <c r="A53" s="870" t="s">
        <v>479</v>
      </c>
      <c r="B53" s="870" t="s">
        <v>1551</v>
      </c>
      <c r="C53" s="890">
        <f>'Expenditures 15-22'!B102</f>
        <v>4000</v>
      </c>
      <c r="D53" s="889" t="str">
        <f>'Expenditures 15-22'!A102</f>
        <v>Total Payments to Other Govt Units</v>
      </c>
      <c r="E53" s="869"/>
      <c r="F53" s="1939">
        <f>'Expenditures 15-22'!K102</f>
        <v>185887</v>
      </c>
      <c r="G53" s="866"/>
    </row>
    <row r="54" spans="1:7" x14ac:dyDescent="0.2">
      <c r="A54" s="870" t="s">
        <v>479</v>
      </c>
      <c r="B54" s="870" t="s">
        <v>1552</v>
      </c>
      <c r="C54" s="890" t="s">
        <v>1039</v>
      </c>
      <c r="D54" s="886" t="s">
        <v>1157</v>
      </c>
      <c r="E54" s="869"/>
      <c r="F54" s="1939">
        <f>'Expenditures 15-22'!G114</f>
        <v>32218</v>
      </c>
      <c r="G54" s="866"/>
    </row>
    <row r="55" spans="1:7" x14ac:dyDescent="0.2">
      <c r="A55" s="870" t="s">
        <v>479</v>
      </c>
      <c r="B55" s="870" t="s">
        <v>1553</v>
      </c>
      <c r="C55" s="890" t="s">
        <v>1039</v>
      </c>
      <c r="D55" s="886" t="s">
        <v>309</v>
      </c>
      <c r="E55" s="869"/>
      <c r="F55" s="1939">
        <f>'Expenditures 15-22'!I114</f>
        <v>34037</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39">
        <f>'Expenditures 15-22'!K139</f>
        <v>0</v>
      </c>
      <c r="G57" s="866"/>
    </row>
    <row r="58" spans="1:7" x14ac:dyDescent="0.2">
      <c r="A58" s="870" t="s">
        <v>480</v>
      </c>
      <c r="B58" s="870" t="s">
        <v>1992</v>
      </c>
      <c r="C58" s="887" t="s">
        <v>1039</v>
      </c>
      <c r="D58" s="886" t="s">
        <v>1157</v>
      </c>
      <c r="E58" s="869"/>
      <c r="F58" s="1941">
        <f>'Expenditures 15-22'!G151</f>
        <v>146427</v>
      </c>
      <c r="G58" s="866"/>
    </row>
    <row r="59" spans="1:7" x14ac:dyDescent="0.2">
      <c r="A59" s="894" t="s">
        <v>480</v>
      </c>
      <c r="B59" s="857" t="s">
        <v>1993</v>
      </c>
      <c r="C59" s="895" t="s">
        <v>1039</v>
      </c>
      <c r="D59" s="857" t="s">
        <v>309</v>
      </c>
      <c r="F59" s="1942">
        <f>'Expenditures 15-22'!I151</f>
        <v>14406</v>
      </c>
      <c r="G59" s="866"/>
    </row>
    <row r="60" spans="1:7" x14ac:dyDescent="0.2">
      <c r="A60" s="894" t="s">
        <v>520</v>
      </c>
      <c r="B60" s="857" t="s">
        <v>1994</v>
      </c>
      <c r="C60" s="895">
        <v>4000</v>
      </c>
      <c r="D60" s="857" t="s">
        <v>330</v>
      </c>
      <c r="F60" s="1940">
        <f>'Expenditures 15-22'!K160</f>
        <v>0</v>
      </c>
      <c r="G60" s="866"/>
    </row>
    <row r="61" spans="1:7" x14ac:dyDescent="0.2">
      <c r="A61" s="896" t="s">
        <v>520</v>
      </c>
      <c r="B61" s="896" t="s">
        <v>1995</v>
      </c>
      <c r="C61" s="897" t="str">
        <f>'Expenditures 15-22'!B170</f>
        <v>5300</v>
      </c>
      <c r="D61" s="898" t="s">
        <v>329</v>
      </c>
      <c r="E61" s="880"/>
      <c r="F61" s="1939">
        <f>'Expenditures 15-22'!K170</f>
        <v>90000</v>
      </c>
      <c r="G61" s="866"/>
    </row>
    <row r="62" spans="1:7" x14ac:dyDescent="0.2">
      <c r="A62" s="870" t="s">
        <v>481</v>
      </c>
      <c r="B62" s="870" t="s">
        <v>1996</v>
      </c>
      <c r="C62" s="887">
        <f>'Expenditures 15-22'!B185</f>
        <v>3000</v>
      </c>
      <c r="D62" s="877" t="s">
        <v>469</v>
      </c>
      <c r="E62" s="869"/>
      <c r="F62" s="1939">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39">
        <f>'Expenditures 15-22'!K196</f>
        <v>0</v>
      </c>
      <c r="G63" s="866"/>
    </row>
    <row r="64" spans="1:7" x14ac:dyDescent="0.2">
      <c r="A64" s="896" t="s">
        <v>481</v>
      </c>
      <c r="B64" s="896" t="s">
        <v>1998</v>
      </c>
      <c r="C64" s="897" t="str">
        <f>'Expenditures 15-22'!B206</f>
        <v>5300</v>
      </c>
      <c r="D64" s="893" t="s">
        <v>329</v>
      </c>
      <c r="E64" s="869"/>
      <c r="F64" s="1939">
        <f>'Expenditures 15-22'!K206</f>
        <v>0</v>
      </c>
      <c r="G64" s="866"/>
    </row>
    <row r="65" spans="1:8" x14ac:dyDescent="0.2">
      <c r="A65" s="870" t="s">
        <v>481</v>
      </c>
      <c r="B65" s="870" t="s">
        <v>1999</v>
      </c>
      <c r="C65" s="887" t="s">
        <v>1039</v>
      </c>
      <c r="D65" s="886" t="s">
        <v>1157</v>
      </c>
      <c r="E65" s="869"/>
      <c r="F65" s="1939">
        <f>'Expenditures 15-22'!G210</f>
        <v>99728</v>
      </c>
      <c r="G65" s="866"/>
    </row>
    <row r="66" spans="1:8" x14ac:dyDescent="0.2">
      <c r="A66" s="870" t="s">
        <v>481</v>
      </c>
      <c r="B66" s="870" t="s">
        <v>2000</v>
      </c>
      <c r="C66" s="887" t="s">
        <v>1039</v>
      </c>
      <c r="D66" s="886" t="s">
        <v>309</v>
      </c>
      <c r="E66" s="869"/>
      <c r="F66" s="1939">
        <f>'Expenditures 15-22'!I210</f>
        <v>0</v>
      </c>
      <c r="G66" s="866"/>
    </row>
    <row r="67" spans="1:8" x14ac:dyDescent="0.2">
      <c r="A67" s="870" t="s">
        <v>482</v>
      </c>
      <c r="B67" s="870" t="s">
        <v>2001</v>
      </c>
      <c r="C67" s="887" t="str">
        <f>'Expenditures 15-22'!B216</f>
        <v>1125</v>
      </c>
      <c r="D67" s="893" t="str">
        <f>'Expenditures 15-22'!A216</f>
        <v>Pre-K Programs</v>
      </c>
      <c r="E67" s="869"/>
      <c r="F67" s="1939">
        <f>'Expenditures 15-22'!K216</f>
        <v>6341</v>
      </c>
      <c r="G67" s="866"/>
    </row>
    <row r="68" spans="1:8" x14ac:dyDescent="0.2">
      <c r="A68" s="870" t="s">
        <v>482</v>
      </c>
      <c r="B68" s="870" t="s">
        <v>1555</v>
      </c>
      <c r="C68" s="887" t="str">
        <f>'Expenditures 15-22'!B218</f>
        <v>1225</v>
      </c>
      <c r="D68" s="893" t="str">
        <f>'Expenditures 15-22'!A218</f>
        <v>Special Education Programs - Pre-K</v>
      </c>
      <c r="E68" s="869"/>
      <c r="F68" s="1939">
        <f>'Expenditures 15-22'!K218</f>
        <v>1064</v>
      </c>
      <c r="G68" s="866"/>
    </row>
    <row r="69" spans="1:8" x14ac:dyDescent="0.2">
      <c r="A69" s="870" t="s">
        <v>482</v>
      </c>
      <c r="B69" s="870" t="s">
        <v>2002</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2003</v>
      </c>
      <c r="C70" s="887">
        <f>'Expenditures 15-22'!B221</f>
        <v>1300</v>
      </c>
      <c r="D70" s="888" t="str">
        <f>'Expenditures 15-22'!A221</f>
        <v>Adult/Continuing Education Programs</v>
      </c>
      <c r="E70" s="869"/>
      <c r="F70" s="1939">
        <f>'Expenditures 15-22'!K221</f>
        <v>0</v>
      </c>
      <c r="G70" s="866"/>
    </row>
    <row r="71" spans="1:8" x14ac:dyDescent="0.2">
      <c r="A71" s="870" t="s">
        <v>482</v>
      </c>
      <c r="B71" s="870" t="s">
        <v>2004</v>
      </c>
      <c r="C71" s="887">
        <f>'Expenditures 15-22'!B224</f>
        <v>1600</v>
      </c>
      <c r="D71" s="888" t="str">
        <f>'Expenditures 15-22'!A224</f>
        <v>Summer School Programs</v>
      </c>
      <c r="E71" s="869"/>
      <c r="F71" s="1939">
        <f>'Expenditures 15-22'!K224</f>
        <v>369</v>
      </c>
      <c r="G71" s="866"/>
    </row>
    <row r="72" spans="1:8" x14ac:dyDescent="0.2">
      <c r="A72" s="870" t="s">
        <v>482</v>
      </c>
      <c r="B72" s="870" t="s">
        <v>2005</v>
      </c>
      <c r="C72" s="887">
        <f>'Expenditures 15-22'!B280</f>
        <v>3000</v>
      </c>
      <c r="D72" s="877" t="s">
        <v>469</v>
      </c>
      <c r="E72" s="869"/>
      <c r="F72" s="1939">
        <f>'Expenditures 15-22'!K280</f>
        <v>2764</v>
      </c>
      <c r="G72" s="866"/>
    </row>
    <row r="73" spans="1:8" x14ac:dyDescent="0.2">
      <c r="A73" s="870" t="s">
        <v>482</v>
      </c>
      <c r="B73" s="870" t="s">
        <v>2006</v>
      </c>
      <c r="C73" s="887" t="str">
        <f>'Expenditures 15-22'!B285</f>
        <v>4000</v>
      </c>
      <c r="D73" s="888" t="str">
        <f>'Expenditures 15-22'!A285</f>
        <v>Total Payments to Other Govt Units</v>
      </c>
      <c r="E73" s="869"/>
      <c r="F73" s="1939">
        <f>'Expenditures 15-22'!K285</f>
        <v>0</v>
      </c>
      <c r="G73" s="866"/>
    </row>
    <row r="74" spans="1:8" x14ac:dyDescent="0.2">
      <c r="A74" s="870" t="s">
        <v>456</v>
      </c>
      <c r="B74" s="870" t="s">
        <v>2007</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2008</v>
      </c>
      <c r="E76" s="1796" t="s">
        <v>1015</v>
      </c>
      <c r="F76" s="1800">
        <f>SUM(F18:F74)</f>
        <v>1092925</v>
      </c>
      <c r="G76" s="866"/>
    </row>
    <row r="77" spans="1:8" s="894" customFormat="1" ht="12" customHeight="1" thickTop="1" thickBot="1" x14ac:dyDescent="0.25">
      <c r="A77" s="1801"/>
      <c r="B77" s="1798"/>
      <c r="C77" s="1794"/>
      <c r="D77" s="1799" t="s">
        <v>2009</v>
      </c>
      <c r="E77" s="1796"/>
      <c r="F77" s="1802">
        <f>(F14-F76)</f>
        <v>9068799</v>
      </c>
      <c r="G77" s="870"/>
    </row>
    <row r="78" spans="1:8" s="894" customFormat="1" ht="12" customHeight="1" thickTop="1" x14ac:dyDescent="0.2">
      <c r="A78" s="1803"/>
      <c r="B78" s="1798"/>
      <c r="C78" s="1794"/>
      <c r="D78" s="1799" t="s">
        <v>2056</v>
      </c>
      <c r="E78" s="1796"/>
      <c r="F78" s="899">
        <v>944.23</v>
      </c>
      <c r="G78" s="900"/>
      <c r="H78" s="870"/>
    </row>
    <row r="79" spans="1:8" s="894" customFormat="1" ht="12" customHeight="1" thickBot="1" x14ac:dyDescent="0.25">
      <c r="A79" s="1804"/>
      <c r="B79" s="1798"/>
      <c r="C79" s="1794"/>
      <c r="D79" s="1799" t="s">
        <v>2010</v>
      </c>
      <c r="E79" s="1796" t="s">
        <v>1015</v>
      </c>
      <c r="F79" s="1805">
        <f>IF(F78&gt;0,F77/F78," Complete Line 78")</f>
        <v>9604.4385372208035</v>
      </c>
      <c r="G79" s="870"/>
    </row>
    <row r="80" spans="1:8" s="894" customFormat="1" ht="8.25" customHeight="1" thickTop="1" x14ac:dyDescent="0.2">
      <c r="A80" s="901"/>
      <c r="B80" s="870"/>
      <c r="C80" s="872"/>
      <c r="D80" s="902"/>
      <c r="E80" s="869"/>
      <c r="F80" s="903"/>
      <c r="G80" s="870"/>
    </row>
    <row r="81" spans="1:7" s="894" customFormat="1" ht="12" thickBot="1" x14ac:dyDescent="0.25">
      <c r="A81" s="2291" t="s">
        <v>1167</v>
      </c>
      <c r="B81" s="2292"/>
      <c r="C81" s="2292"/>
      <c r="D81" s="2292"/>
      <c r="E81" s="2292"/>
      <c r="F81" s="229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148759</v>
      </c>
      <c r="G94" s="913"/>
    </row>
    <row r="95" spans="1:7" x14ac:dyDescent="0.2">
      <c r="A95" s="909" t="s">
        <v>142</v>
      </c>
      <c r="B95" s="909" t="s">
        <v>177</v>
      </c>
      <c r="C95" s="911">
        <v>1700</v>
      </c>
      <c r="D95" s="919" t="str">
        <f>'Revenues 9-14'!A82</f>
        <v>Total District/School Activity Income</v>
      </c>
      <c r="E95" s="907"/>
      <c r="F95" s="1811">
        <f>SUM('Revenues 9-14'!C82,'Revenues 9-14'!D82)</f>
        <v>42874</v>
      </c>
      <c r="G95" s="913"/>
    </row>
    <row r="96" spans="1:7" x14ac:dyDescent="0.2">
      <c r="A96" s="909" t="s">
        <v>479</v>
      </c>
      <c r="B96" s="909" t="s">
        <v>178</v>
      </c>
      <c r="C96" s="911">
        <f>'Revenues 9-14'!B84</f>
        <v>1811</v>
      </c>
      <c r="D96" s="912" t="str">
        <f>'Revenues 9-14'!A84</f>
        <v>Rentals - Regular Textbooks</v>
      </c>
      <c r="E96" s="907"/>
      <c r="F96" s="1811">
        <f>'Revenues 9-14'!C84</f>
        <v>72158</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3775</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20816</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265495</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37020</v>
      </c>
      <c r="G107" s="913"/>
    </row>
    <row r="108" spans="1:7" x14ac:dyDescent="0.2">
      <c r="A108" s="909" t="s">
        <v>479</v>
      </c>
      <c r="B108" s="909" t="s">
        <v>844</v>
      </c>
      <c r="C108" s="921">
        <f>'Revenues 9-14'!B145</f>
        <v>3360</v>
      </c>
      <c r="D108" s="912" t="str">
        <f>'Revenues 9-14'!A145</f>
        <v>State Free Lunch &amp; Breakfast</v>
      </c>
      <c r="E108" s="907"/>
      <c r="F108" s="1811">
        <f>'Revenues 9-14'!C145</f>
        <v>3368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357822</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4700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247841</v>
      </c>
      <c r="G129" s="931"/>
    </row>
    <row r="130" spans="1:7" x14ac:dyDescent="0.2">
      <c r="A130" s="928" t="s">
        <v>689</v>
      </c>
      <c r="B130" s="928" t="s">
        <v>804</v>
      </c>
      <c r="C130" s="933">
        <v>4300</v>
      </c>
      <c r="D130" s="934" t="str">
        <f>'Revenues 9-14'!A211</f>
        <v>Total Title I</v>
      </c>
      <c r="E130" s="907"/>
      <c r="F130" s="1811">
        <f>SUM('Revenues 9-14'!C211,'Revenues 9-14'!D211,'Revenues 9-14'!F211,'Revenues 9-14'!G211)</f>
        <v>117446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251053</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3940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8299</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33690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23408</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52090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2055</v>
      </c>
      <c r="C175" s="1946">
        <v>3100</v>
      </c>
      <c r="D175" s="1947" t="s">
        <v>2058</v>
      </c>
      <c r="E175" s="907"/>
      <c r="F175" s="1931">
        <v>335087</v>
      </c>
      <c r="G175" s="928"/>
    </row>
    <row r="176" spans="1:7" x14ac:dyDescent="0.2">
      <c r="A176" s="1944" t="s">
        <v>685</v>
      </c>
      <c r="B176" s="1945" t="s">
        <v>2055</v>
      </c>
      <c r="C176" s="1946">
        <v>3300</v>
      </c>
      <c r="D176" s="1947" t="s">
        <v>2059</v>
      </c>
      <c r="E176" s="907"/>
      <c r="F176" s="1931">
        <v>39260</v>
      </c>
      <c r="G176" s="928"/>
    </row>
    <row r="177" spans="1:7" ht="6" customHeight="1" x14ac:dyDescent="0.2">
      <c r="A177" s="928"/>
      <c r="B177" s="928"/>
      <c r="C177" s="950"/>
      <c r="D177" s="928"/>
      <c r="E177" s="907"/>
      <c r="F177" s="951"/>
      <c r="G177" s="948"/>
    </row>
    <row r="178" spans="1:7" x14ac:dyDescent="0.2">
      <c r="A178" s="1792"/>
      <c r="B178" s="1806"/>
      <c r="C178" s="1807"/>
      <c r="D178" s="1808" t="s">
        <v>2011</v>
      </c>
      <c r="E178" s="1809" t="s">
        <v>1015</v>
      </c>
      <c r="F178" s="1810">
        <f>SUM(F84:F136,F161:F176)</f>
        <v>2078901</v>
      </c>
    </row>
    <row r="179" spans="1:7" ht="12" customHeight="1" x14ac:dyDescent="0.2">
      <c r="A179" s="1792"/>
      <c r="B179" s="1806"/>
      <c r="C179" s="1807"/>
      <c r="D179" s="1808" t="s">
        <v>2012</v>
      </c>
      <c r="E179" s="1809"/>
      <c r="F179" s="1811">
        <f>'PCTC-OEPP 27-28'!F77-F178</f>
        <v>6989898</v>
      </c>
    </row>
    <row r="180" spans="1:7" ht="12" customHeight="1" x14ac:dyDescent="0.2">
      <c r="A180" s="1792"/>
      <c r="B180" s="1806"/>
      <c r="C180" s="1807"/>
      <c r="D180" s="1808" t="s">
        <v>1921</v>
      </c>
      <c r="E180" s="1809"/>
      <c r="F180" s="1811">
        <f>'Cap Outlay Deprec 26'!I18</f>
        <v>300745.3</v>
      </c>
    </row>
    <row r="181" spans="1:7" ht="12" customHeight="1" x14ac:dyDescent="0.2">
      <c r="A181" s="1792"/>
      <c r="B181" s="1806"/>
      <c r="C181" s="1807"/>
      <c r="D181" s="1808" t="s">
        <v>2013</v>
      </c>
      <c r="E181" s="1809"/>
      <c r="F181" s="1811">
        <f>F179+F180</f>
        <v>7290643.2999999998</v>
      </c>
    </row>
    <row r="182" spans="1:7" ht="12" customHeight="1" x14ac:dyDescent="0.2">
      <c r="A182" s="1792"/>
      <c r="B182" s="1812"/>
      <c r="C182" s="1807"/>
      <c r="D182" s="1808" t="str">
        <f>D78</f>
        <v>9 Month ADA from District Average Daily Attendance/Prior General State Aid Inquiry 2017-2018</v>
      </c>
      <c r="E182" s="1809"/>
      <c r="F182" s="1813">
        <f>'PCTC-OEPP 27-28'!F78</f>
        <v>944.23</v>
      </c>
      <c r="G182" s="931"/>
    </row>
    <row r="183" spans="1:7" ht="12" customHeight="1" thickBot="1" x14ac:dyDescent="0.25">
      <c r="A183" s="1792"/>
      <c r="B183" s="1812"/>
      <c r="C183" s="1807"/>
      <c r="D183" s="1808" t="s">
        <v>2014</v>
      </c>
      <c r="E183" s="1809" t="s">
        <v>1626</v>
      </c>
      <c r="F183" s="1814">
        <f>F181/F182</f>
        <v>7721.2578503118939</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8" customFormat="1" ht="12.2" customHeight="1" x14ac:dyDescent="0.2">
      <c r="A186" s="1948" t="s">
        <v>2062</v>
      </c>
      <c r="B186" s="1949"/>
      <c r="C186" s="1950"/>
      <c r="D186" s="1949"/>
      <c r="E186" s="1950"/>
      <c r="F186" s="1949"/>
      <c r="G186" s="1949"/>
    </row>
    <row r="187" spans="1:7" s="1948" customFormat="1" ht="12.2" customHeight="1" x14ac:dyDescent="0.2">
      <c r="A187" s="1951" t="s">
        <v>2063</v>
      </c>
      <c r="C187" s="1950"/>
      <c r="D187" s="1949"/>
      <c r="E187" s="1950"/>
      <c r="F187" s="1949"/>
      <c r="G187" s="1949"/>
    </row>
    <row r="188" spans="1:7" ht="12" customHeight="1" x14ac:dyDescent="0.2">
      <c r="C188" s="950"/>
      <c r="D188" s="931"/>
      <c r="E188" s="950"/>
      <c r="F188" s="931"/>
      <c r="G188" s="931"/>
    </row>
    <row r="189" spans="1:7" x14ac:dyDescent="0.2">
      <c r="A189" s="1952" t="s">
        <v>2061</v>
      </c>
      <c r="B189" s="1953"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8" activePane="bottomLeft" state="frozen"/>
      <selection activeCell="J48" sqref="J48:J49"/>
      <selection pane="bottomLeft" activeCell="J48" sqref="J48:J49"/>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1937</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305" t="s">
        <v>1922</v>
      </c>
      <c r="B4" s="2306"/>
      <c r="C4" s="2306"/>
      <c r="D4" s="2306"/>
      <c r="E4" s="2306"/>
      <c r="F4" s="2306"/>
      <c r="G4" s="2307"/>
    </row>
    <row r="5" spans="1:7" x14ac:dyDescent="0.25">
      <c r="A5" s="2308"/>
      <c r="B5" s="2309"/>
      <c r="C5" s="2309"/>
      <c r="D5" s="2309"/>
      <c r="E5" s="2309"/>
      <c r="F5" s="2309"/>
      <c r="G5" s="2310"/>
    </row>
    <row r="6" spans="1:7" ht="18.75" x14ac:dyDescent="0.25">
      <c r="A6" s="1556" t="s">
        <v>1923</v>
      </c>
      <c r="B6" s="1557"/>
      <c r="C6" s="1557"/>
      <c r="D6" s="1557"/>
      <c r="E6" s="1557"/>
      <c r="F6" s="1557"/>
      <c r="G6" s="1558"/>
    </row>
    <row r="7" spans="1:7" ht="30.75" customHeight="1" x14ac:dyDescent="0.25">
      <c r="A7" s="2311" t="s">
        <v>2072</v>
      </c>
      <c r="B7" s="2312"/>
      <c r="C7" s="2312"/>
      <c r="D7" s="2312"/>
      <c r="E7" s="2312"/>
      <c r="F7" s="2312"/>
      <c r="G7" s="2313"/>
    </row>
    <row r="8" spans="1:7" ht="15.75" customHeight="1" x14ac:dyDescent="0.25">
      <c r="A8" s="2314" t="s">
        <v>2021</v>
      </c>
      <c r="B8" s="2315"/>
      <c r="C8" s="2315"/>
      <c r="D8" s="2315"/>
      <c r="E8" s="2315"/>
      <c r="F8" s="2315"/>
      <c r="G8" s="2316"/>
    </row>
    <row r="9" spans="1:7" ht="35.25" customHeight="1" x14ac:dyDescent="0.25">
      <c r="A9" s="2311" t="s">
        <v>2020</v>
      </c>
      <c r="B9" s="2312"/>
      <c r="C9" s="2312"/>
      <c r="D9" s="2312"/>
      <c r="E9" s="2312"/>
      <c r="F9" s="2312"/>
      <c r="G9" s="2313"/>
    </row>
    <row r="10" spans="1:7" ht="15" customHeight="1" x14ac:dyDescent="0.25">
      <c r="A10" s="1559" t="s">
        <v>1924</v>
      </c>
      <c r="B10" s="1560"/>
      <c r="C10" s="1560"/>
      <c r="D10" s="1560"/>
      <c r="E10" s="1560"/>
      <c r="F10" s="1560"/>
      <c r="G10" s="1561"/>
    </row>
    <row r="11" spans="1:7" ht="17.25" customHeight="1" x14ac:dyDescent="0.25">
      <c r="A11" s="2311" t="s">
        <v>1938</v>
      </c>
      <c r="B11" s="2312"/>
      <c r="C11" s="2312"/>
      <c r="D11" s="2312"/>
      <c r="E11" s="2312"/>
      <c r="F11" s="2312"/>
      <c r="G11" s="2313"/>
    </row>
    <row r="12" spans="1:7" ht="15" customHeight="1" x14ac:dyDescent="0.25">
      <c r="A12" s="1559" t="s">
        <v>1929</v>
      </c>
      <c r="B12" s="1560"/>
      <c r="C12" s="1560"/>
      <c r="D12" s="1560"/>
      <c r="E12" s="1560"/>
      <c r="F12" s="1560"/>
      <c r="G12" s="1561"/>
    </row>
    <row r="13" spans="1:7" ht="32.25" customHeight="1" x14ac:dyDescent="0.25">
      <c r="A13" s="2302" t="s">
        <v>1930</v>
      </c>
      <c r="B13" s="2303"/>
      <c r="C13" s="2303"/>
      <c r="D13" s="2303"/>
      <c r="E13" s="2303"/>
      <c r="F13" s="2303"/>
      <c r="G13" s="2304"/>
    </row>
    <row r="14" spans="1:7" x14ac:dyDescent="0.25">
      <c r="A14" s="1683" t="s">
        <v>1939</v>
      </c>
      <c r="B14" s="1684"/>
      <c r="C14" s="1684"/>
      <c r="D14" s="1684"/>
      <c r="E14" s="1684"/>
      <c r="F14" s="1684"/>
      <c r="G14" s="1685"/>
    </row>
    <row r="15" spans="1:7" ht="61.5" customHeight="1" x14ac:dyDescent="0.25">
      <c r="A15" s="1568" t="s">
        <v>1931</v>
      </c>
      <c r="B15" s="1568" t="s">
        <v>1932</v>
      </c>
      <c r="C15" s="1568" t="s">
        <v>1933</v>
      </c>
      <c r="D15" s="1569" t="s">
        <v>1934</v>
      </c>
      <c r="E15" s="1569" t="s">
        <v>1925</v>
      </c>
      <c r="F15" s="1569" t="s">
        <v>1935</v>
      </c>
      <c r="G15" s="1569" t="s">
        <v>1936</v>
      </c>
    </row>
    <row r="16" spans="1:7" x14ac:dyDescent="0.25">
      <c r="A16" s="1670" t="s">
        <v>1940</v>
      </c>
      <c r="B16" s="1671" t="s">
        <v>1928</v>
      </c>
      <c r="C16" s="1672" t="s">
        <v>1926</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70" t="s">
        <v>2153</v>
      </c>
      <c r="B17" s="1971" t="s">
        <v>2154</v>
      </c>
      <c r="C17" s="1972" t="s">
        <v>2155</v>
      </c>
      <c r="D17" s="1867">
        <v>23649</v>
      </c>
      <c r="E17" s="1562">
        <f t="shared" ref="E17:E141" si="1">IF(D17&lt;=25000,D17,IF(D17&gt;25000,25000,0))</f>
        <v>23649</v>
      </c>
      <c r="F17" s="1815">
        <f t="shared" si="0"/>
        <v>23649</v>
      </c>
      <c r="G17" s="1816">
        <f>IF(F17=0,0,D17-F17)</f>
        <v>0</v>
      </c>
      <c r="H17" s="1669"/>
    </row>
    <row r="18" spans="1:8" x14ac:dyDescent="0.25">
      <c r="A18" s="1970" t="s">
        <v>2156</v>
      </c>
      <c r="B18" s="1971" t="s">
        <v>2157</v>
      </c>
      <c r="C18" s="1972" t="s">
        <v>2158</v>
      </c>
      <c r="D18" s="1867">
        <v>14725</v>
      </c>
      <c r="E18" s="1562">
        <f t="shared" ref="E18:E140" si="2">IF(D18&lt;=25000,D18,IF(D18&gt;25000,25000,0))</f>
        <v>14725</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14725</v>
      </c>
      <c r="G18" s="1816">
        <f t="shared" ref="G18:G140" si="4">IF(F18=0,0,D18-F18)</f>
        <v>0</v>
      </c>
    </row>
    <row r="19" spans="1:8" x14ac:dyDescent="0.25">
      <c r="A19" s="1970" t="s">
        <v>2159</v>
      </c>
      <c r="B19" s="1971" t="s">
        <v>2160</v>
      </c>
      <c r="C19" s="1972" t="s">
        <v>2161</v>
      </c>
      <c r="D19" s="1867">
        <v>103655</v>
      </c>
      <c r="E19" s="1562">
        <f t="shared" si="2"/>
        <v>25000</v>
      </c>
      <c r="F19" s="1815">
        <f t="shared" si="3"/>
        <v>25000</v>
      </c>
      <c r="G19" s="1816">
        <f t="shared" si="4"/>
        <v>78655</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142029</v>
      </c>
      <c r="E141" s="1563">
        <f t="shared" si="1"/>
        <v>25000</v>
      </c>
      <c r="F141" s="1817">
        <f>SUM(F17:F140)</f>
        <v>63374</v>
      </c>
      <c r="G141" s="1818">
        <f>SUM(G17:G140)</f>
        <v>78655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8" colorId="8" zoomScale="110" zoomScaleNormal="110" workbookViewId="0">
      <selection activeCell="J48" sqref="J48:J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7" t="s">
        <v>1778</v>
      </c>
      <c r="B5" s="2318"/>
      <c r="C5" s="2318"/>
      <c r="D5" s="2318"/>
      <c r="E5" s="2318"/>
      <c r="F5" s="2318"/>
      <c r="G5" s="231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175428</v>
      </c>
      <c r="F10" s="975"/>
      <c r="G10" s="976"/>
      <c r="H10" s="162"/>
      <c r="I10" s="162"/>
    </row>
    <row r="11" spans="1:9" s="669" customFormat="1" ht="22.5" customHeight="1" x14ac:dyDescent="0.2">
      <c r="A11" s="2322" t="s">
        <v>1942</v>
      </c>
      <c r="B11" s="2323"/>
      <c r="C11" s="2323"/>
      <c r="D11" s="2324"/>
      <c r="E11" s="978">
        <v>37425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4829622</v>
      </c>
      <c r="F19" s="1822"/>
      <c r="G19" s="1824">
        <f>'Expenditures 15-22'!K33-SUM('Expenditures 15-22'!G33,'Expenditures 15-22'!I33)+'Expenditures 15-22'!D229</f>
        <v>4829622</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834165</v>
      </c>
      <c r="F21" s="1825"/>
      <c r="G21" s="1828">
        <f>'Expenditures 15-22'!K42-SUM('Expenditures 15-22'!G42,'Expenditures 15-22'!I42)+'Expenditures 15-22'!K120-SUM('Expenditures 15-22'!G120,'Expenditures 15-22'!I120)+'Expenditures 15-22'!K180-SUM('Expenditures 15-22'!G180,'Expenditures 15-22'!I180)+'Expenditures 15-22'!D238</f>
        <v>834165</v>
      </c>
      <c r="H21" s="988"/>
      <c r="I21" s="162"/>
    </row>
    <row r="22" spans="1:9" s="669" customFormat="1" ht="12" customHeight="1" x14ac:dyDescent="0.2">
      <c r="A22" s="995" t="s">
        <v>585</v>
      </c>
      <c r="B22" s="996"/>
      <c r="C22" s="994">
        <v>2200</v>
      </c>
      <c r="D22" s="1825"/>
      <c r="E22" s="1827">
        <f>'Expenditures 15-22'!K47-SUM('Expenditures 15-22'!G47,'Expenditures 15-22'!I47)+'Expenditures 15-22'!D243</f>
        <v>282836</v>
      </c>
      <c r="F22" s="1825"/>
      <c r="G22" s="1828">
        <f>'Expenditures 15-22'!K47-SUM('Expenditures 15-22'!G47,'Expenditures 15-22'!I47)+'Expenditures 15-22'!D243</f>
        <v>282836</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544036</v>
      </c>
      <c r="F23" s="1825"/>
      <c r="G23" s="1827">
        <f>'Expenditures 15-22'!K53-SUM('Expenditures 15-22'!G53,'Expenditures 15-22'!I53)+'Expenditures 15-22'!D257+'Expenditures 15-22'!K330-SUM('Expenditures 15-22'!G330,'Expenditures 15-22'!I330)</f>
        <v>544036</v>
      </c>
      <c r="H23" s="988"/>
      <c r="I23" s="162"/>
    </row>
    <row r="24" spans="1:9" s="669" customFormat="1" ht="12" customHeight="1" x14ac:dyDescent="0.2">
      <c r="A24" s="995" t="s">
        <v>587</v>
      </c>
      <c r="B24" s="996"/>
      <c r="C24" s="994">
        <v>2400</v>
      </c>
      <c r="D24" s="1825"/>
      <c r="E24" s="1827">
        <f>'Expenditures 15-22'!K57-SUM('Expenditures 15-22'!G57,'Expenditures 15-22'!I57)+'Expenditures 15-22'!D261</f>
        <v>433962</v>
      </c>
      <c r="F24" s="1825"/>
      <c r="G24" s="1828">
        <f>'Expenditures 15-22'!K57-SUM('Expenditures 15-22'!G57,'Expenditures 15-22'!I57)+'Expenditures 15-22'!D261</f>
        <v>433962</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93324</v>
      </c>
      <c r="E26" s="1827">
        <f>'Expenditures 15-22'!K122-SUM('Expenditures 15-22'!G122,'Expenditures 15-22'!I122)+E7</f>
        <v>0</v>
      </c>
      <c r="F26" s="1827">
        <f>'Expenditures 15-22'!K59-SUM('Expenditures 15-22'!G59,'Expenditures 15-22'!I59)+'Expenditures 15-22'!D263-E7</f>
        <v>93324</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39989</v>
      </c>
      <c r="E27" s="1827">
        <f>E8</f>
        <v>0</v>
      </c>
      <c r="F27" s="1827">
        <f>'Expenditures 15-22'!K60-SUM('Expenditures 15-22'!G60,'Expenditures 15-22'!I60)+'Expenditures 15-22'!D264-E8</f>
        <v>39989</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1106554</v>
      </c>
      <c r="F28" s="1829">
        <f>'Expenditures 15-22'!K61-SUM('Expenditures 15-22'!G61,'Expenditures 15-22'!I61)+'Expenditures 15-22'!K124-SUM('Expenditures 15-22'!G124,'Expenditures 15-22'!I124)+'Expenditures 15-22'!D266-E9</f>
        <v>1106554</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529551</v>
      </c>
      <c r="F29" s="1825"/>
      <c r="G29" s="1828">
        <f>'Expenditures 15-22'!K62-SUM('Expenditures 15-22'!G62,'Expenditures 15-22'!I62)+'Expenditures 15-22'!K125-SUM('Expenditures 15-22'!G125,'Expenditures 15-22'!I125)+'Expenditures 15-22'!K182-SUM('Expenditures 15-22'!G182,'Expenditures 15-22'!I182)+'Expenditures 15-22'!D267</f>
        <v>529551</v>
      </c>
      <c r="H29" s="986"/>
    </row>
    <row r="30" spans="1:9" ht="12" customHeight="1" x14ac:dyDescent="0.2">
      <c r="A30" s="995" t="s">
        <v>102</v>
      </c>
      <c r="B30" s="998"/>
      <c r="C30" s="994">
        <v>2560</v>
      </c>
      <c r="D30" s="1825"/>
      <c r="E30" s="1827">
        <f>'Expenditures 15-22'!K63-SUM('Expenditures 15-22'!G63,'Expenditures 15-22'!I63)+'Expenditures 15-22'!D268-E10</f>
        <v>211780</v>
      </c>
      <c r="F30" s="1825"/>
      <c r="G30" s="1827">
        <f>'Expenditures 15-22'!K63-SUM('Expenditures 15-22'!G63,'Expenditures 15-22'!I63)+'Expenditures 15-22'!D268-E10</f>
        <v>211780</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1743</v>
      </c>
      <c r="F34" s="1825"/>
      <c r="G34" s="1827">
        <f>'Expenditures 15-22'!K68-SUM('Expenditures 15-22'!G68,'Expenditures 15-22'!I68)+'Expenditures 15-22'!D273</f>
        <v>1743</v>
      </c>
    </row>
    <row r="35" spans="1:7" ht="12" customHeight="1" x14ac:dyDescent="0.2">
      <c r="A35" s="995" t="s">
        <v>1121</v>
      </c>
      <c r="B35" s="998"/>
      <c r="C35" s="994">
        <v>2630</v>
      </c>
      <c r="D35" s="1825"/>
      <c r="E35" s="1827">
        <f>'Expenditures 15-22'!K69-SUM('Expenditures 15-22'!G69,'Expenditures 15-22'!I69)+'Expenditures 15-22'!D274</f>
        <v>117959</v>
      </c>
      <c r="F35" s="1825"/>
      <c r="G35" s="1827">
        <f>'Expenditures 15-22'!K69-SUM('Expenditures 15-22'!G69,'Expenditures 15-22'!I69)+'Expenditures 15-22'!D274</f>
        <v>117959</v>
      </c>
    </row>
    <row r="36" spans="1:7" ht="12" customHeight="1" x14ac:dyDescent="0.2">
      <c r="A36" s="995" t="s">
        <v>423</v>
      </c>
      <c r="B36" s="998"/>
      <c r="C36" s="994">
        <v>2640</v>
      </c>
      <c r="D36" s="1827">
        <f>'Expenditures 15-22'!K70-SUM('Expenditures 15-22'!G70,'Expenditures 15-22'!I70)+'Expenditures 15-22'!D275-E13</f>
        <v>2786</v>
      </c>
      <c r="E36" s="1827">
        <f>E13</f>
        <v>0</v>
      </c>
      <c r="F36" s="1827">
        <f>'Expenditures 15-22'!K70-SUM('Expenditures 15-22'!G70,'Expenditures 15-22'!I70)+'Expenditures 15-22'!D275-E13</f>
        <v>2786</v>
      </c>
      <c r="G36" s="1827">
        <f>E13</f>
        <v>0</v>
      </c>
    </row>
    <row r="37" spans="1:7" ht="12" customHeight="1" x14ac:dyDescent="0.2">
      <c r="A37" s="995" t="s">
        <v>424</v>
      </c>
      <c r="B37" s="998"/>
      <c r="C37" s="994">
        <v>2660</v>
      </c>
      <c r="D37" s="1827">
        <f>'Expenditures 15-22'!K71-SUM('Expenditures 15-22'!G71,'Expenditures 15-22'!I71)+'Expenditures 15-22'!D276-E14</f>
        <v>193552</v>
      </c>
      <c r="E37" s="1827">
        <f>E14</f>
        <v>0</v>
      </c>
      <c r="F37" s="1827">
        <f>'Expenditures 15-22'!K71-SUM('Expenditures 15-22'!G71,'Expenditures 15-22'!I71)+'Expenditures 15-22'!D276-E14</f>
        <v>193552</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47234</v>
      </c>
      <c r="F39" s="1825"/>
      <c r="G39" s="1827">
        <f>'Expenditures 15-22'!K75-SUM('Expenditures 15-22'!G75,'Expenditures 15-22'!I75)+'Expenditures 15-22'!K130-SUM('Expenditures 15-22'!G130,'Expenditures 15-22'!I130)+'Expenditures 15-22'!K185-SUM('Expenditures 15-22'!G185,'Expenditures 15-22'!I185)+'Expenditures 15-22'!D280</f>
        <v>47234</v>
      </c>
    </row>
    <row r="40" spans="1:7" ht="12" customHeight="1" x14ac:dyDescent="0.2">
      <c r="A40" s="991" t="s">
        <v>1927</v>
      </c>
      <c r="B40" s="992"/>
      <c r="C40" s="994"/>
      <c r="D40" s="1825"/>
      <c r="E40" s="1829">
        <f>-'Contracts Paid in CY 29'!G141</f>
        <v>-78655</v>
      </c>
      <c r="F40" s="1825"/>
      <c r="G40" s="1829">
        <f>-'Contracts Paid in CY 29'!G141</f>
        <v>-78655</v>
      </c>
    </row>
    <row r="41" spans="1:7" ht="12" customHeight="1" x14ac:dyDescent="0.2">
      <c r="A41" s="999" t="s">
        <v>158</v>
      </c>
      <c r="B41" s="1000"/>
      <c r="C41" s="1001"/>
      <c r="D41" s="1829">
        <f>SUM(D19:D39)</f>
        <v>329651</v>
      </c>
      <c r="E41" s="1829">
        <f>SUM(E19:E40)</f>
        <v>8860787</v>
      </c>
      <c r="F41" s="1829">
        <f>SUM(F19:F39)</f>
        <v>1436205</v>
      </c>
      <c r="G41" s="1829">
        <f>SUM(G19:G40)</f>
        <v>7754233</v>
      </c>
    </row>
    <row r="42" spans="1:7" x14ac:dyDescent="0.2">
      <c r="A42" s="988"/>
      <c r="B42" s="162"/>
      <c r="C42" s="1002"/>
      <c r="D42" s="2320" t="s">
        <v>543</v>
      </c>
      <c r="E42" s="2321"/>
      <c r="F42" s="1003" t="s">
        <v>544</v>
      </c>
      <c r="G42" s="1004"/>
    </row>
    <row r="43" spans="1:7" ht="12" customHeight="1" x14ac:dyDescent="0.2">
      <c r="A43" s="988"/>
      <c r="B43" s="162"/>
      <c r="C43" s="1002"/>
      <c r="D43" s="1830" t="s">
        <v>493</v>
      </c>
      <c r="E43" s="1831">
        <f>D41</f>
        <v>329651</v>
      </c>
      <c r="F43" s="1830" t="s">
        <v>495</v>
      </c>
      <c r="G43" s="1831">
        <f>F41</f>
        <v>1436205</v>
      </c>
    </row>
    <row r="44" spans="1:7" ht="12" customHeight="1" x14ac:dyDescent="0.2">
      <c r="A44" s="988"/>
      <c r="B44" s="162"/>
      <c r="C44" s="1002"/>
      <c r="D44" s="1830" t="s">
        <v>494</v>
      </c>
      <c r="E44" s="1831">
        <f>E41</f>
        <v>8860787</v>
      </c>
      <c r="F44" s="1830" t="s">
        <v>494</v>
      </c>
      <c r="G44" s="1831">
        <f>G41</f>
        <v>7754233</v>
      </c>
    </row>
    <row r="45" spans="1:7" ht="12" customHeight="1" x14ac:dyDescent="0.2">
      <c r="A45" s="988"/>
      <c r="B45" s="162"/>
      <c r="C45" s="162"/>
      <c r="D45" s="1832" t="s">
        <v>1063</v>
      </c>
      <c r="E45" s="1833">
        <f>(E43/E44)</f>
        <v>3.720335451015807E-2</v>
      </c>
      <c r="F45" s="1832" t="s">
        <v>1063</v>
      </c>
      <c r="G45" s="1833">
        <f>(G43/G44)</f>
        <v>0.18521561062196609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topLeftCell="B1" zoomScale="110" zoomScaleNormal="110" workbookViewId="0">
      <pane ySplit="4" topLeftCell="A5" activePane="bottomLeft" state="frozen"/>
      <selection activeCell="J48" sqref="J48:J49"/>
      <selection pane="bottomLeft" activeCell="J48" sqref="J48:J49"/>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8" t="s">
        <v>1446</v>
      </c>
      <c r="B1" s="2328"/>
      <c r="C1" s="2328"/>
      <c r="D1" s="2328"/>
      <c r="E1" s="2328"/>
      <c r="F1" s="2328"/>
    </row>
    <row r="2" spans="1:10" x14ac:dyDescent="0.2">
      <c r="A2" s="1912" t="s">
        <v>2045</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9" t="s">
        <v>1627</v>
      </c>
      <c r="B5" s="2330"/>
      <c r="C5" s="2331"/>
      <c r="D5" s="2331"/>
      <c r="E5" s="2331"/>
      <c r="F5" s="2331"/>
    </row>
    <row r="6" spans="1:10" ht="12" customHeight="1" x14ac:dyDescent="0.25">
      <c r="A6" s="1875"/>
      <c r="B6" s="1876"/>
      <c r="C6" s="2332" t="str">
        <f>COVER!A17</f>
        <v>Marengo Union E Cons D 165</v>
      </c>
      <c r="D6" s="2332"/>
      <c r="E6" s="2332"/>
      <c r="F6" s="1877"/>
    </row>
    <row r="7" spans="1:10" ht="11.25" customHeight="1" thickBot="1" x14ac:dyDescent="0.3">
      <c r="A7" s="1875"/>
      <c r="B7" s="1876"/>
      <c r="C7" s="2333">
        <f>COVER!A13</f>
        <v>44063165003</v>
      </c>
      <c r="D7" s="2333"/>
      <c r="E7" s="2333"/>
      <c r="F7" s="1877"/>
    </row>
    <row r="8" spans="1:10" ht="25.5" customHeight="1" thickBot="1" x14ac:dyDescent="0.25">
      <c r="A8" s="1918" t="s">
        <v>2022</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2129</v>
      </c>
      <c r="D11" s="1890" t="s">
        <v>2129</v>
      </c>
      <c r="E11" s="1891"/>
      <c r="F11" s="1892" t="s">
        <v>2162</v>
      </c>
      <c r="H11" s="1903">
        <f>IF(C11="X",5,0)</f>
        <v>5</v>
      </c>
      <c r="I11" s="1903">
        <f>IF(D11="X",5,0)</f>
        <v>5</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t="s">
        <v>2129</v>
      </c>
      <c r="D13" s="1890" t="s">
        <v>2129</v>
      </c>
      <c r="E13" s="1893"/>
      <c r="F13" s="1892" t="s">
        <v>2163</v>
      </c>
      <c r="H13" s="1903">
        <f t="shared" si="0"/>
        <v>5</v>
      </c>
      <c r="I13" s="1903">
        <f t="shared" si="1"/>
        <v>5</v>
      </c>
      <c r="J13" s="1903">
        <f t="shared" si="2"/>
        <v>0</v>
      </c>
    </row>
    <row r="14" spans="1:10" ht="12" customHeight="1" x14ac:dyDescent="0.2">
      <c r="A14" s="1888" t="s">
        <v>1453</v>
      </c>
      <c r="B14" s="1889"/>
      <c r="C14" s="1890" t="s">
        <v>2129</v>
      </c>
      <c r="D14" s="1890" t="s">
        <v>2129</v>
      </c>
      <c r="E14" s="1893"/>
      <c r="F14" s="1892" t="s">
        <v>2164</v>
      </c>
      <c r="H14" s="1903">
        <f t="shared" si="0"/>
        <v>5</v>
      </c>
      <c r="I14" s="1903">
        <f t="shared" si="1"/>
        <v>5</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2129</v>
      </c>
      <c r="D16" s="1890" t="s">
        <v>2129</v>
      </c>
      <c r="E16" s="1893"/>
      <c r="F16" s="1892" t="s">
        <v>2165</v>
      </c>
      <c r="H16" s="1903">
        <f t="shared" si="0"/>
        <v>5</v>
      </c>
      <c r="I16" s="1903">
        <f t="shared" si="1"/>
        <v>5</v>
      </c>
      <c r="J16" s="1903">
        <f t="shared" si="2"/>
        <v>0</v>
      </c>
    </row>
    <row r="17" spans="1:12" ht="12" customHeight="1" x14ac:dyDescent="0.2">
      <c r="A17" s="1888" t="s">
        <v>1456</v>
      </c>
      <c r="B17" s="1889"/>
      <c r="C17" s="1890" t="s">
        <v>2129</v>
      </c>
      <c r="D17" s="1890" t="s">
        <v>2129</v>
      </c>
      <c r="E17" s="1893"/>
      <c r="F17" s="1892" t="s">
        <v>2166</v>
      </c>
      <c r="H17" s="1903">
        <f t="shared" si="0"/>
        <v>5</v>
      </c>
      <c r="I17" s="1903">
        <f t="shared" si="1"/>
        <v>5</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2129</v>
      </c>
      <c r="D19" s="1890" t="s">
        <v>2129</v>
      </c>
      <c r="E19" s="1893"/>
      <c r="F19" s="1892" t="s">
        <v>2167</v>
      </c>
      <c r="H19" s="1903">
        <f t="shared" si="0"/>
        <v>5</v>
      </c>
      <c r="I19" s="1903">
        <f t="shared" si="1"/>
        <v>5</v>
      </c>
      <c r="J19" s="1903">
        <f t="shared" si="2"/>
        <v>0</v>
      </c>
    </row>
    <row r="20" spans="1:12" ht="12" customHeight="1" x14ac:dyDescent="0.2">
      <c r="A20" s="1888" t="s">
        <v>1609</v>
      </c>
      <c r="B20" s="1889"/>
      <c r="C20" s="1890" t="s">
        <v>2129</v>
      </c>
      <c r="D20" s="1890" t="s">
        <v>2129</v>
      </c>
      <c r="E20" s="1893"/>
      <c r="F20" s="1892" t="s">
        <v>2168</v>
      </c>
      <c r="H20" s="1903">
        <f t="shared" si="0"/>
        <v>5</v>
      </c>
      <c r="I20" s="1903">
        <f t="shared" si="1"/>
        <v>5</v>
      </c>
      <c r="J20" s="1903">
        <f t="shared" si="2"/>
        <v>0</v>
      </c>
    </row>
    <row r="21" spans="1:12" ht="12" customHeight="1" x14ac:dyDescent="0.2">
      <c r="A21" s="1888" t="s">
        <v>1610</v>
      </c>
      <c r="B21" s="1889"/>
      <c r="C21" s="1890" t="s">
        <v>2129</v>
      </c>
      <c r="D21" s="1890" t="s">
        <v>2129</v>
      </c>
      <c r="E21" s="1893"/>
      <c r="F21" s="1892" t="s">
        <v>2169</v>
      </c>
      <c r="H21" s="1903">
        <f t="shared" si="0"/>
        <v>5</v>
      </c>
      <c r="I21" s="1903">
        <f t="shared" si="1"/>
        <v>5</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2129</v>
      </c>
      <c r="D23" s="1890" t="s">
        <v>2129</v>
      </c>
      <c r="E23" s="1893"/>
      <c r="F23" s="1892" t="s">
        <v>2170</v>
      </c>
      <c r="H23" s="1903">
        <f t="shared" si="0"/>
        <v>5</v>
      </c>
      <c r="I23" s="1903">
        <f t="shared" si="1"/>
        <v>5</v>
      </c>
      <c r="J23" s="1903">
        <f t="shared" si="2"/>
        <v>0</v>
      </c>
    </row>
    <row r="24" spans="1:12" ht="12" customHeight="1" x14ac:dyDescent="0.2">
      <c r="A24" s="1888" t="s">
        <v>1613</v>
      </c>
      <c r="B24" s="1889"/>
      <c r="C24" s="1890" t="s">
        <v>2129</v>
      </c>
      <c r="D24" s="1890" t="s">
        <v>2129</v>
      </c>
      <c r="E24" s="1893"/>
      <c r="F24" s="1892" t="s">
        <v>2173</v>
      </c>
      <c r="H24" s="1903">
        <f t="shared" si="0"/>
        <v>5</v>
      </c>
      <c r="I24" s="1903">
        <f t="shared" si="1"/>
        <v>5</v>
      </c>
      <c r="J24" s="1903">
        <f t="shared" si="2"/>
        <v>0</v>
      </c>
    </row>
    <row r="25" spans="1:12" ht="12" customHeight="1" x14ac:dyDescent="0.2">
      <c r="A25" s="1888" t="s">
        <v>1614</v>
      </c>
      <c r="B25" s="1889"/>
      <c r="C25" s="1890" t="s">
        <v>2129</v>
      </c>
      <c r="D25" s="1890" t="s">
        <v>2129</v>
      </c>
      <c r="E25" s="1893"/>
      <c r="F25" s="1892" t="s">
        <v>2171</v>
      </c>
      <c r="H25" s="1903">
        <f t="shared" si="0"/>
        <v>5</v>
      </c>
      <c r="I25" s="1903">
        <f t="shared" si="1"/>
        <v>5</v>
      </c>
      <c r="J25" s="1903">
        <f t="shared" si="2"/>
        <v>0</v>
      </c>
    </row>
    <row r="26" spans="1:12" ht="12" customHeight="1" x14ac:dyDescent="0.2">
      <c r="A26" s="1888" t="s">
        <v>1615</v>
      </c>
      <c r="B26" s="1889"/>
      <c r="C26" s="1890" t="s">
        <v>2129</v>
      </c>
      <c r="D26" s="1890" t="s">
        <v>2129</v>
      </c>
      <c r="E26" s="1893"/>
      <c r="F26" s="1892" t="s">
        <v>2172</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2129</v>
      </c>
      <c r="D28" s="1890" t="s">
        <v>2129</v>
      </c>
      <c r="E28" s="1893"/>
      <c r="F28" s="1892" t="s">
        <v>2174</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2129</v>
      </c>
      <c r="D30" s="1890" t="s">
        <v>2129</v>
      </c>
      <c r="E30" s="1893"/>
      <c r="F30" s="1892" t="s">
        <v>2175</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t="s">
        <v>2129</v>
      </c>
      <c r="D32" s="1890" t="s">
        <v>2129</v>
      </c>
      <c r="E32" s="1893"/>
      <c r="F32" s="1892" t="s">
        <v>2176</v>
      </c>
      <c r="H32" s="1903">
        <f t="shared" si="0"/>
        <v>5</v>
      </c>
      <c r="I32" s="1903">
        <f t="shared" si="1"/>
        <v>5</v>
      </c>
      <c r="J32" s="1903">
        <f t="shared" si="2"/>
        <v>0</v>
      </c>
    </row>
    <row r="33" spans="1:11" ht="12" customHeight="1" x14ac:dyDescent="0.2">
      <c r="A33" s="1888" t="s">
        <v>1622</v>
      </c>
      <c r="B33" s="1889"/>
      <c r="C33" s="1890" t="s">
        <v>2129</v>
      </c>
      <c r="D33" s="1890" t="s">
        <v>2129</v>
      </c>
      <c r="E33" s="1893"/>
      <c r="F33" s="1892" t="s">
        <v>2175</v>
      </c>
      <c r="H33" s="1903">
        <f t="shared" si="0"/>
        <v>5</v>
      </c>
      <c r="I33" s="1903">
        <f t="shared" si="1"/>
        <v>5</v>
      </c>
      <c r="J33" s="1903">
        <f t="shared" si="2"/>
        <v>0</v>
      </c>
    </row>
    <row r="34" spans="1:11" ht="12" customHeight="1" x14ac:dyDescent="0.25">
      <c r="A34" s="1895"/>
      <c r="B34" s="1895"/>
      <c r="C34" s="1895"/>
      <c r="D34" s="1895"/>
      <c r="E34" s="1895"/>
      <c r="F34" s="1895"/>
      <c r="H34" s="1903">
        <f>SUM(H11:H32)</f>
        <v>75</v>
      </c>
      <c r="I34" s="1903">
        <f>SUM(I11:I32)</f>
        <v>75</v>
      </c>
      <c r="J34" s="1903">
        <f>SUM(J11:J32)</f>
        <v>0</v>
      </c>
      <c r="K34" s="1903">
        <f>SUM(H34:J34)</f>
        <v>150</v>
      </c>
    </row>
    <row r="35" spans="1:11" ht="12" customHeight="1" x14ac:dyDescent="0.2">
      <c r="A35" s="1896" t="s">
        <v>1459</v>
      </c>
      <c r="B35" s="1897"/>
      <c r="C35" s="2334"/>
      <c r="D35" s="2334"/>
      <c r="E35" s="2334"/>
      <c r="F35" s="2335"/>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39"/>
      <c r="B38" s="2340"/>
      <c r="C38" s="2340"/>
      <c r="D38" s="2340"/>
      <c r="E38" s="2340"/>
      <c r="F38" s="2341"/>
    </row>
    <row r="39" spans="1:11" ht="4.5" hidden="1" customHeight="1" x14ac:dyDescent="0.2">
      <c r="A39" s="1898"/>
      <c r="B39" s="1898"/>
      <c r="C39" s="1898"/>
      <c r="D39" s="1898"/>
      <c r="E39" s="1898"/>
      <c r="F39" s="1898"/>
    </row>
    <row r="40" spans="1:11" s="1895" customFormat="1" ht="12" customHeight="1" x14ac:dyDescent="0.25">
      <c r="A40" s="1899" t="s">
        <v>1458</v>
      </c>
      <c r="B40" s="1900"/>
      <c r="C40" s="2342"/>
      <c r="D40" s="2342"/>
      <c r="E40" s="2342"/>
      <c r="F40" s="2343"/>
      <c r="H40" s="1904"/>
      <c r="I40" s="1904"/>
      <c r="J40" s="1904"/>
      <c r="K40" s="1904"/>
    </row>
    <row r="41" spans="1:11" s="1895" customFormat="1" ht="12" customHeight="1" x14ac:dyDescent="0.25">
      <c r="A41" s="2344"/>
      <c r="B41" s="2345"/>
      <c r="C41" s="2345"/>
      <c r="D41" s="2345"/>
      <c r="E41" s="2345"/>
      <c r="F41" s="2346"/>
      <c r="H41" s="1904"/>
      <c r="I41" s="1904"/>
      <c r="J41" s="1904"/>
      <c r="K41" s="1904"/>
    </row>
    <row r="42" spans="1:11" s="1895" customFormat="1" ht="12" customHeight="1" x14ac:dyDescent="0.25">
      <c r="A42" s="2344"/>
      <c r="B42" s="2345"/>
      <c r="C42" s="2345"/>
      <c r="D42" s="2345"/>
      <c r="E42" s="2345"/>
      <c r="F42" s="2346"/>
      <c r="H42" s="1904"/>
      <c r="I42" s="1904"/>
      <c r="J42" s="1904"/>
      <c r="K42" s="1904"/>
    </row>
    <row r="43" spans="1:11" s="1895" customFormat="1" ht="15" x14ac:dyDescent="0.25">
      <c r="A43" s="2336"/>
      <c r="B43" s="2337"/>
      <c r="C43" s="2337"/>
      <c r="D43" s="2337"/>
      <c r="E43" s="2337"/>
      <c r="F43" s="2338"/>
      <c r="H43" s="1904"/>
      <c r="I43" s="1904"/>
      <c r="J43" s="1904"/>
      <c r="K43" s="1904"/>
    </row>
    <row r="44" spans="1:11" s="1895" customFormat="1" ht="12" hidden="1" customHeight="1" x14ac:dyDescent="0.25">
      <c r="A44" s="2336"/>
      <c r="B44" s="2337"/>
      <c r="C44" s="2337"/>
      <c r="D44" s="2337"/>
      <c r="E44" s="2337"/>
      <c r="F44" s="2338"/>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D1" colorId="8" zoomScale="110" zoomScaleNormal="110" workbookViewId="0">
      <selection activeCell="J48" sqref="J48:J4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52" t="str">
        <f>COVER!A17</f>
        <v>Marengo Union E Cons D 165</v>
      </c>
      <c r="J6" s="2353"/>
      <c r="Q6" s="1686"/>
    </row>
    <row r="7" spans="1:17" x14ac:dyDescent="0.2">
      <c r="A7" s="2354" t="s">
        <v>924</v>
      </c>
      <c r="B7" s="2355"/>
      <c r="C7" s="2355"/>
      <c r="D7" s="2355"/>
      <c r="E7" s="2356"/>
      <c r="F7" s="1018"/>
      <c r="G7" s="1010"/>
      <c r="H7" s="1017" t="s">
        <v>390</v>
      </c>
      <c r="I7" s="2357">
        <f>COVER!A13</f>
        <v>44063165003</v>
      </c>
      <c r="J7" s="235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8" t="s">
        <v>502</v>
      </c>
      <c r="B11" s="2359"/>
      <c r="C11" s="236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252782</v>
      </c>
      <c r="F12" s="1040"/>
      <c r="G12" s="1834">
        <f t="shared" ref="G12:G18" si="0">SUM(E12:F12)</f>
        <v>252782</v>
      </c>
      <c r="H12" s="1041">
        <v>263900</v>
      </c>
      <c r="I12" s="1040"/>
      <c r="J12" s="1834">
        <f t="shared" ref="J12:J18" si="1">SUM(H12:I12)</f>
        <v>263900</v>
      </c>
    </row>
    <row r="13" spans="1:17" ht="15" customHeight="1" x14ac:dyDescent="0.2">
      <c r="A13" s="1036">
        <v>2</v>
      </c>
      <c r="B13" s="1037" t="s">
        <v>44</v>
      </c>
      <c r="C13" s="1038"/>
      <c r="D13" s="1039">
        <v>2330</v>
      </c>
      <c r="E13" s="1834">
        <f>'Expenditures 15-22'!K51</f>
        <v>101429</v>
      </c>
      <c r="F13" s="1040"/>
      <c r="G13" s="1834">
        <f t="shared" si="0"/>
        <v>101429</v>
      </c>
      <c r="H13" s="1041">
        <v>106351</v>
      </c>
      <c r="I13" s="1040"/>
      <c r="J13" s="1834">
        <f t="shared" si="1"/>
        <v>106351</v>
      </c>
    </row>
    <row r="14" spans="1:17" ht="15" customHeight="1" x14ac:dyDescent="0.2">
      <c r="A14" s="1036">
        <v>3</v>
      </c>
      <c r="B14" s="1037" t="s">
        <v>45</v>
      </c>
      <c r="C14" s="1038"/>
      <c r="D14" s="1042">
        <v>2490</v>
      </c>
      <c r="E14" s="1834">
        <f>'Expenditures 15-22'!K56</f>
        <v>0</v>
      </c>
      <c r="F14" s="1040"/>
      <c r="G14" s="1834">
        <f t="shared" si="0"/>
        <v>0</v>
      </c>
      <c r="H14" s="1041">
        <v>0</v>
      </c>
      <c r="I14" s="1040"/>
      <c r="J14" s="1834">
        <f t="shared" si="1"/>
        <v>0</v>
      </c>
    </row>
    <row r="15" spans="1:17" ht="15" customHeight="1" x14ac:dyDescent="0.2">
      <c r="A15" s="1036">
        <v>4</v>
      </c>
      <c r="B15" s="1037" t="s">
        <v>1128</v>
      </c>
      <c r="C15" s="1038"/>
      <c r="D15" s="1039">
        <v>2510</v>
      </c>
      <c r="E15" s="1834">
        <f>'Expenditures 15-22'!K59</f>
        <v>82281</v>
      </c>
      <c r="F15" s="1834">
        <f>'Expenditures 15-22'!K122</f>
        <v>0</v>
      </c>
      <c r="G15" s="1834">
        <f t="shared" si="0"/>
        <v>82281</v>
      </c>
      <c r="H15" s="1041">
        <v>89595</v>
      </c>
      <c r="I15" s="1041"/>
      <c r="J15" s="1834">
        <f t="shared" si="1"/>
        <v>89595</v>
      </c>
    </row>
    <row r="16" spans="1:17" ht="15" customHeight="1" x14ac:dyDescent="0.2">
      <c r="A16" s="1036">
        <v>5</v>
      </c>
      <c r="B16" s="1037" t="s">
        <v>103</v>
      </c>
      <c r="C16" s="1038"/>
      <c r="D16" s="1039">
        <v>2570</v>
      </c>
      <c r="E16" s="1834">
        <f>'Expenditures 15-22'!K64</f>
        <v>0</v>
      </c>
      <c r="F16" s="1040"/>
      <c r="G16" s="1834">
        <f t="shared" si="0"/>
        <v>0</v>
      </c>
      <c r="H16" s="1041">
        <v>0</v>
      </c>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v>0</v>
      </c>
      <c r="I17" s="1040"/>
      <c r="J17" s="1834">
        <f t="shared" si="1"/>
        <v>0</v>
      </c>
    </row>
    <row r="18" spans="1:10" ht="22.5" customHeight="1" x14ac:dyDescent="0.2">
      <c r="A18" s="1043">
        <v>7</v>
      </c>
      <c r="B18" s="2361" t="s">
        <v>7</v>
      </c>
      <c r="C18" s="2362"/>
      <c r="D18" s="2363"/>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436492</v>
      </c>
      <c r="F19" s="1836">
        <f t="shared" si="2"/>
        <v>0</v>
      </c>
      <c r="G19" s="1836">
        <f t="shared" si="2"/>
        <v>436492</v>
      </c>
      <c r="H19" s="1836">
        <f t="shared" si="2"/>
        <v>459846</v>
      </c>
      <c r="I19" s="1836">
        <f t="shared" si="2"/>
        <v>0</v>
      </c>
      <c r="J19" s="1836">
        <f t="shared" si="2"/>
        <v>459846</v>
      </c>
    </row>
    <row r="20" spans="1:10" ht="13.5" thickTop="1" x14ac:dyDescent="0.2">
      <c r="A20" s="1036">
        <v>9</v>
      </c>
      <c r="B20" s="2364" t="s">
        <v>1703</v>
      </c>
      <c r="C20" s="2364"/>
      <c r="D20" s="2365"/>
      <c r="E20" s="1047"/>
      <c r="F20" s="1047"/>
      <c r="G20" s="1047"/>
      <c r="H20" s="1047"/>
      <c r="I20" s="1047"/>
      <c r="J20" s="1837">
        <f>IF(AND(G19&gt;0,J19&gt;0),(((J19-G19)/G19)),"Enter Budget Data")</f>
        <v>5.3503844285805922E-2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0"/>
      <c r="D26" s="2370"/>
      <c r="E26" s="1051"/>
      <c r="F26" s="2369"/>
      <c r="G26" s="2369"/>
    </row>
    <row r="27" spans="1:10" x14ac:dyDescent="0.2">
      <c r="B27" s="1048"/>
      <c r="C27" s="1052" t="s">
        <v>1093</v>
      </c>
      <c r="D27" s="1053"/>
      <c r="E27" s="1054"/>
      <c r="F27" s="2366" t="s">
        <v>1589</v>
      </c>
      <c r="G27" s="2366"/>
    </row>
    <row r="28" spans="1:10" ht="28.5" customHeight="1" x14ac:dyDescent="0.2">
      <c r="B28" s="1048"/>
      <c r="C28" s="2368"/>
      <c r="D28" s="2368"/>
      <c r="E28" s="1055"/>
      <c r="F28" s="2368"/>
      <c r="G28" s="2368"/>
    </row>
    <row r="29" spans="1:10" x14ac:dyDescent="0.2">
      <c r="B29" s="1048"/>
      <c r="C29" s="1056" t="s">
        <v>1642</v>
      </c>
      <c r="E29" s="1057"/>
      <c r="F29" s="2367" t="s">
        <v>1590</v>
      </c>
      <c r="G29" s="236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3"/>
    </row>
    <row r="36" spans="1:10" ht="13.5" customHeight="1" x14ac:dyDescent="0.2">
      <c r="B36" s="1062"/>
      <c r="C36" s="2351" t="s">
        <v>1941</v>
      </c>
      <c r="D36" s="2350"/>
      <c r="E36" s="2350"/>
      <c r="F36" s="2350"/>
      <c r="G36" s="2350"/>
      <c r="H36" s="2350"/>
      <c r="I36" s="2350"/>
      <c r="J36" s="1064"/>
    </row>
    <row r="37" spans="1:10" ht="22.5" customHeight="1" x14ac:dyDescent="0.2">
      <c r="C37" s="2350"/>
      <c r="D37" s="2350"/>
      <c r="E37" s="2350"/>
      <c r="F37" s="2350"/>
      <c r="G37" s="2350"/>
      <c r="H37" s="2350"/>
      <c r="I37" s="2350"/>
      <c r="J37" s="1064"/>
    </row>
    <row r="38" spans="1:10" ht="7.5" customHeight="1" x14ac:dyDescent="0.2">
      <c r="C38" s="1063"/>
      <c r="D38" s="1065"/>
      <c r="E38" s="1066"/>
      <c r="F38" s="1067"/>
      <c r="G38" s="1066"/>
    </row>
    <row r="39" spans="1:10" ht="13.5" customHeight="1" x14ac:dyDescent="0.2">
      <c r="B39" s="1062"/>
      <c r="C39" s="2347" t="s">
        <v>937</v>
      </c>
      <c r="D39" s="2348"/>
      <c r="E39" s="2348"/>
      <c r="F39" s="2348"/>
      <c r="G39" s="2348"/>
      <c r="H39" s="2348"/>
      <c r="I39" s="234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F66"/>
  <sheetViews>
    <sheetView showGridLines="0" zoomScale="110" zoomScaleNormal="110" workbookViewId="0">
      <selection activeCell="J48" sqref="J48:J49"/>
    </sheetView>
  </sheetViews>
  <sheetFormatPr defaultColWidth="9.140625" defaultRowHeight="12.75" x14ac:dyDescent="0.2"/>
  <cols>
    <col min="1" max="1" width="3" style="329" customWidth="1"/>
    <col min="2" max="2" width="67.5703125" style="329" bestFit="1" customWidth="1"/>
    <col min="3" max="3" width="27.140625" style="329" customWidth="1"/>
    <col min="4" max="16384" width="9.140625" style="329"/>
  </cols>
  <sheetData>
    <row r="2" spans="1:6" x14ac:dyDescent="0.2">
      <c r="A2" s="389" t="s">
        <v>276</v>
      </c>
    </row>
    <row r="3" spans="1:6" x14ac:dyDescent="0.2">
      <c r="A3" s="329" t="s">
        <v>277</v>
      </c>
    </row>
    <row r="5" spans="1:6" x14ac:dyDescent="0.2">
      <c r="A5" s="1069">
        <v>1</v>
      </c>
      <c r="B5" s="329" t="s">
        <v>2177</v>
      </c>
      <c r="C5" s="329" t="s">
        <v>2188</v>
      </c>
    </row>
    <row r="6" spans="1:6" x14ac:dyDescent="0.2">
      <c r="A6" s="1069">
        <v>2</v>
      </c>
      <c r="B6" s="329" t="s">
        <v>2178</v>
      </c>
      <c r="C6" s="329" t="s">
        <v>2189</v>
      </c>
    </row>
    <row r="7" spans="1:6" x14ac:dyDescent="0.2">
      <c r="A7" s="1069">
        <v>3</v>
      </c>
      <c r="B7" s="329" t="s">
        <v>2179</v>
      </c>
      <c r="C7" s="329" t="s">
        <v>2190</v>
      </c>
    </row>
    <row r="8" spans="1:6" x14ac:dyDescent="0.2">
      <c r="A8" s="1069">
        <v>4</v>
      </c>
      <c r="B8" s="329" t="s">
        <v>2180</v>
      </c>
      <c r="C8" s="329" t="s">
        <v>2191</v>
      </c>
    </row>
    <row r="9" spans="1:6" x14ac:dyDescent="0.2">
      <c r="A9" s="1070">
        <v>5</v>
      </c>
      <c r="B9" s="329" t="s">
        <v>2181</v>
      </c>
      <c r="C9" s="329" t="s">
        <v>2192</v>
      </c>
    </row>
    <row r="10" spans="1:6" x14ac:dyDescent="0.2">
      <c r="A10" s="1070">
        <v>6</v>
      </c>
      <c r="B10" s="329" t="s">
        <v>2182</v>
      </c>
      <c r="C10" s="329" t="s">
        <v>2193</v>
      </c>
    </row>
    <row r="11" spans="1:6" x14ac:dyDescent="0.2">
      <c r="A11" s="1070">
        <v>7</v>
      </c>
      <c r="B11" s="329" t="s">
        <v>2183</v>
      </c>
      <c r="C11" s="329" t="s">
        <v>2194</v>
      </c>
    </row>
    <row r="12" spans="1:6" x14ac:dyDescent="0.2">
      <c r="A12" s="1070">
        <v>8</v>
      </c>
      <c r="B12" s="329" t="s">
        <v>2184</v>
      </c>
      <c r="C12" s="329" t="s">
        <v>2195</v>
      </c>
    </row>
    <row r="13" spans="1:6" x14ac:dyDescent="0.2">
      <c r="A13" s="1070">
        <v>9</v>
      </c>
      <c r="B13" s="329" t="s">
        <v>2185</v>
      </c>
      <c r="C13" s="329" t="s">
        <v>2197</v>
      </c>
    </row>
    <row r="14" spans="1:6" ht="27.75" customHeight="1" x14ac:dyDescent="0.2">
      <c r="A14" s="1974">
        <v>10</v>
      </c>
      <c r="B14" s="1973" t="s">
        <v>2196</v>
      </c>
      <c r="C14" s="2371" t="s">
        <v>2198</v>
      </c>
      <c r="D14" s="2372"/>
      <c r="E14" s="2372"/>
      <c r="F14" s="1975"/>
    </row>
    <row r="15" spans="1:6" x14ac:dyDescent="0.2">
      <c r="A15" s="1070">
        <v>11</v>
      </c>
      <c r="B15" s="329" t="s">
        <v>2200</v>
      </c>
      <c r="C15" s="329" t="s">
        <v>2186</v>
      </c>
    </row>
    <row r="16" spans="1:6" x14ac:dyDescent="0.2">
      <c r="A16" s="1070">
        <v>12</v>
      </c>
      <c r="B16" s="329" t="s">
        <v>2201</v>
      </c>
      <c r="C16" s="329" t="s">
        <v>2187</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Marengo Union E Cons D 165</v>
      </c>
    </row>
    <row r="66" spans="1:2" x14ac:dyDescent="0.2">
      <c r="B66" s="1071">
        <f>COVER!A13</f>
        <v>44063165003</v>
      </c>
    </row>
  </sheetData>
  <mergeCells count="1">
    <mergeCell ref="C14:E14"/>
  </mergeCells>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13" colorId="8" zoomScale="110" zoomScaleNormal="110" workbookViewId="0">
      <selection activeCell="J48" sqref="J48:J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40" sqref="B40:B4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73" t="s">
        <v>1784</v>
      </c>
      <c r="B18" s="237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10" zoomScale="110" zoomScaleNormal="110" workbookViewId="0">
      <selection activeCell="H3" sqref="H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4" t="s">
        <v>1790</v>
      </c>
      <c r="B1" s="2375"/>
      <c r="C1" s="2375"/>
      <c r="D1" s="2375"/>
      <c r="E1" s="2375"/>
      <c r="F1" s="2376"/>
    </row>
    <row r="2" spans="1:8" ht="45" customHeight="1" x14ac:dyDescent="0.2">
      <c r="A2" s="2384" t="s">
        <v>1791</v>
      </c>
      <c r="B2" s="2385"/>
      <c r="C2" s="2385"/>
      <c r="D2" s="2385"/>
      <c r="E2" s="2385"/>
      <c r="F2" s="2386"/>
      <c r="G2" s="1075"/>
      <c r="H2" s="1075"/>
    </row>
    <row r="3" spans="1:8" ht="57" customHeight="1" x14ac:dyDescent="0.2">
      <c r="A3" s="2387" t="s">
        <v>1786</v>
      </c>
      <c r="B3" s="2388"/>
      <c r="C3" s="2388"/>
      <c r="D3" s="2388"/>
      <c r="E3" s="2388"/>
      <c r="F3" s="2389"/>
      <c r="G3" s="1075"/>
      <c r="H3" s="1075"/>
    </row>
    <row r="4" spans="1:8" ht="14.25" customHeight="1" x14ac:dyDescent="0.2">
      <c r="A4" s="2393" t="s">
        <v>2053</v>
      </c>
      <c r="B4" s="2394"/>
      <c r="C4" s="2394"/>
      <c r="D4" s="2394"/>
      <c r="E4" s="2394"/>
      <c r="F4" s="2395"/>
      <c r="G4" s="1075"/>
      <c r="H4" s="1075"/>
    </row>
    <row r="5" spans="1:8" ht="14.25" customHeight="1" x14ac:dyDescent="0.2">
      <c r="A5" s="2396" t="s">
        <v>2054</v>
      </c>
      <c r="B5" s="2397"/>
      <c r="C5" s="2397"/>
      <c r="D5" s="2397"/>
      <c r="E5" s="2397"/>
      <c r="F5" s="2398"/>
      <c r="G5" s="1075"/>
      <c r="H5" s="1075"/>
    </row>
    <row r="6" spans="1:8" s="1076" customFormat="1" ht="41.25" customHeight="1" x14ac:dyDescent="0.2">
      <c r="A6" s="2390" t="s">
        <v>1792</v>
      </c>
      <c r="B6" s="2391"/>
      <c r="C6" s="2391"/>
      <c r="D6" s="2391"/>
      <c r="E6" s="2391"/>
      <c r="F6" s="239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9033409</v>
      </c>
      <c r="C8" s="1838">
        <f>'Acct Summary 7-8'!D8</f>
        <v>1267130</v>
      </c>
      <c r="D8" s="1838">
        <f>'Acct Summary 7-8'!F8</f>
        <v>669243</v>
      </c>
      <c r="E8" s="1838">
        <f>'Acct Summary 7-8'!I8</f>
        <v>9889</v>
      </c>
      <c r="F8" s="1838">
        <f>SUM(B8:E8)</f>
        <v>10979671</v>
      </c>
    </row>
    <row r="9" spans="1:8" s="1080" customFormat="1" ht="14.25" customHeight="1" thickBot="1" x14ac:dyDescent="0.25">
      <c r="A9" s="1079" t="s">
        <v>1436</v>
      </c>
      <c r="B9" s="1839">
        <f>'Acct Summary 7-8'!C17</f>
        <v>7843823</v>
      </c>
      <c r="C9" s="1839">
        <f>'Acct Summary 7-8'!D17</f>
        <v>1219994</v>
      </c>
      <c r="D9" s="1839">
        <f>'Acct Summary 7-8'!F17</f>
        <v>590465</v>
      </c>
      <c r="E9" s="1838"/>
      <c r="F9" s="1838">
        <f>SUM(B9:E9)</f>
        <v>9654282</v>
      </c>
    </row>
    <row r="10" spans="1:8" s="1080" customFormat="1" ht="14.25" thickTop="1" thickBot="1" x14ac:dyDescent="0.25">
      <c r="A10" s="1081" t="s">
        <v>1437</v>
      </c>
      <c r="B10" s="1840">
        <f>(B8-B9)</f>
        <v>1189586</v>
      </c>
      <c r="C10" s="1840">
        <f>(C8-C9)</f>
        <v>47136</v>
      </c>
      <c r="D10" s="1840">
        <f>(D8-D9)</f>
        <v>78778</v>
      </c>
      <c r="E10" s="1839">
        <f>(E8-E9)</f>
        <v>9889</v>
      </c>
      <c r="F10" s="1841">
        <f>SUM(F8-F9)</f>
        <v>1325389</v>
      </c>
    </row>
    <row r="11" spans="1:8" s="1080" customFormat="1" ht="14.25" thickTop="1" thickBot="1" x14ac:dyDescent="0.25">
      <c r="A11" s="1082" t="s">
        <v>1785</v>
      </c>
      <c r="B11" s="1842">
        <f>'Acct Summary 7-8'!C81</f>
        <v>7116033</v>
      </c>
      <c r="C11" s="1842">
        <f>'Acct Summary 7-8'!D81</f>
        <v>1097229</v>
      </c>
      <c r="D11" s="1842">
        <f>'Acct Summary 7-8'!F81</f>
        <v>829791</v>
      </c>
      <c r="E11" s="1842">
        <f>'Acct Summary 7-8'!I81</f>
        <v>15630</v>
      </c>
      <c r="F11" s="1843">
        <f>SUM(B11:E11)</f>
        <v>9058683</v>
      </c>
    </row>
    <row r="12" spans="1:8" ht="16.5" customHeight="1" thickTop="1" x14ac:dyDescent="0.2">
      <c r="A12" s="1083"/>
      <c r="B12" s="1084"/>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1085"/>
      <c r="B13" s="1086"/>
      <c r="C13" s="2378"/>
      <c r="D13" s="2379"/>
      <c r="E13" s="2379"/>
      <c r="F13" s="2380"/>
      <c r="H13" s="1075"/>
    </row>
    <row r="14" spans="1:8" ht="19.5" customHeight="1" x14ac:dyDescent="0.2">
      <c r="A14" s="1085"/>
      <c r="B14" s="1086"/>
      <c r="C14" s="2378"/>
      <c r="D14" s="2379"/>
      <c r="E14" s="2379"/>
      <c r="F14" s="2380"/>
      <c r="H14" s="1075"/>
    </row>
    <row r="15" spans="1:8" ht="17.25" customHeight="1" x14ac:dyDescent="0.2">
      <c r="A15" s="1085"/>
      <c r="B15" s="1086"/>
      <c r="C15" s="2381"/>
      <c r="D15" s="2382"/>
      <c r="E15" s="2382"/>
      <c r="F15" s="2383"/>
      <c r="H15" s="1075"/>
    </row>
    <row r="16" spans="1:8" s="310" customFormat="1" ht="51.75" hidden="1" customHeight="1" x14ac:dyDescent="0.2">
      <c r="A16" s="2377" t="s">
        <v>1787</v>
      </c>
      <c r="B16" s="2377"/>
      <c r="C16" s="2377"/>
      <c r="D16" s="2377"/>
      <c r="E16" s="237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G30" sqref="G30"/>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9" t="s">
        <v>686</v>
      </c>
      <c r="B3" s="2400"/>
      <c r="C3" s="2400"/>
      <c r="D3" s="2401"/>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10" t="s">
        <v>1584</v>
      </c>
      <c r="D7" s="2411"/>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02" t="s">
        <v>1065</v>
      </c>
      <c r="B15" s="2403"/>
      <c r="C15" s="2403"/>
      <c r="D15" s="2404"/>
    </row>
    <row r="16" spans="1:4" s="669" customFormat="1" ht="24" customHeight="1" x14ac:dyDescent="0.2">
      <c r="A16" s="2405" t="s">
        <v>684</v>
      </c>
      <c r="B16" s="2406"/>
      <c r="C16" s="2406"/>
      <c r="D16" s="240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14" t="s">
        <v>332</v>
      </c>
      <c r="D21" s="2415"/>
    </row>
    <row r="22" spans="1:10" ht="12.75" x14ac:dyDescent="0.2">
      <c r="A22" s="1140"/>
      <c r="B22" s="1141">
        <v>2</v>
      </c>
      <c r="C22" s="2412" t="s">
        <v>1605</v>
      </c>
      <c r="D22" s="241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6" t="s">
        <v>557</v>
      </c>
      <c r="D43" s="241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8" t="s">
        <v>817</v>
      </c>
      <c r="D56" s="240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08" t="s">
        <v>1797</v>
      </c>
      <c r="D70" s="240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44063165003</v>
      </c>
    </row>
    <row r="3" spans="1:2" x14ac:dyDescent="0.2">
      <c r="A3" t="s">
        <v>1013</v>
      </c>
      <c r="B3" s="138" t="str">
        <f>COVER!A15</f>
        <v>MCHENRY</v>
      </c>
    </row>
    <row r="4" spans="1:2" x14ac:dyDescent="0.2">
      <c r="A4" t="s">
        <v>1064</v>
      </c>
      <c r="B4" s="138" t="str">
        <f>COVER!A17</f>
        <v>Marengo Union E Cons D 165</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CHERYDEN JUERGENSEN</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MCHENRY</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4260197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7116033</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7116033</v>
      </c>
      <c r="D92" s="2" t="str">
        <f t="shared" si="0"/>
        <v>Error?</v>
      </c>
    </row>
    <row r="93" spans="1:4" x14ac:dyDescent="0.2">
      <c r="A93" s="5">
        <v>32</v>
      </c>
      <c r="B93" s="138">
        <f>'Assets-Liab 5-6'!C41</f>
        <v>7116033</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1097229</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1097229</v>
      </c>
      <c r="D123" s="2" t="str">
        <f t="shared" si="0"/>
        <v>Error?</v>
      </c>
    </row>
    <row r="124" spans="1:4" x14ac:dyDescent="0.2">
      <c r="A124" s="5">
        <v>63</v>
      </c>
      <c r="B124" s="138">
        <f>'Assets-Liab 5-6'!D41</f>
        <v>1097229</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118129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118129</v>
      </c>
      <c r="D140" s="2" t="str">
        <f t="shared" si="1"/>
        <v>Error?</v>
      </c>
    </row>
    <row r="141" spans="1:4" x14ac:dyDescent="0.2">
      <c r="A141" s="5">
        <v>80</v>
      </c>
      <c r="B141" s="138">
        <f>'Assets-Liab 5-6'!E41</f>
        <v>118129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829791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829791</v>
      </c>
      <c r="D170" s="2" t="str">
        <f t="shared" si="1"/>
        <v>Error?</v>
      </c>
    </row>
    <row r="171" spans="1:4" x14ac:dyDescent="0.2">
      <c r="A171" s="5">
        <v>110</v>
      </c>
      <c r="B171" s="138">
        <f>'Assets-Liab 5-6'!F41</f>
        <v>829791</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294216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294216</v>
      </c>
      <c r="D189" s="2" t="str">
        <f t="shared" si="1"/>
        <v>Error?</v>
      </c>
    </row>
    <row r="190" spans="1:4" x14ac:dyDescent="0.2">
      <c r="A190" s="5">
        <v>129</v>
      </c>
      <c r="B190" s="138">
        <f>'Assets-Liab 5-6'!G41</f>
        <v>294216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17651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13967</v>
      </c>
      <c r="D212" s="2" t="str">
        <f t="shared" si="2"/>
        <v>Error?</v>
      </c>
    </row>
    <row r="213" spans="1:4" x14ac:dyDescent="0.2">
      <c r="A213" s="12">
        <v>152</v>
      </c>
      <c r="B213" s="138">
        <f>'Assets-Liab 5-6'!H41</f>
        <v>17651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59496</v>
      </c>
      <c r="D273" s="2" t="str">
        <f t="shared" si="3"/>
        <v>Error?</v>
      </c>
    </row>
    <row r="274" spans="1:4" x14ac:dyDescent="0.2">
      <c r="A274" s="5">
        <v>213</v>
      </c>
      <c r="B274" s="138">
        <f>'Assets-Liab 5-6'!M17</f>
        <v>4890035</v>
      </c>
      <c r="D274" s="2" t="str">
        <f t="shared" si="3"/>
        <v>Error?</v>
      </c>
    </row>
    <row r="275" spans="1:4" x14ac:dyDescent="0.2">
      <c r="A275" s="5">
        <v>214</v>
      </c>
      <c r="B275" s="138">
        <f>'Assets-Liab 5-6'!M18</f>
        <v>484248</v>
      </c>
      <c r="D275" s="2" t="str">
        <f t="shared" si="3"/>
        <v>Error?</v>
      </c>
    </row>
    <row r="276" spans="1:4" x14ac:dyDescent="0.2">
      <c r="A276" s="5">
        <v>215</v>
      </c>
      <c r="B276" s="138">
        <f>'Assets-Liab 5-6'!M19</f>
        <v>2557847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7991626</v>
      </c>
      <c r="C279" s="2" t="s">
        <v>594</v>
      </c>
      <c r="D279" s="2" t="str">
        <f t="shared" si="3"/>
        <v>Error?</v>
      </c>
    </row>
    <row r="280" spans="1:4" x14ac:dyDescent="0.2">
      <c r="A280" s="5">
        <v>219</v>
      </c>
      <c r="B280" s="138">
        <f>'Assets-Liab 5-6'!M40</f>
        <v>7991626</v>
      </c>
      <c r="D280" s="2" t="str">
        <f t="shared" si="3"/>
        <v>Error?</v>
      </c>
    </row>
    <row r="281" spans="1:4" x14ac:dyDescent="0.2">
      <c r="A281" s="5">
        <v>220</v>
      </c>
      <c r="B281" s="138">
        <f>'Assets-Liab 5-6'!M41</f>
        <v>7991626</v>
      </c>
      <c r="C281" s="2" t="s">
        <v>594</v>
      </c>
      <c r="D281" s="2" t="str">
        <f t="shared" si="3"/>
        <v>Error?</v>
      </c>
    </row>
    <row r="282" spans="1:4" x14ac:dyDescent="0.2">
      <c r="A282" s="5">
        <v>221</v>
      </c>
      <c r="B282" s="138">
        <f>'Assets-Liab 5-6'!N21</f>
        <v>118129</v>
      </c>
      <c r="D282" s="2" t="str">
        <f t="shared" si="3"/>
        <v>Error?</v>
      </c>
    </row>
    <row r="283" spans="1:4" x14ac:dyDescent="0.2">
      <c r="A283" s="5">
        <v>222</v>
      </c>
      <c r="B283" s="138">
        <f>'Assets-Liab 5-6'!N22</f>
        <v>2691871</v>
      </c>
      <c r="D283" s="2" t="str">
        <f t="shared" si="3"/>
        <v>Error?</v>
      </c>
    </row>
    <row r="284" spans="1:4" x14ac:dyDescent="0.2">
      <c r="A284" s="5">
        <v>223</v>
      </c>
      <c r="B284" s="138">
        <f>'Assets-Liab 5-6'!N23</f>
        <v>2810000</v>
      </c>
      <c r="C284" s="2" t="s">
        <v>594</v>
      </c>
      <c r="D284" s="2" t="str">
        <f t="shared" si="3"/>
        <v>Error?</v>
      </c>
    </row>
    <row r="285" spans="1:4" x14ac:dyDescent="0.2">
      <c r="A285" s="5">
        <v>224</v>
      </c>
      <c r="B285" s="138">
        <f>'Assets-Liab 5-6'!N36</f>
        <v>2810000</v>
      </c>
      <c r="D285" s="2" t="str">
        <f t="shared" si="3"/>
        <v>Error?</v>
      </c>
    </row>
    <row r="286" spans="1:4" x14ac:dyDescent="0.2">
      <c r="A286" s="10">
        <v>225</v>
      </c>
      <c r="D286" s="2" t="str">
        <f t="shared" si="3"/>
        <v>OK</v>
      </c>
    </row>
    <row r="287" spans="1:4" x14ac:dyDescent="0.2">
      <c r="A287" s="5">
        <v>226</v>
      </c>
      <c r="B287" s="138">
        <f>'Assets-Liab 5-6'!N37</f>
        <v>2810000</v>
      </c>
      <c r="C287" s="2" t="s">
        <v>594</v>
      </c>
      <c r="D287" s="2" t="str">
        <f t="shared" si="3"/>
        <v>Error?</v>
      </c>
    </row>
    <row r="288" spans="1:4" x14ac:dyDescent="0.2">
      <c r="A288" s="5">
        <v>227</v>
      </c>
      <c r="B288" s="138">
        <f>'Assets-Liab 5-6'!N41</f>
        <v>2810000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2816147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124853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42601</v>
      </c>
      <c r="D718" s="2" t="str">
        <f t="shared" si="10"/>
        <v>Error?</v>
      </c>
    </row>
    <row r="719" spans="1:4" x14ac:dyDescent="0.2">
      <c r="A719" s="5">
        <v>658</v>
      </c>
      <c r="B719" s="138">
        <f>'Expenditures 15-22'!C15</f>
        <v>7671</v>
      </c>
      <c r="D719" s="2" t="str">
        <f t="shared" si="10"/>
        <v>Error?</v>
      </c>
    </row>
    <row r="720" spans="1:4" x14ac:dyDescent="0.2">
      <c r="A720" s="5">
        <v>659</v>
      </c>
      <c r="B720" s="138">
        <f>'Expenditures 15-22'!C33</f>
        <v>3812913</v>
      </c>
      <c r="C720" s="2" t="s">
        <v>594</v>
      </c>
      <c r="D720" s="2" t="str">
        <f t="shared" si="10"/>
        <v>Error?</v>
      </c>
    </row>
    <row r="721" spans="1:4" x14ac:dyDescent="0.2">
      <c r="A721" s="5">
        <v>660</v>
      </c>
      <c r="B721" s="138">
        <f>'Expenditures 15-22'!C36</f>
        <v>179551</v>
      </c>
      <c r="D721" s="2" t="str">
        <f t="shared" si="10"/>
        <v>Error?</v>
      </c>
    </row>
    <row r="722" spans="1:4" x14ac:dyDescent="0.2">
      <c r="A722" s="5">
        <v>661</v>
      </c>
      <c r="B722" s="138">
        <f>'Expenditures 15-22'!C37</f>
        <v>55791</v>
      </c>
      <c r="D722" s="2" t="str">
        <f t="shared" si="10"/>
        <v>Error?</v>
      </c>
    </row>
    <row r="723" spans="1:4" x14ac:dyDescent="0.2">
      <c r="A723" s="5">
        <v>662</v>
      </c>
      <c r="B723" s="138">
        <f>'Expenditures 15-22'!C38</f>
        <v>133604</v>
      </c>
      <c r="D723" s="2" t="str">
        <f t="shared" si="10"/>
        <v>Error?</v>
      </c>
    </row>
    <row r="724" spans="1:4" x14ac:dyDescent="0.2">
      <c r="A724" s="5">
        <v>663</v>
      </c>
      <c r="B724" s="138">
        <f>'Expenditures 15-22'!C39</f>
        <v>105204</v>
      </c>
      <c r="D724" s="2" t="str">
        <f t="shared" si="10"/>
        <v>Error?</v>
      </c>
    </row>
    <row r="725" spans="1:4" x14ac:dyDescent="0.2">
      <c r="A725" s="5">
        <v>664</v>
      </c>
      <c r="B725" s="138">
        <f>'Expenditures 15-22'!C40</f>
        <v>223909</v>
      </c>
      <c r="D725" s="2" t="str">
        <f t="shared" si="10"/>
        <v>Error?</v>
      </c>
    </row>
    <row r="726" spans="1:4" x14ac:dyDescent="0.2">
      <c r="A726" s="5">
        <v>665</v>
      </c>
      <c r="B726" s="138">
        <f>'Expenditures 15-22'!C41</f>
        <v>6930</v>
      </c>
      <c r="D726" s="2" t="str">
        <f t="shared" si="10"/>
        <v>Error?</v>
      </c>
    </row>
    <row r="727" spans="1:4" x14ac:dyDescent="0.2">
      <c r="A727" s="5">
        <v>666</v>
      </c>
      <c r="B727" s="138">
        <f>'Expenditures 15-22'!C42</f>
        <v>704989</v>
      </c>
      <c r="C727" s="2" t="s">
        <v>594</v>
      </c>
      <c r="D727" s="2" t="str">
        <f t="shared" si="10"/>
        <v>Error?</v>
      </c>
    </row>
    <row r="728" spans="1:4" x14ac:dyDescent="0.2">
      <c r="A728" s="5">
        <v>667</v>
      </c>
      <c r="B728" s="138">
        <f>'Expenditures 15-22'!C44</f>
        <v>19949</v>
      </c>
      <c r="D728" s="2" t="str">
        <f t="shared" si="10"/>
        <v>Error?</v>
      </c>
    </row>
    <row r="729" spans="1:4" x14ac:dyDescent="0.2">
      <c r="A729" s="5">
        <v>668</v>
      </c>
      <c r="B729" s="138">
        <f>'Expenditures 15-22'!C45</f>
        <v>46038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65987</v>
      </c>
      <c r="C731" s="2" t="s">
        <v>594</v>
      </c>
      <c r="D731" s="2" t="str">
        <f t="shared" si="10"/>
        <v>Error?</v>
      </c>
    </row>
    <row r="732" spans="1:4" x14ac:dyDescent="0.2">
      <c r="A732" s="5">
        <v>671</v>
      </c>
      <c r="B732" s="138">
        <f>'Expenditures 15-22'!C49</f>
        <v>8390</v>
      </c>
      <c r="D732" s="2" t="str">
        <f t="shared" si="10"/>
        <v>Error?</v>
      </c>
    </row>
    <row r="733" spans="1:4" x14ac:dyDescent="0.2">
      <c r="A733" s="5">
        <v>672</v>
      </c>
      <c r="B733" s="138">
        <f>'Expenditures 15-22'!C50</f>
        <v>184198</v>
      </c>
      <c r="D733" s="2" t="str">
        <f t="shared" si="10"/>
        <v>Error?</v>
      </c>
    </row>
    <row r="734" spans="1:4" x14ac:dyDescent="0.2">
      <c r="A734" s="5">
        <v>673</v>
      </c>
      <c r="B734" s="138">
        <f>'Expenditures 15-22'!C53</f>
        <v>280201</v>
      </c>
      <c r="C734" s="2" t="s">
        <v>594</v>
      </c>
      <c r="D734" s="2" t="str">
        <f t="shared" si="10"/>
        <v>Error?</v>
      </c>
    </row>
    <row r="735" spans="1:4" x14ac:dyDescent="0.2">
      <c r="A735" s="5">
        <v>674</v>
      </c>
      <c r="B735" s="138">
        <f>'Expenditures 15-22'!C55</f>
        <v>314487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314487</v>
      </c>
      <c r="C737" s="2" t="s">
        <v>594</v>
      </c>
      <c r="D737" s="2" t="str">
        <f t="shared" si="10"/>
        <v>Error?</v>
      </c>
    </row>
    <row r="738" spans="1:4" x14ac:dyDescent="0.2">
      <c r="A738" s="5">
        <v>677</v>
      </c>
      <c r="B738" s="138">
        <f>'Expenditures 15-22'!C59</f>
        <v>74925</v>
      </c>
      <c r="D738" s="2" t="str">
        <f t="shared" si="10"/>
        <v>Error?</v>
      </c>
    </row>
    <row r="739" spans="1:4" x14ac:dyDescent="0.2">
      <c r="A739" s="5">
        <v>678</v>
      </c>
      <c r="B739" s="138">
        <f>'Expenditures 15-22'!C60</f>
        <v>32770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156559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264254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66408</v>
      </c>
      <c r="D748" s="2" t="str">
        <f t="shared" si="10"/>
        <v>Error?</v>
      </c>
    </row>
    <row r="749" spans="1:4" x14ac:dyDescent="0.2">
      <c r="A749" s="5">
        <v>688</v>
      </c>
      <c r="B749" s="138">
        <f>'Expenditures 15-22'!C70</f>
        <v>2465</v>
      </c>
      <c r="D749" s="2" t="str">
        <f t="shared" si="10"/>
        <v>Error?</v>
      </c>
    </row>
    <row r="750" spans="1:4" x14ac:dyDescent="0.2">
      <c r="A750" s="10">
        <v>689</v>
      </c>
      <c r="D750" s="2" t="str">
        <f t="shared" si="10"/>
        <v>OK</v>
      </c>
    </row>
    <row r="751" spans="1:4" x14ac:dyDescent="0.2">
      <c r="A751" s="5">
        <v>690</v>
      </c>
      <c r="B751" s="138">
        <f>'Expenditures 15-22'!C71</f>
        <v>89918</v>
      </c>
      <c r="D751" s="2" t="str">
        <f t="shared" si="10"/>
        <v>Error?</v>
      </c>
    </row>
    <row r="752" spans="1:4" x14ac:dyDescent="0.2">
      <c r="A752" s="10">
        <v>691</v>
      </c>
      <c r="D752" s="2" t="str">
        <f t="shared" si="10"/>
        <v>OK</v>
      </c>
    </row>
    <row r="753" spans="1:4" x14ac:dyDescent="0.2">
      <c r="A753" s="5">
        <v>692</v>
      </c>
      <c r="B753" s="138">
        <f>'Expenditures 15-22'!C72</f>
        <v>158791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1788709</v>
      </c>
      <c r="C755" s="2" t="s">
        <v>594</v>
      </c>
      <c r="D755" s="2" t="str">
        <f t="shared" si="10"/>
        <v>Error?</v>
      </c>
    </row>
    <row r="756" spans="1:4" x14ac:dyDescent="0.2">
      <c r="A756" s="5">
        <v>695</v>
      </c>
      <c r="B756" s="138">
        <f>'Expenditures 15-22'!C75</f>
        <v>26959</v>
      </c>
      <c r="D756" s="2" t="str">
        <f t="shared" si="10"/>
        <v>Error?</v>
      </c>
    </row>
    <row r="757" spans="1:4" x14ac:dyDescent="0.2">
      <c r="A757" s="5">
        <v>696</v>
      </c>
      <c r="B757" s="138">
        <f>'Expenditures 15-22'!C114</f>
        <v>5628581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386597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21199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527</v>
      </c>
      <c r="D776" s="2" t="str">
        <f t="shared" si="11"/>
        <v>Error?</v>
      </c>
    </row>
    <row r="777" spans="1:4" x14ac:dyDescent="0.2">
      <c r="A777" s="5">
        <v>716</v>
      </c>
      <c r="B777" s="138">
        <f>'Expenditures 15-22'!D15</f>
        <v>80</v>
      </c>
      <c r="D777" s="2" t="str">
        <f t="shared" si="11"/>
        <v>Error?</v>
      </c>
    </row>
    <row r="778" spans="1:4" x14ac:dyDescent="0.2">
      <c r="A778" s="5">
        <v>717</v>
      </c>
      <c r="B778" s="138">
        <f>'Expenditures 15-22'!D33</f>
        <v>571787</v>
      </c>
      <c r="C778" s="2" t="s">
        <v>594</v>
      </c>
      <c r="D778" s="2" t="str">
        <f t="shared" si="11"/>
        <v>Error?</v>
      </c>
    </row>
    <row r="779" spans="1:4" x14ac:dyDescent="0.2">
      <c r="A779" s="5">
        <v>718</v>
      </c>
      <c r="B779" s="138">
        <f>'Expenditures 15-22'!D36</f>
        <v>24792</v>
      </c>
      <c r="D779" s="2" t="str">
        <f t="shared" si="11"/>
        <v>Error?</v>
      </c>
    </row>
    <row r="780" spans="1:4" x14ac:dyDescent="0.2">
      <c r="A780" s="5">
        <v>719</v>
      </c>
      <c r="B780" s="138">
        <f>'Expenditures 15-22'!D37</f>
        <v>8545</v>
      </c>
      <c r="D780" s="2" t="str">
        <f t="shared" si="11"/>
        <v>Error?</v>
      </c>
    </row>
    <row r="781" spans="1:4" x14ac:dyDescent="0.2">
      <c r="A781" s="5">
        <v>720</v>
      </c>
      <c r="B781" s="138">
        <f>'Expenditures 15-22'!D38</f>
        <v>13331</v>
      </c>
      <c r="D781" s="2" t="str">
        <f t="shared" si="11"/>
        <v>Error?</v>
      </c>
    </row>
    <row r="782" spans="1:4" x14ac:dyDescent="0.2">
      <c r="A782" s="5">
        <v>721</v>
      </c>
      <c r="B782" s="138">
        <f>'Expenditures 15-22'!D39</f>
        <v>9695</v>
      </c>
      <c r="D782" s="2" t="str">
        <f t="shared" si="11"/>
        <v>Error?</v>
      </c>
    </row>
    <row r="783" spans="1:4" x14ac:dyDescent="0.2">
      <c r="A783" s="5">
        <v>722</v>
      </c>
      <c r="B783" s="138">
        <f>'Expenditures 15-22'!D40</f>
        <v>16687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73050</v>
      </c>
      <c r="C785" s="2" t="s">
        <v>594</v>
      </c>
      <c r="D785" s="2" t="str">
        <f t="shared" si="11"/>
        <v>Error?</v>
      </c>
    </row>
    <row r="786" spans="1:4" x14ac:dyDescent="0.2">
      <c r="A786" s="5">
        <v>725</v>
      </c>
      <c r="B786" s="138">
        <f>'Expenditures 15-22'!D44</f>
        <v>779</v>
      </c>
      <c r="D786" s="2" t="str">
        <f t="shared" si="11"/>
        <v>Error?</v>
      </c>
    </row>
    <row r="787" spans="1:4" x14ac:dyDescent="0.2">
      <c r="A787" s="5">
        <v>726</v>
      </c>
      <c r="B787" s="138">
        <f>'Expenditures 15-22'!D45</f>
        <v>15146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15925</v>
      </c>
      <c r="C789" s="2" t="s">
        <v>594</v>
      </c>
      <c r="D789" s="2" t="str">
        <f t="shared" si="11"/>
        <v>Error?</v>
      </c>
    </row>
    <row r="790" spans="1:4" x14ac:dyDescent="0.2">
      <c r="A790" s="5">
        <v>729</v>
      </c>
      <c r="B790" s="138">
        <f>'Expenditures 15-22'!D49</f>
        <v>8093</v>
      </c>
      <c r="D790" s="2" t="str">
        <f t="shared" si="11"/>
        <v>Error?</v>
      </c>
    </row>
    <row r="791" spans="1:4" x14ac:dyDescent="0.2">
      <c r="A791" s="5">
        <v>730</v>
      </c>
      <c r="B791" s="138">
        <f>'Expenditures 15-22'!D50</f>
        <v>60183</v>
      </c>
      <c r="D791" s="2" t="str">
        <f t="shared" si="11"/>
        <v>Error?</v>
      </c>
    </row>
    <row r="792" spans="1:4" x14ac:dyDescent="0.2">
      <c r="A792" s="5">
        <v>731</v>
      </c>
      <c r="B792" s="138">
        <f>'Expenditures 15-22'!D53</f>
        <v>77236</v>
      </c>
      <c r="C792" s="2" t="s">
        <v>594</v>
      </c>
      <c r="D792" s="2" t="str">
        <f t="shared" si="11"/>
        <v>Error?</v>
      </c>
    </row>
    <row r="793" spans="1:4" x14ac:dyDescent="0.2">
      <c r="A793" s="5">
        <v>732</v>
      </c>
      <c r="B793" s="138">
        <f>'Expenditures 15-22'!D55</f>
        <v>85206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85206</v>
      </c>
      <c r="C795" s="2" t="s">
        <v>594</v>
      </c>
      <c r="D795" s="2" t="str">
        <f t="shared" si="11"/>
        <v>Error?</v>
      </c>
    </row>
    <row r="796" spans="1:4" x14ac:dyDescent="0.2">
      <c r="A796" s="5">
        <v>735</v>
      </c>
      <c r="B796" s="138">
        <f>'Expenditures 15-22'!D59</f>
        <v>5859</v>
      </c>
      <c r="D796" s="2" t="str">
        <f t="shared" si="11"/>
        <v>Error?</v>
      </c>
    </row>
    <row r="797" spans="1:4" x14ac:dyDescent="0.2">
      <c r="A797" s="5">
        <v>736</v>
      </c>
      <c r="B797" s="138">
        <f>'Expenditures 15-22'!D60</f>
        <v>1317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33158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40334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10557</v>
      </c>
      <c r="D806" s="2" t="str">
        <f t="shared" si="11"/>
        <v>Error?</v>
      </c>
    </row>
    <row r="807" spans="1:4" x14ac:dyDescent="0.2">
      <c r="A807" s="5">
        <v>746</v>
      </c>
      <c r="B807" s="138">
        <f>'Expenditures 15-22'!D70</f>
        <v>285</v>
      </c>
      <c r="D807" s="2" t="str">
        <f t="shared" si="11"/>
        <v>Error?</v>
      </c>
    </row>
    <row r="808" spans="1:4" x14ac:dyDescent="0.2">
      <c r="A808" s="10">
        <v>747</v>
      </c>
      <c r="D808" s="2" t="str">
        <f t="shared" si="11"/>
        <v>OK</v>
      </c>
    </row>
    <row r="809" spans="1:4" x14ac:dyDescent="0.2">
      <c r="A809" s="5">
        <v>748</v>
      </c>
      <c r="B809" s="138">
        <f>'Expenditures 15-22'!D71</f>
        <v>15477</v>
      </c>
      <c r="D809" s="2" t="str">
        <f t="shared" si="11"/>
        <v>Error?</v>
      </c>
    </row>
    <row r="810" spans="1:4" x14ac:dyDescent="0.2">
      <c r="A810" s="10">
        <v>749</v>
      </c>
      <c r="D810" s="2" t="str">
        <f t="shared" si="11"/>
        <v>OK</v>
      </c>
    </row>
    <row r="811" spans="1:4" x14ac:dyDescent="0.2">
      <c r="A811" s="5">
        <v>750</v>
      </c>
      <c r="B811" s="138">
        <f>'Expenditures 15-22'!D72</f>
        <v>26319</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318070</v>
      </c>
      <c r="C813" s="2" t="s">
        <v>594</v>
      </c>
      <c r="D813" s="2" t="str">
        <f t="shared" si="11"/>
        <v>Error?</v>
      </c>
    </row>
    <row r="814" spans="1:4" x14ac:dyDescent="0.2">
      <c r="A814" s="5">
        <v>753</v>
      </c>
      <c r="B814" s="138">
        <f>'Expenditures 15-22'!D75</f>
        <v>6796</v>
      </c>
      <c r="D814" s="2" t="str">
        <f t="shared" si="11"/>
        <v>Error?</v>
      </c>
    </row>
    <row r="815" spans="1:4" x14ac:dyDescent="0.2">
      <c r="A815" s="5">
        <v>754</v>
      </c>
      <c r="B815" s="138">
        <f>'Expenditures 15-22'!D114</f>
        <v>896653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26735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2926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32500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23709</v>
      </c>
      <c r="D839" s="2" t="str">
        <f t="shared" si="12"/>
        <v>Error?</v>
      </c>
    </row>
    <row r="840" spans="1:4" x14ac:dyDescent="0.2">
      <c r="A840" s="5">
        <v>779</v>
      </c>
      <c r="B840" s="138">
        <f>'Expenditures 15-22'!E39</f>
        <v>5142</v>
      </c>
      <c r="D840" s="2" t="str">
        <f t="shared" si="12"/>
        <v>Error?</v>
      </c>
    </row>
    <row r="841" spans="1:4" x14ac:dyDescent="0.2">
      <c r="A841" s="5">
        <v>780</v>
      </c>
      <c r="B841" s="138">
        <f>'Expenditures 15-22'!E40</f>
        <v>500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29351</v>
      </c>
      <c r="C843" s="2" t="s">
        <v>594</v>
      </c>
      <c r="D843" s="2" t="str">
        <f t="shared" si="12"/>
        <v>Error?</v>
      </c>
    </row>
    <row r="844" spans="1:4" x14ac:dyDescent="0.2">
      <c r="A844" s="5">
        <v>783</v>
      </c>
      <c r="B844" s="138">
        <f>'Expenditures 15-22'!E44</f>
        <v>49003</v>
      </c>
      <c r="D844" s="2" t="str">
        <f t="shared" si="12"/>
        <v>Error?</v>
      </c>
    </row>
    <row r="845" spans="1:4" x14ac:dyDescent="0.2">
      <c r="A845" s="5">
        <v>784</v>
      </c>
      <c r="B845" s="138">
        <f>'Expenditures 15-22'!E45</f>
        <v>634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49637</v>
      </c>
      <c r="C847" s="2" t="s">
        <v>594</v>
      </c>
      <c r="D847" s="2" t="str">
        <f t="shared" si="12"/>
        <v>Error?</v>
      </c>
    </row>
    <row r="848" spans="1:4" x14ac:dyDescent="0.2">
      <c r="A848" s="5">
        <v>787</v>
      </c>
      <c r="B848" s="138">
        <f>'Expenditures 15-22'!E49</f>
        <v>134955</v>
      </c>
      <c r="D848" s="2" t="str">
        <f t="shared" si="12"/>
        <v>Error?</v>
      </c>
    </row>
    <row r="849" spans="1:4" x14ac:dyDescent="0.2">
      <c r="A849" s="5">
        <v>788</v>
      </c>
      <c r="B849" s="138">
        <f>'Expenditures 15-22'!E50</f>
        <v>4070</v>
      </c>
      <c r="D849" s="2" t="str">
        <f t="shared" si="12"/>
        <v>Error?</v>
      </c>
    </row>
    <row r="850" spans="1:4" x14ac:dyDescent="0.2">
      <c r="A850" s="5">
        <v>789</v>
      </c>
      <c r="B850" s="138">
        <f>'Expenditures 15-22'!E53</f>
        <v>141863</v>
      </c>
      <c r="C850" s="2" t="s">
        <v>594</v>
      </c>
      <c r="D850" s="2" t="str">
        <f t="shared" si="12"/>
        <v>Error?</v>
      </c>
    </row>
    <row r="851" spans="1:4" x14ac:dyDescent="0.2">
      <c r="A851" s="5">
        <v>790</v>
      </c>
      <c r="B851" s="138">
        <f>'Expenditures 15-22'!E55</f>
        <v>2051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2051</v>
      </c>
      <c r="C853" s="2" t="s">
        <v>594</v>
      </c>
      <c r="D853" s="2" t="str">
        <f t="shared" si="12"/>
        <v>Error?</v>
      </c>
    </row>
    <row r="854" spans="1:4" x14ac:dyDescent="0.2">
      <c r="A854" s="5">
        <v>793</v>
      </c>
      <c r="B854" s="138">
        <f>'Expenditures 15-22'!E59</f>
        <v>872</v>
      </c>
      <c r="D854" s="2" t="str">
        <f t="shared" si="12"/>
        <v>Error?</v>
      </c>
    </row>
    <row r="855" spans="1:4" x14ac:dyDescent="0.2">
      <c r="A855" s="5">
        <v>794</v>
      </c>
      <c r="B855" s="138">
        <f>'Expenditures 15-22'!E60</f>
        <v>290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1412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2811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12426</v>
      </c>
      <c r="D867" s="2" t="str">
        <f t="shared" si="12"/>
        <v>Error?</v>
      </c>
    </row>
    <row r="868" spans="1:4" x14ac:dyDescent="0.2">
      <c r="A868" s="10">
        <v>807</v>
      </c>
      <c r="D868" s="2" t="str">
        <f t="shared" si="12"/>
        <v>OK</v>
      </c>
    </row>
    <row r="869" spans="1:4" x14ac:dyDescent="0.2">
      <c r="A869" s="5">
        <v>808</v>
      </c>
      <c r="B869" s="138">
        <f>'Expenditures 15-22'!E72</f>
        <v>15237</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239551</v>
      </c>
      <c r="C871" s="2" t="s">
        <v>594</v>
      </c>
      <c r="D871" s="2" t="str">
        <f t="shared" si="12"/>
        <v>Error?</v>
      </c>
    </row>
    <row r="872" spans="1:4" x14ac:dyDescent="0.2">
      <c r="A872" s="5">
        <v>811</v>
      </c>
      <c r="B872" s="138">
        <f>'Expenditures 15-22'!E75</f>
        <v>9000</v>
      </c>
      <c r="D872" s="2" t="str">
        <f t="shared" si="12"/>
        <v>Error?</v>
      </c>
    </row>
    <row r="873" spans="1:4" x14ac:dyDescent="0.2">
      <c r="A873" s="5">
        <v>812</v>
      </c>
      <c r="B873" s="138">
        <f>'Expenditures 15-22'!E114</f>
        <v>284037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96424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220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809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120802</v>
      </c>
      <c r="C894" s="2" t="s">
        <v>594</v>
      </c>
      <c r="D894" s="2" t="str">
        <f t="shared" si="12"/>
        <v>Error?</v>
      </c>
    </row>
    <row r="895" spans="1:4" x14ac:dyDescent="0.2">
      <c r="A895" s="5">
        <v>834</v>
      </c>
      <c r="B895" s="138">
        <f>'Expenditures 15-22'!F36</f>
        <v>96</v>
      </c>
      <c r="D895" s="2" t="str">
        <f t="shared" ref="D895:D958" si="13">IF(ISBLANK(B895),"OK",IF(A895-B895=0,"OK","Error?"))</f>
        <v>Error?</v>
      </c>
    </row>
    <row r="896" spans="1:4" x14ac:dyDescent="0.2">
      <c r="A896" s="5">
        <v>835</v>
      </c>
      <c r="B896" s="138">
        <f>'Expenditures 15-22'!F37</f>
        <v>56</v>
      </c>
      <c r="D896" s="2" t="str">
        <f t="shared" si="13"/>
        <v>Error?</v>
      </c>
    </row>
    <row r="897" spans="1:4" x14ac:dyDescent="0.2">
      <c r="A897" s="5">
        <v>836</v>
      </c>
      <c r="B897" s="138">
        <f>'Expenditures 15-22'!F38</f>
        <v>1044</v>
      </c>
      <c r="D897" s="2" t="str">
        <f t="shared" si="13"/>
        <v>Error?</v>
      </c>
    </row>
    <row r="898" spans="1:4" x14ac:dyDescent="0.2">
      <c r="A898" s="5">
        <v>837</v>
      </c>
      <c r="B898" s="138">
        <f>'Expenditures 15-22'!F39</f>
        <v>3187</v>
      </c>
      <c r="D898" s="2" t="str">
        <f t="shared" si="13"/>
        <v>Error?</v>
      </c>
    </row>
    <row r="899" spans="1:4" x14ac:dyDescent="0.2">
      <c r="A899" s="5">
        <v>838</v>
      </c>
      <c r="B899" s="138">
        <f>'Expenditures 15-22'!F40</f>
        <v>699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5082</v>
      </c>
      <c r="C901" s="2" t="s">
        <v>594</v>
      </c>
      <c r="D901" s="2" t="str">
        <f t="shared" si="13"/>
        <v>Error?</v>
      </c>
    </row>
    <row r="902" spans="1:4" x14ac:dyDescent="0.2">
      <c r="A902" s="5">
        <v>841</v>
      </c>
      <c r="B902" s="138">
        <f>'Expenditures 15-22'!F44</f>
        <v>140545</v>
      </c>
      <c r="D902" s="2" t="str">
        <f t="shared" si="13"/>
        <v>Error?</v>
      </c>
    </row>
    <row r="903" spans="1:4" x14ac:dyDescent="0.2">
      <c r="A903" s="5">
        <v>842</v>
      </c>
      <c r="B903" s="138">
        <f>'Expenditures 15-22'!F45</f>
        <v>4097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144642</v>
      </c>
      <c r="C905" s="2" t="s">
        <v>594</v>
      </c>
      <c r="D905" s="2" t="str">
        <f t="shared" si="13"/>
        <v>Error?</v>
      </c>
    </row>
    <row r="906" spans="1:4" x14ac:dyDescent="0.2">
      <c r="A906" s="5">
        <v>845</v>
      </c>
      <c r="B906" s="138">
        <f>'Expenditures 15-22'!F49</f>
        <v>7640</v>
      </c>
      <c r="D906" s="2" t="str">
        <f t="shared" si="13"/>
        <v>Error?</v>
      </c>
    </row>
    <row r="907" spans="1:4" x14ac:dyDescent="0.2">
      <c r="A907" s="5">
        <v>846</v>
      </c>
      <c r="B907" s="138">
        <f>'Expenditures 15-22'!F50</f>
        <v>1561</v>
      </c>
      <c r="D907" s="2" t="str">
        <f t="shared" si="13"/>
        <v>Error?</v>
      </c>
    </row>
    <row r="908" spans="1:4" x14ac:dyDescent="0.2">
      <c r="A908" s="5">
        <v>847</v>
      </c>
      <c r="B908" s="138">
        <f>'Expenditures 15-22'!F53</f>
        <v>9201</v>
      </c>
      <c r="C908" s="2" t="s">
        <v>594</v>
      </c>
      <c r="D908" s="2" t="str">
        <f t="shared" si="13"/>
        <v>Error?</v>
      </c>
    </row>
    <row r="909" spans="1:4" x14ac:dyDescent="0.2">
      <c r="A909" s="5">
        <v>848</v>
      </c>
      <c r="B909" s="138">
        <f>'Expenditures 15-22'!F55</f>
        <v>14060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14060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1072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175178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176250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1743</v>
      </c>
      <c r="D921" s="2" t="str">
        <f t="shared" si="13"/>
        <v>Error?</v>
      </c>
    </row>
    <row r="922" spans="1:4" x14ac:dyDescent="0.2">
      <c r="A922" s="5">
        <v>861</v>
      </c>
      <c r="B922" s="138">
        <f>'Expenditures 15-22'!F69</f>
        <v>384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63552</v>
      </c>
      <c r="D925" s="2" t="str">
        <f t="shared" si="13"/>
        <v>Error?</v>
      </c>
    </row>
    <row r="926" spans="1:4" x14ac:dyDescent="0.2">
      <c r="A926" s="10">
        <v>865</v>
      </c>
      <c r="D926" s="2" t="str">
        <f t="shared" si="13"/>
        <v>OK</v>
      </c>
    </row>
    <row r="927" spans="1:4" x14ac:dyDescent="0.2">
      <c r="A927" s="5">
        <v>866</v>
      </c>
      <c r="B927" s="138">
        <f>'Expenditures 15-22'!F72</f>
        <v>65679</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414914</v>
      </c>
      <c r="C929" s="2" t="s">
        <v>594</v>
      </c>
      <c r="D929" s="2" t="str">
        <f t="shared" si="13"/>
        <v>Error?</v>
      </c>
    </row>
    <row r="930" spans="1:4" x14ac:dyDescent="0.2">
      <c r="A930" s="5">
        <v>869</v>
      </c>
      <c r="B930" s="138">
        <f>'Expenditures 15-22'!F75</f>
        <v>1715</v>
      </c>
      <c r="D930" s="2" t="str">
        <f t="shared" si="13"/>
        <v>Error?</v>
      </c>
    </row>
    <row r="931" spans="1:4" x14ac:dyDescent="0.2">
      <c r="A931" s="5">
        <v>870</v>
      </c>
      <c r="B931" s="138">
        <f>'Expenditures 15-22'!F114</f>
        <v>537431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23064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23064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9154</v>
      </c>
      <c r="D983" s="2" t="str">
        <f t="shared" si="14"/>
        <v>Error?</v>
      </c>
    </row>
    <row r="984" spans="1:4" x14ac:dyDescent="0.2">
      <c r="A984" s="10">
        <v>923</v>
      </c>
      <c r="D984" s="2" t="str">
        <f t="shared" si="14"/>
        <v>OK</v>
      </c>
    </row>
    <row r="985" spans="1:4" x14ac:dyDescent="0.2">
      <c r="A985" s="5">
        <v>924</v>
      </c>
      <c r="B985" s="138">
        <f>'Expenditures 15-22'!G72</f>
        <v>9154</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9154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32218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195392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135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135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16395</v>
      </c>
      <c r="D1022" s="2" t="str">
        <f t="shared" si="14"/>
        <v>Error?</v>
      </c>
    </row>
    <row r="1023" spans="1:4" x14ac:dyDescent="0.2">
      <c r="A1023" s="5">
        <v>962</v>
      </c>
      <c r="B1023" s="138">
        <f>'Expenditures 15-22'!H50</f>
        <v>2770</v>
      </c>
      <c r="D1023" s="2" t="str">
        <f t="shared" ref="D1023:D1086" si="15">IF(ISBLANK(B1023),"OK",IF(A1023-B1023=0,"OK","Error?"))</f>
        <v>Error?</v>
      </c>
    </row>
    <row r="1024" spans="1:4" x14ac:dyDescent="0.2">
      <c r="A1024" s="5">
        <v>963</v>
      </c>
      <c r="B1024" s="138">
        <f>'Expenditures 15-22'!H53</f>
        <v>21183</v>
      </c>
      <c r="C1024" s="2" t="s">
        <v>594</v>
      </c>
      <c r="D1024" s="2" t="str">
        <f t="shared" si="15"/>
        <v>Error?</v>
      </c>
    </row>
    <row r="1025" spans="1:4" x14ac:dyDescent="0.2">
      <c r="A1025" s="5">
        <v>964</v>
      </c>
      <c r="B1025" s="138">
        <f>'Expenditures 15-22'!H55</f>
        <v>834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834</v>
      </c>
      <c r="C1027" s="2" t="s">
        <v>594</v>
      </c>
      <c r="D1027" s="2" t="str">
        <f t="shared" si="15"/>
        <v>Error?</v>
      </c>
    </row>
    <row r="1028" spans="1:4" x14ac:dyDescent="0.2">
      <c r="A1028" s="5">
        <v>967</v>
      </c>
      <c r="B1028" s="138">
        <f>'Expenditures 15-22'!H59</f>
        <v>625</v>
      </c>
      <c r="D1028" s="2" t="str">
        <f t="shared" si="15"/>
        <v>Error?</v>
      </c>
    </row>
    <row r="1029" spans="1:4" x14ac:dyDescent="0.2">
      <c r="A1029" s="5">
        <v>968</v>
      </c>
      <c r="B1029" s="138">
        <f>'Expenditures 15-22'!H60</f>
        <v>46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1038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1709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28712</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28712</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52573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182901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430866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3351486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146272</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48043</v>
      </c>
      <c r="C1106" s="2" t="s">
        <v>594</v>
      </c>
      <c r="D1106" s="2" t="str">
        <f t="shared" si="16"/>
        <v>Error?</v>
      </c>
    </row>
    <row r="1107" spans="1:4" x14ac:dyDescent="0.2">
      <c r="A1107" s="5">
        <v>1046</v>
      </c>
      <c r="B1107" s="138">
        <f>'Expenditures 15-22'!K15</f>
        <v>7751</v>
      </c>
      <c r="C1107" s="2" t="s">
        <v>594</v>
      </c>
      <c r="D1107" s="2" t="str">
        <f t="shared" si="16"/>
        <v>Error?</v>
      </c>
    </row>
    <row r="1108" spans="1:4" x14ac:dyDescent="0.2">
      <c r="A1108" s="5">
        <v>1047</v>
      </c>
      <c r="B1108" s="138">
        <f>'Expenditures 15-22'!K33</f>
        <v>4758977</v>
      </c>
      <c r="C1108" s="2" t="s">
        <v>594</v>
      </c>
      <c r="D1108" s="2" t="str">
        <f t="shared" si="16"/>
        <v>Error?</v>
      </c>
    </row>
    <row r="1109" spans="1:4" x14ac:dyDescent="0.2">
      <c r="A1109" s="5">
        <v>1048</v>
      </c>
      <c r="B1109" s="138">
        <f>'Expenditures 15-22'!K36</f>
        <v>204439</v>
      </c>
      <c r="C1109" s="2" t="s">
        <v>594</v>
      </c>
      <c r="D1109" s="2" t="str">
        <f t="shared" si="16"/>
        <v>Error?</v>
      </c>
    </row>
    <row r="1110" spans="1:4" x14ac:dyDescent="0.2">
      <c r="A1110" s="5">
        <v>1049</v>
      </c>
      <c r="B1110" s="138">
        <f>'Expenditures 15-22'!K37</f>
        <v>64392</v>
      </c>
      <c r="C1110" s="2" t="s">
        <v>594</v>
      </c>
      <c r="D1110" s="2" t="str">
        <f t="shared" si="16"/>
        <v>Error?</v>
      </c>
    </row>
    <row r="1111" spans="1:4" x14ac:dyDescent="0.2">
      <c r="A1111" s="5">
        <v>1050</v>
      </c>
      <c r="B1111" s="138">
        <f>'Expenditures 15-22'!K38</f>
        <v>171823</v>
      </c>
      <c r="C1111" s="2" t="s">
        <v>594</v>
      </c>
      <c r="D1111" s="2" t="str">
        <f t="shared" si="16"/>
        <v>Error?</v>
      </c>
    </row>
    <row r="1112" spans="1:4" x14ac:dyDescent="0.2">
      <c r="A1112" s="5">
        <v>1051</v>
      </c>
      <c r="B1112" s="138">
        <f>'Expenditures 15-22'!K39</f>
        <v>123228</v>
      </c>
      <c r="C1112" s="2" t="s">
        <v>594</v>
      </c>
      <c r="D1112" s="2" t="str">
        <f t="shared" si="16"/>
        <v>Error?</v>
      </c>
    </row>
    <row r="1113" spans="1:4" x14ac:dyDescent="0.2">
      <c r="A1113" s="5">
        <v>1052</v>
      </c>
      <c r="B1113" s="138">
        <f>'Expenditures 15-22'!K40</f>
        <v>241795</v>
      </c>
      <c r="C1113" s="2" t="s">
        <v>594</v>
      </c>
      <c r="D1113" s="2" t="str">
        <f t="shared" si="16"/>
        <v>Error?</v>
      </c>
    </row>
    <row r="1114" spans="1:4" x14ac:dyDescent="0.2">
      <c r="A1114" s="5">
        <v>1053</v>
      </c>
      <c r="B1114" s="138">
        <f>'Expenditures 15-22'!K41</f>
        <v>6930</v>
      </c>
      <c r="C1114" s="2" t="s">
        <v>594</v>
      </c>
      <c r="D1114" s="2" t="str">
        <f t="shared" si="16"/>
        <v>Error?</v>
      </c>
    </row>
    <row r="1115" spans="1:4" x14ac:dyDescent="0.2">
      <c r="A1115" s="5">
        <v>1054</v>
      </c>
      <c r="B1115" s="138">
        <f>'Expenditures 15-22'!K42</f>
        <v>812607</v>
      </c>
      <c r="C1115" s="2" t="s">
        <v>594</v>
      </c>
      <c r="D1115" s="2" t="str">
        <f t="shared" si="16"/>
        <v>Error?</v>
      </c>
    </row>
    <row r="1116" spans="1:4" x14ac:dyDescent="0.2">
      <c r="A1116" s="5">
        <v>1055</v>
      </c>
      <c r="B1116" s="138">
        <f>'Expenditures 15-22'!K44</f>
        <v>210276</v>
      </c>
      <c r="C1116" s="2" t="s">
        <v>594</v>
      </c>
      <c r="D1116" s="2" t="str">
        <f t="shared" si="16"/>
        <v>Error?</v>
      </c>
    </row>
    <row r="1117" spans="1:4" x14ac:dyDescent="0.2">
      <c r="A1117" s="5">
        <v>1056</v>
      </c>
      <c r="B1117" s="138">
        <f>'Expenditures 15-22'!K45</f>
        <v>65915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276191</v>
      </c>
      <c r="C1119" s="2" t="s">
        <v>594</v>
      </c>
      <c r="D1119" s="2" t="str">
        <f t="shared" si="16"/>
        <v>Error?</v>
      </c>
    </row>
    <row r="1120" spans="1:4" x14ac:dyDescent="0.2">
      <c r="A1120" s="5">
        <v>1059</v>
      </c>
      <c r="B1120" s="138">
        <f>'Expenditures 15-22'!K49</f>
        <v>175473</v>
      </c>
      <c r="C1120" s="2" t="s">
        <v>594</v>
      </c>
      <c r="D1120" s="2" t="str">
        <f t="shared" si="16"/>
        <v>Error?</v>
      </c>
    </row>
    <row r="1121" spans="1:4" x14ac:dyDescent="0.2">
      <c r="A1121" s="5">
        <v>1060</v>
      </c>
      <c r="B1121" s="138">
        <f>'Expenditures 15-22'!K50</f>
        <v>252782</v>
      </c>
      <c r="C1121" s="2" t="s">
        <v>594</v>
      </c>
      <c r="D1121" s="2" t="str">
        <f t="shared" si="16"/>
        <v>Error?</v>
      </c>
    </row>
    <row r="1122" spans="1:4" x14ac:dyDescent="0.2">
      <c r="A1122" s="5">
        <v>1061</v>
      </c>
      <c r="B1122" s="138">
        <f>'Expenditures 15-22'!K53</f>
        <v>529684</v>
      </c>
      <c r="C1122" s="2" t="s">
        <v>594</v>
      </c>
      <c r="D1122" s="2" t="str">
        <f t="shared" si="16"/>
        <v>Error?</v>
      </c>
    </row>
    <row r="1123" spans="1:4" x14ac:dyDescent="0.2">
      <c r="A1123" s="5">
        <v>1062</v>
      </c>
      <c r="B1123" s="138">
        <f>'Expenditures 15-22'!K55</f>
        <v>416638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416638</v>
      </c>
      <c r="C1125" s="2" t="s">
        <v>594</v>
      </c>
      <c r="D1125" s="2" t="str">
        <f t="shared" si="16"/>
        <v>Error?</v>
      </c>
    </row>
    <row r="1126" spans="1:4" x14ac:dyDescent="0.2">
      <c r="A1126" s="5">
        <v>1065</v>
      </c>
      <c r="B1126" s="138">
        <f>'Expenditures 15-22'!K59</f>
        <v>82281</v>
      </c>
      <c r="C1126" s="2" t="s">
        <v>594</v>
      </c>
      <c r="D1126" s="2" t="str">
        <f t="shared" si="16"/>
        <v>Error?</v>
      </c>
    </row>
    <row r="1127" spans="1:4" x14ac:dyDescent="0.2">
      <c r="A1127" s="5">
        <v>1066</v>
      </c>
      <c r="B1127" s="138">
        <f>'Expenditures 15-22'!K60</f>
        <v>35495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366883</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484659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1743</v>
      </c>
      <c r="C1135" s="2" t="s">
        <v>594</v>
      </c>
      <c r="D1135" s="2" t="str">
        <f t="shared" si="16"/>
        <v>Error?</v>
      </c>
    </row>
    <row r="1136" spans="1:4" x14ac:dyDescent="0.2">
      <c r="A1136" s="5">
        <v>1075</v>
      </c>
      <c r="B1136" s="138">
        <f>'Expenditures 15-22'!K69</f>
        <v>108872</v>
      </c>
      <c r="C1136" s="2" t="s">
        <v>594</v>
      </c>
      <c r="D1136" s="2" t="str">
        <f t="shared" si="16"/>
        <v>Error?</v>
      </c>
    </row>
    <row r="1137" spans="1:4" x14ac:dyDescent="0.2">
      <c r="A1137" s="5">
        <v>1076</v>
      </c>
      <c r="B1137" s="138">
        <f>'Expenditures 15-22'!K70</f>
        <v>2750</v>
      </c>
      <c r="C1137" s="2" t="s">
        <v>594</v>
      </c>
      <c r="D1137" s="2" t="str">
        <f t="shared" si="16"/>
        <v>Error?</v>
      </c>
    </row>
    <row r="1138" spans="1:4" x14ac:dyDescent="0.2">
      <c r="A1138" s="10">
        <v>1077</v>
      </c>
      <c r="D1138" s="2" t="str">
        <f t="shared" si="16"/>
        <v>OK</v>
      </c>
    </row>
    <row r="1139" spans="1:4" x14ac:dyDescent="0.2">
      <c r="A1139" s="5">
        <v>1078</v>
      </c>
      <c r="B1139" s="138">
        <f>'Expenditures 15-22'!K71</f>
        <v>221345</v>
      </c>
      <c r="C1139" s="2" t="s">
        <v>594</v>
      </c>
      <c r="D1139" s="2" t="str">
        <f t="shared" si="16"/>
        <v>Error?</v>
      </c>
    </row>
    <row r="1140" spans="1:4" x14ac:dyDescent="0.2">
      <c r="A1140" s="10">
        <v>1079</v>
      </c>
      <c r="D1140" s="2" t="str">
        <f t="shared" si="16"/>
        <v>OK</v>
      </c>
    </row>
    <row r="1141" spans="1:4" x14ac:dyDescent="0.2">
      <c r="A1141" s="5">
        <v>1080</v>
      </c>
      <c r="B1141" s="138">
        <f>'Expenditures 15-22'!K72</f>
        <v>334710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2854489</v>
      </c>
      <c r="C1143" s="2" t="s">
        <v>594</v>
      </c>
      <c r="D1143" s="2" t="str">
        <f t="shared" si="16"/>
        <v>Error?</v>
      </c>
    </row>
    <row r="1144" spans="1:4" x14ac:dyDescent="0.2">
      <c r="A1144" s="5">
        <v>1083</v>
      </c>
      <c r="B1144" s="138">
        <f>'Expenditures 15-22'!K75</f>
        <v>44470</v>
      </c>
      <c r="C1144" s="2" t="s">
        <v>594</v>
      </c>
      <c r="D1144" s="2" t="str">
        <f t="shared" si="16"/>
        <v>Error?</v>
      </c>
    </row>
    <row r="1145" spans="1:4" x14ac:dyDescent="0.2">
      <c r="A1145" s="5">
        <v>1084</v>
      </c>
      <c r="B1145" s="138">
        <f>'Expenditures 15-22'!K102</f>
        <v>185887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7843823</v>
      </c>
      <c r="C1152" s="2" t="s">
        <v>594</v>
      </c>
      <c r="D1152" s="2" t="str">
        <f t="shared" si="17"/>
        <v>Error?</v>
      </c>
    </row>
    <row r="1153" spans="1:4" x14ac:dyDescent="0.2">
      <c r="A1153" s="5">
        <v>1092</v>
      </c>
      <c r="B1153" s="138">
        <f>'Expenditures 15-22'!K115</f>
        <v>1189586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359572</v>
      </c>
      <c r="D1221" s="2" t="str">
        <f t="shared" si="18"/>
        <v>Error?</v>
      </c>
    </row>
    <row r="1222" spans="1:4" x14ac:dyDescent="0.2">
      <c r="A1222" s="10">
        <v>1161</v>
      </c>
      <c r="D1222" s="2" t="str">
        <f t="shared" si="18"/>
        <v>OK</v>
      </c>
    </row>
    <row r="1223" spans="1:4" x14ac:dyDescent="0.2">
      <c r="A1223" s="5">
        <v>1162</v>
      </c>
      <c r="B1223" s="138">
        <f>'Expenditures 15-22'!C127</f>
        <v>359572</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359572</v>
      </c>
      <c r="C1225" s="2" t="s">
        <v>594</v>
      </c>
      <c r="D1225" s="2" t="str">
        <f t="shared" si="18"/>
        <v>Error?</v>
      </c>
    </row>
    <row r="1226" spans="1:4" x14ac:dyDescent="0.2">
      <c r="A1226" s="5">
        <v>1165</v>
      </c>
      <c r="B1226" s="138">
        <f>'Expenditures 15-22'!C151</f>
        <v>359572</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65224</v>
      </c>
      <c r="D1229" s="2" t="str">
        <f t="shared" si="18"/>
        <v>Error?</v>
      </c>
    </row>
    <row r="1230" spans="1:4" x14ac:dyDescent="0.2">
      <c r="A1230" s="10">
        <v>1169</v>
      </c>
      <c r="D1230" s="2" t="str">
        <f t="shared" si="18"/>
        <v>OK</v>
      </c>
    </row>
    <row r="1231" spans="1:4" x14ac:dyDescent="0.2">
      <c r="A1231" s="5">
        <v>1170</v>
      </c>
      <c r="B1231" s="138">
        <f>'Expenditures 15-22'!D127</f>
        <v>65224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65224</v>
      </c>
      <c r="C1233" s="2" t="s">
        <v>594</v>
      </c>
      <c r="D1233" s="2" t="str">
        <f t="shared" si="18"/>
        <v>Error?</v>
      </c>
    </row>
    <row r="1234" spans="1:4" x14ac:dyDescent="0.2">
      <c r="A1234" s="5">
        <v>1173</v>
      </c>
      <c r="B1234" s="138">
        <f>'Expenditures 15-22'!D151</f>
        <v>65224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427140</v>
      </c>
      <c r="D1237" s="2" t="str">
        <f t="shared" si="18"/>
        <v>Error?</v>
      </c>
    </row>
    <row r="1238" spans="1:4" x14ac:dyDescent="0.2">
      <c r="A1238" s="10">
        <v>1177</v>
      </c>
      <c r="D1238" s="2" t="str">
        <f t="shared" si="18"/>
        <v>OK</v>
      </c>
    </row>
    <row r="1239" spans="1:4" x14ac:dyDescent="0.2">
      <c r="A1239" s="5">
        <v>1178</v>
      </c>
      <c r="B1239" s="138">
        <f>'Expenditures 15-22'!E127</f>
        <v>427140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427140</v>
      </c>
      <c r="C1241" s="2" t="s">
        <v>594</v>
      </c>
      <c r="D1241" s="2" t="str">
        <f t="shared" si="18"/>
        <v>Error?</v>
      </c>
    </row>
    <row r="1242" spans="1:4" x14ac:dyDescent="0.2">
      <c r="A1242" s="5">
        <v>1181</v>
      </c>
      <c r="B1242" s="138">
        <f>'Expenditures 15-22'!E151</f>
        <v>427140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207225</v>
      </c>
      <c r="D1245" s="2" t="str">
        <f t="shared" si="18"/>
        <v>Error?</v>
      </c>
    </row>
    <row r="1246" spans="1:4" x14ac:dyDescent="0.2">
      <c r="A1246" s="10">
        <v>1185</v>
      </c>
      <c r="D1246" s="2" t="str">
        <f t="shared" si="18"/>
        <v>OK</v>
      </c>
    </row>
    <row r="1247" spans="1:4" x14ac:dyDescent="0.2">
      <c r="A1247" s="5">
        <v>1186</v>
      </c>
      <c r="B1247" s="138">
        <f>'Expenditures 15-22'!F127</f>
        <v>207225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207225</v>
      </c>
      <c r="C1249" s="2" t="s">
        <v>594</v>
      </c>
      <c r="D1249" s="2" t="str">
        <f t="shared" si="18"/>
        <v>Error?</v>
      </c>
    </row>
    <row r="1250" spans="1:4" x14ac:dyDescent="0.2">
      <c r="A1250" s="5">
        <v>1189</v>
      </c>
      <c r="B1250" s="138">
        <f>'Expenditures 15-22'!F151</f>
        <v>207225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146427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146427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146427</v>
      </c>
      <c r="C1258" s="2" t="s">
        <v>594</v>
      </c>
      <c r="D1258" s="2" t="str">
        <f t="shared" si="18"/>
        <v>Error?</v>
      </c>
    </row>
    <row r="1259" spans="1:4" x14ac:dyDescent="0.2">
      <c r="A1259" s="5">
        <v>1198</v>
      </c>
      <c r="B1259" s="138">
        <f>'Expenditures 15-22'!G151</f>
        <v>146427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1219994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1219994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1219994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1219994</v>
      </c>
      <c r="C1288" s="2" t="s">
        <v>594</v>
      </c>
      <c r="D1288" s="2" t="str">
        <f t="shared" si="19"/>
        <v>Error?</v>
      </c>
    </row>
    <row r="1289" spans="1:4" x14ac:dyDescent="0.2">
      <c r="A1289" s="5">
        <v>1228</v>
      </c>
      <c r="B1289" s="138">
        <f>'Expenditures 15-22'!K152</f>
        <v>47136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112675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90000</v>
      </c>
      <c r="D1315" s="2" t="str">
        <f t="shared" si="19"/>
        <v>Error?</v>
      </c>
    </row>
    <row r="1316" spans="1:4" x14ac:dyDescent="0.2">
      <c r="A1316" s="5">
        <v>1255</v>
      </c>
      <c r="B1316" s="138">
        <f>'Expenditures 15-22'!H171</f>
        <v>1825</v>
      </c>
      <c r="D1316" s="2" t="str">
        <f t="shared" si="19"/>
        <v>Error?</v>
      </c>
    </row>
    <row r="1317" spans="1:4" x14ac:dyDescent="0.2">
      <c r="A1317" s="5">
        <v>1256</v>
      </c>
      <c r="B1317" s="138">
        <f>'Expenditures 15-22'!H172</f>
        <v>204500</v>
      </c>
      <c r="C1317" s="2" t="s">
        <v>594</v>
      </c>
      <c r="D1317" s="2" t="str">
        <f t="shared" si="19"/>
        <v>Error?</v>
      </c>
    </row>
    <row r="1318" spans="1:4" x14ac:dyDescent="0.2">
      <c r="A1318" s="5">
        <v>1257</v>
      </c>
      <c r="B1318" s="138">
        <f>'Expenditures 15-22'!H174</f>
        <v>204500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112675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90000</v>
      </c>
      <c r="C1329" s="2" t="s">
        <v>594</v>
      </c>
      <c r="D1329" s="2" t="str">
        <f t="shared" si="19"/>
        <v>Error?</v>
      </c>
    </row>
    <row r="1330" spans="1:4" x14ac:dyDescent="0.2">
      <c r="A1330" s="5">
        <v>1269</v>
      </c>
      <c r="B1330" s="138">
        <f>'Expenditures 15-22'!K171</f>
        <v>1825</v>
      </c>
      <c r="C1330" s="2" t="s">
        <v>594</v>
      </c>
      <c r="D1330" s="2" t="str">
        <f t="shared" si="19"/>
        <v>Error?</v>
      </c>
    </row>
    <row r="1331" spans="1:4" x14ac:dyDescent="0.2">
      <c r="A1331" s="5">
        <v>1270</v>
      </c>
      <c r="B1331" s="138">
        <f>'Expenditures 15-22'!K172</f>
        <v>204500</v>
      </c>
      <c r="C1331" s="2" t="s">
        <v>594</v>
      </c>
      <c r="D1331" s="2" t="str">
        <f t="shared" si="19"/>
        <v>Error?</v>
      </c>
    </row>
    <row r="1332" spans="1:4" x14ac:dyDescent="0.2">
      <c r="A1332" s="5">
        <v>1271</v>
      </c>
      <c r="B1332" s="138">
        <f>'Expenditures 15-22'!K174</f>
        <v>204500</v>
      </c>
      <c r="C1332" s="2" t="s">
        <v>594</v>
      </c>
      <c r="D1332" s="2" t="str">
        <f t="shared" si="19"/>
        <v>Error?</v>
      </c>
    </row>
    <row r="1333" spans="1:4" x14ac:dyDescent="0.2">
      <c r="A1333" s="5">
        <v>1272</v>
      </c>
      <c r="B1333" s="138">
        <f>'Expenditures 15-22'!K175</f>
        <v>996</v>
      </c>
      <c r="C1333" s="2" t="s">
        <v>594</v>
      </c>
      <c r="D1333" s="2" t="str">
        <f t="shared" si="19"/>
        <v>Error?</v>
      </c>
    </row>
    <row r="1334" spans="1:4" x14ac:dyDescent="0.2">
      <c r="A1334" s="10">
        <v>1273</v>
      </c>
      <c r="D1334" s="2" t="str">
        <f t="shared" si="19"/>
        <v>OK</v>
      </c>
    </row>
    <row r="1335" spans="1:4" x14ac:dyDescent="0.2">
      <c r="A1335" s="5">
        <v>1274</v>
      </c>
      <c r="B1335" s="138">
        <f>'Expenditures 15-22'!C182</f>
        <v>306366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306366</v>
      </c>
      <c r="C1339" s="2" t="s">
        <v>594</v>
      </c>
      <c r="D1339" s="2" t="str">
        <f t="shared" si="19"/>
        <v>Error?</v>
      </c>
    </row>
    <row r="1340" spans="1:4" x14ac:dyDescent="0.2">
      <c r="A1340" s="5">
        <v>1279</v>
      </c>
      <c r="B1340" s="138">
        <f>'Expenditures 15-22'!C210</f>
        <v>306366</v>
      </c>
      <c r="C1340" s="2" t="s">
        <v>594</v>
      </c>
      <c r="D1340" s="2" t="str">
        <f t="shared" si="19"/>
        <v>Error?</v>
      </c>
    </row>
    <row r="1341" spans="1:4" x14ac:dyDescent="0.2">
      <c r="A1341" s="5">
        <v>1280</v>
      </c>
      <c r="B1341" s="138">
        <f>'Expenditures 15-22'!D182</f>
        <v>21635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21635</v>
      </c>
      <c r="C1345" s="2" t="s">
        <v>594</v>
      </c>
      <c r="D1345" s="2" t="str">
        <f t="shared" si="20"/>
        <v>Error?</v>
      </c>
    </row>
    <row r="1346" spans="1:4" x14ac:dyDescent="0.2">
      <c r="A1346" s="5">
        <v>1285</v>
      </c>
      <c r="B1346" s="138">
        <f>'Expenditures 15-22'!D210</f>
        <v>21635</v>
      </c>
      <c r="C1346" s="2" t="s">
        <v>594</v>
      </c>
      <c r="D1346" s="2" t="str">
        <f t="shared" si="20"/>
        <v>Error?</v>
      </c>
    </row>
    <row r="1347" spans="1:4" x14ac:dyDescent="0.2">
      <c r="A1347" s="5">
        <v>1286</v>
      </c>
      <c r="B1347" s="138">
        <f>'Expenditures 15-22'!E182</f>
        <v>93651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93651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93651</v>
      </c>
      <c r="C1353" s="2" t="s">
        <v>594</v>
      </c>
      <c r="D1353" s="2" t="str">
        <f t="shared" si="20"/>
        <v>Error?</v>
      </c>
    </row>
    <row r="1354" spans="1:4" x14ac:dyDescent="0.2">
      <c r="A1354" s="5">
        <v>1293</v>
      </c>
      <c r="B1354" s="138">
        <f>'Expenditures 15-22'!F182</f>
        <v>67474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67474</v>
      </c>
      <c r="C1358" s="2" t="s">
        <v>594</v>
      </c>
      <c r="D1358" s="2" t="str">
        <f t="shared" si="20"/>
        <v>Error?</v>
      </c>
    </row>
    <row r="1359" spans="1:4" x14ac:dyDescent="0.2">
      <c r="A1359" s="5">
        <v>1298</v>
      </c>
      <c r="B1359" s="138">
        <f>'Expenditures 15-22'!F210</f>
        <v>67474</v>
      </c>
      <c r="C1359" s="2" t="s">
        <v>594</v>
      </c>
      <c r="D1359" s="2" t="str">
        <f t="shared" si="20"/>
        <v>Error?</v>
      </c>
    </row>
    <row r="1360" spans="1:4" x14ac:dyDescent="0.2">
      <c r="A1360" s="5">
        <v>1299</v>
      </c>
      <c r="B1360" s="138">
        <f>'Expenditures 15-22'!G182</f>
        <v>99728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99728</v>
      </c>
      <c r="C1364" s="2" t="s">
        <v>594</v>
      </c>
      <c r="D1364" s="2" t="str">
        <f t="shared" si="20"/>
        <v>Error?</v>
      </c>
    </row>
    <row r="1365" spans="1:4" x14ac:dyDescent="0.2">
      <c r="A1365" s="5">
        <v>1304</v>
      </c>
      <c r="B1365" s="138">
        <f>'Expenditures 15-22'!G210</f>
        <v>99728</v>
      </c>
      <c r="C1365" s="2" t="s">
        <v>594</v>
      </c>
      <c r="D1365" s="2" t="str">
        <f t="shared" si="20"/>
        <v>Error?</v>
      </c>
    </row>
    <row r="1366" spans="1:4" x14ac:dyDescent="0.2">
      <c r="A1366" s="5">
        <v>1305</v>
      </c>
      <c r="B1366" s="138">
        <f>'Expenditures 15-22'!H182</f>
        <v>1611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1611</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1611</v>
      </c>
      <c r="C1376" s="2" t="s">
        <v>594</v>
      </c>
      <c r="D1376" s="2" t="str">
        <f t="shared" si="20"/>
        <v>Error?</v>
      </c>
    </row>
    <row r="1377" spans="1:4" x14ac:dyDescent="0.2">
      <c r="A1377" s="5">
        <v>1316</v>
      </c>
      <c r="B1377" s="138">
        <f>'Expenditures 15-22'!K182</f>
        <v>590465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590465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590465</v>
      </c>
      <c r="C1388" s="2" t="s">
        <v>594</v>
      </c>
      <c r="D1388" s="2" t="str">
        <f t="shared" si="20"/>
        <v>Error?</v>
      </c>
    </row>
    <row r="1389" spans="1:4" x14ac:dyDescent="0.2">
      <c r="A1389" s="5">
        <v>1328</v>
      </c>
      <c r="B1389" s="138">
        <f>'Expenditures 15-22'!K211</f>
        <v>78778</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1810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1334</v>
      </c>
      <c r="D1408" s="2" t="str">
        <f t="shared" si="21"/>
        <v>Error?</v>
      </c>
    </row>
    <row r="1409" spans="1:4" x14ac:dyDescent="0.2">
      <c r="A1409" s="5">
        <v>1348</v>
      </c>
      <c r="B1409" s="138">
        <f>'Expenditures 15-22'!D224</f>
        <v>369</v>
      </c>
      <c r="D1409" s="2" t="str">
        <f t="shared" si="21"/>
        <v>Error?</v>
      </c>
    </row>
    <row r="1410" spans="1:4" x14ac:dyDescent="0.2">
      <c r="A1410" s="5">
        <v>1349</v>
      </c>
      <c r="B1410" s="138">
        <f>'Expenditures 15-22'!D229</f>
        <v>96228</v>
      </c>
      <c r="C1410" s="2" t="s">
        <v>594</v>
      </c>
      <c r="D1410" s="2" t="str">
        <f t="shared" si="21"/>
        <v>Error?</v>
      </c>
    </row>
    <row r="1411" spans="1:4" x14ac:dyDescent="0.2">
      <c r="A1411" s="5">
        <v>1350</v>
      </c>
      <c r="B1411" s="138">
        <f>'Expenditures 15-22'!D232</f>
        <v>2603</v>
      </c>
      <c r="D1411" s="2" t="str">
        <f t="shared" si="21"/>
        <v>Error?</v>
      </c>
    </row>
    <row r="1412" spans="1:4" x14ac:dyDescent="0.2">
      <c r="A1412" s="5">
        <v>1351</v>
      </c>
      <c r="B1412" s="138">
        <f>'Expenditures 15-22'!D233</f>
        <v>809</v>
      </c>
      <c r="D1412" s="2" t="str">
        <f t="shared" si="21"/>
        <v>Error?</v>
      </c>
    </row>
    <row r="1413" spans="1:4" x14ac:dyDescent="0.2">
      <c r="A1413" s="5">
        <v>1352</v>
      </c>
      <c r="B1413" s="138">
        <f>'Expenditures 15-22'!D234</f>
        <v>12425</v>
      </c>
      <c r="D1413" s="2" t="str">
        <f t="shared" si="21"/>
        <v>Error?</v>
      </c>
    </row>
    <row r="1414" spans="1:4" x14ac:dyDescent="0.2">
      <c r="A1414" s="5">
        <v>1353</v>
      </c>
      <c r="B1414" s="138">
        <f>'Expenditures 15-22'!D235</f>
        <v>1525</v>
      </c>
      <c r="D1414" s="2" t="str">
        <f t="shared" si="21"/>
        <v>Error?</v>
      </c>
    </row>
    <row r="1415" spans="1:4" x14ac:dyDescent="0.2">
      <c r="A1415" s="5">
        <v>1354</v>
      </c>
      <c r="B1415" s="138">
        <f>'Expenditures 15-22'!D236</f>
        <v>3247</v>
      </c>
      <c r="D1415" s="2" t="str">
        <f t="shared" si="21"/>
        <v>Error?</v>
      </c>
    </row>
    <row r="1416" spans="1:4" x14ac:dyDescent="0.2">
      <c r="A1416" s="5">
        <v>1355</v>
      </c>
      <c r="B1416" s="138">
        <f>'Expenditures 15-22'!D237</f>
        <v>949</v>
      </c>
      <c r="D1416" s="2" t="str">
        <f t="shared" si="21"/>
        <v>Error?</v>
      </c>
    </row>
    <row r="1417" spans="1:4" x14ac:dyDescent="0.2">
      <c r="A1417" s="5">
        <v>1356</v>
      </c>
      <c r="B1417" s="138">
        <f>'Expenditures 15-22'!D238</f>
        <v>21558</v>
      </c>
      <c r="C1417" s="2" t="s">
        <v>594</v>
      </c>
      <c r="D1417" s="2" t="str">
        <f t="shared" si="21"/>
        <v>Error?</v>
      </c>
    </row>
    <row r="1418" spans="1:4" x14ac:dyDescent="0.2">
      <c r="A1418" s="5">
        <v>1357</v>
      </c>
      <c r="B1418" s="138">
        <f>'Expenditures 15-22'!D240</f>
        <v>324</v>
      </c>
      <c r="D1418" s="2" t="str">
        <f t="shared" si="21"/>
        <v>Error?</v>
      </c>
    </row>
    <row r="1419" spans="1:4" x14ac:dyDescent="0.2">
      <c r="A1419" s="5">
        <v>1358</v>
      </c>
      <c r="B1419" s="138">
        <f>'Expenditures 15-22'!D241</f>
        <v>6321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6645</v>
      </c>
      <c r="C1421" s="2" t="s">
        <v>594</v>
      </c>
      <c r="D1421" s="2" t="str">
        <f t="shared" si="21"/>
        <v>Error?</v>
      </c>
    </row>
    <row r="1422" spans="1:4" x14ac:dyDescent="0.2">
      <c r="A1422" s="5">
        <v>1361</v>
      </c>
      <c r="B1422" s="138">
        <f>'Expenditures 15-22'!D245</f>
        <v>1151</v>
      </c>
      <c r="D1422" s="2" t="str">
        <f t="shared" si="21"/>
        <v>Error?</v>
      </c>
    </row>
    <row r="1423" spans="1:4" x14ac:dyDescent="0.2">
      <c r="A1423" s="5">
        <v>1362</v>
      </c>
      <c r="B1423" s="138">
        <f>'Expenditures 15-22'!D246</f>
        <v>9468</v>
      </c>
      <c r="D1423" s="2" t="str">
        <f t="shared" si="21"/>
        <v>Error?</v>
      </c>
    </row>
    <row r="1424" spans="1:4" x14ac:dyDescent="0.2">
      <c r="A1424" s="5">
        <v>1363</v>
      </c>
      <c r="B1424" s="138">
        <f>'Expenditures 15-22'!D257</f>
        <v>14352</v>
      </c>
      <c r="C1424" s="2" t="s">
        <v>594</v>
      </c>
      <c r="D1424" s="2" t="str">
        <f t="shared" si="21"/>
        <v>Error?</v>
      </c>
    </row>
    <row r="1425" spans="1:4" x14ac:dyDescent="0.2">
      <c r="A1425" s="5">
        <v>1364</v>
      </c>
      <c r="B1425" s="138">
        <f>'Expenditures 15-22'!D259</f>
        <v>17324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17324</v>
      </c>
      <c r="C1427" s="2" t="s">
        <v>594</v>
      </c>
      <c r="D1427" s="2" t="str">
        <f t="shared" si="21"/>
        <v>Error?</v>
      </c>
    </row>
    <row r="1428" spans="1:4" x14ac:dyDescent="0.2">
      <c r="A1428" s="5">
        <v>1367</v>
      </c>
      <c r="B1428" s="138">
        <f>'Expenditures 15-22'!D263</f>
        <v>11043</v>
      </c>
      <c r="D1428" s="2" t="str">
        <f t="shared" si="21"/>
        <v>Error?</v>
      </c>
    </row>
    <row r="1429" spans="1:4" x14ac:dyDescent="0.2">
      <c r="A1429" s="5">
        <v>1368</v>
      </c>
      <c r="B1429" s="138">
        <f>'Expenditures 15-22'!D264</f>
        <v>4494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47393</v>
      </c>
      <c r="D1431" s="2" t="str">
        <f t="shared" si="21"/>
        <v>Error?</v>
      </c>
    </row>
    <row r="1432" spans="1:4" x14ac:dyDescent="0.2">
      <c r="A1432" s="5">
        <v>1371</v>
      </c>
      <c r="B1432" s="138">
        <f>'Expenditures 15-22'!D267</f>
        <v>38814</v>
      </c>
      <c r="D1432" s="2" t="str">
        <f t="shared" si="21"/>
        <v>Error?</v>
      </c>
    </row>
    <row r="1433" spans="1:4" x14ac:dyDescent="0.2">
      <c r="A1433" s="5">
        <v>1372</v>
      </c>
      <c r="B1433" s="138">
        <f>'Expenditures 15-22'!D268</f>
        <v>21025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122769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9087</v>
      </c>
      <c r="D1439" s="2" t="str">
        <f t="shared" si="21"/>
        <v>Error?</v>
      </c>
    </row>
    <row r="1440" spans="1:4" x14ac:dyDescent="0.2">
      <c r="A1440" s="5">
        <v>1379</v>
      </c>
      <c r="B1440" s="138">
        <f>'Expenditures 15-22'!D275</f>
        <v>36</v>
      </c>
      <c r="D1440" s="2" t="str">
        <f t="shared" si="21"/>
        <v>Error?</v>
      </c>
    </row>
    <row r="1441" spans="1:4" x14ac:dyDescent="0.2">
      <c r="A1441" s="10">
        <v>1380</v>
      </c>
      <c r="D1441" s="2" t="str">
        <f t="shared" si="21"/>
        <v>OK</v>
      </c>
    </row>
    <row r="1442" spans="1:4" x14ac:dyDescent="0.2">
      <c r="A1442" s="5">
        <v>1381</v>
      </c>
      <c r="B1442" s="138">
        <f>'Expenditures 15-22'!D276</f>
        <v>12179</v>
      </c>
      <c r="D1442" s="2" t="str">
        <f t="shared" si="21"/>
        <v>Error?</v>
      </c>
    </row>
    <row r="1443" spans="1:4" x14ac:dyDescent="0.2">
      <c r="A1443" s="10">
        <v>1382</v>
      </c>
      <c r="D1443" s="2" t="str">
        <f t="shared" si="21"/>
        <v>OK</v>
      </c>
    </row>
    <row r="1444" spans="1:4" x14ac:dyDescent="0.2">
      <c r="A1444" s="5">
        <v>1383</v>
      </c>
      <c r="B1444" s="138">
        <f>'Expenditures 15-22'!D277</f>
        <v>21302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203950</v>
      </c>
      <c r="C1446" s="2" t="s">
        <v>594</v>
      </c>
      <c r="D1446" s="2" t="str">
        <f t="shared" si="21"/>
        <v>Error?</v>
      </c>
    </row>
    <row r="1447" spans="1:4" x14ac:dyDescent="0.2">
      <c r="A1447" s="5">
        <v>1386</v>
      </c>
      <c r="B1447" s="138">
        <f>'Expenditures 15-22'!D280</f>
        <v>2764</v>
      </c>
      <c r="D1447" s="2" t="str">
        <f t="shared" si="21"/>
        <v>Error?</v>
      </c>
    </row>
    <row r="1448" spans="1:4" x14ac:dyDescent="0.2">
      <c r="A1448" s="5">
        <v>1387</v>
      </c>
      <c r="B1448" s="138">
        <f>'Expenditures 15-22'!D295</f>
        <v>302942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1810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1334</v>
      </c>
      <c r="C1472" s="2" t="s">
        <v>594</v>
      </c>
      <c r="D1472" s="2" t="str">
        <f t="shared" si="22"/>
        <v>Error?</v>
      </c>
    </row>
    <row r="1473" spans="1:4" x14ac:dyDescent="0.2">
      <c r="A1473" s="5">
        <v>1412</v>
      </c>
      <c r="B1473" s="138">
        <f>'Expenditures 15-22'!K224</f>
        <v>369</v>
      </c>
      <c r="C1473" s="2" t="s">
        <v>594</v>
      </c>
      <c r="D1473" s="2" t="str">
        <f t="shared" si="22"/>
        <v>Error?</v>
      </c>
    </row>
    <row r="1474" spans="1:4" x14ac:dyDescent="0.2">
      <c r="A1474" s="5">
        <v>1413</v>
      </c>
      <c r="B1474" s="138">
        <f>'Expenditures 15-22'!K229</f>
        <v>96228</v>
      </c>
      <c r="C1474" s="2" t="s">
        <v>594</v>
      </c>
      <c r="D1474" s="2" t="str">
        <f t="shared" si="22"/>
        <v>Error?</v>
      </c>
    </row>
    <row r="1475" spans="1:4" x14ac:dyDescent="0.2">
      <c r="A1475" s="5">
        <v>1414</v>
      </c>
      <c r="B1475" s="138">
        <f>'Expenditures 15-22'!K232</f>
        <v>2603</v>
      </c>
      <c r="C1475" s="2" t="s">
        <v>594</v>
      </c>
      <c r="D1475" s="2" t="str">
        <f t="shared" si="22"/>
        <v>Error?</v>
      </c>
    </row>
    <row r="1476" spans="1:4" x14ac:dyDescent="0.2">
      <c r="A1476" s="5">
        <v>1415</v>
      </c>
      <c r="B1476" s="138">
        <f>'Expenditures 15-22'!K233</f>
        <v>809</v>
      </c>
      <c r="C1476" s="2" t="s">
        <v>594</v>
      </c>
      <c r="D1476" s="2" t="str">
        <f t="shared" si="22"/>
        <v>Error?</v>
      </c>
    </row>
    <row r="1477" spans="1:4" x14ac:dyDescent="0.2">
      <c r="A1477" s="5">
        <v>1416</v>
      </c>
      <c r="B1477" s="138">
        <f>'Expenditures 15-22'!K234</f>
        <v>12425</v>
      </c>
      <c r="C1477" s="2" t="s">
        <v>594</v>
      </c>
      <c r="D1477" s="2" t="str">
        <f t="shared" si="22"/>
        <v>Error?</v>
      </c>
    </row>
    <row r="1478" spans="1:4" x14ac:dyDescent="0.2">
      <c r="A1478" s="5">
        <v>1417</v>
      </c>
      <c r="B1478" s="138">
        <f>'Expenditures 15-22'!K235</f>
        <v>1525</v>
      </c>
      <c r="C1478" s="2" t="s">
        <v>594</v>
      </c>
      <c r="D1478" s="2" t="str">
        <f t="shared" si="22"/>
        <v>Error?</v>
      </c>
    </row>
    <row r="1479" spans="1:4" x14ac:dyDescent="0.2">
      <c r="A1479" s="5">
        <v>1418</v>
      </c>
      <c r="B1479" s="138">
        <f>'Expenditures 15-22'!K236</f>
        <v>3247</v>
      </c>
      <c r="C1479" s="2" t="s">
        <v>594</v>
      </c>
      <c r="D1479" s="2" t="str">
        <f t="shared" si="22"/>
        <v>Error?</v>
      </c>
    </row>
    <row r="1480" spans="1:4" x14ac:dyDescent="0.2">
      <c r="A1480" s="5">
        <v>1419</v>
      </c>
      <c r="B1480" s="138">
        <f>'Expenditures 15-22'!K237</f>
        <v>949</v>
      </c>
      <c r="C1480" s="2" t="s">
        <v>594</v>
      </c>
      <c r="D1480" s="2" t="str">
        <f t="shared" si="22"/>
        <v>Error?</v>
      </c>
    </row>
    <row r="1481" spans="1:4" x14ac:dyDescent="0.2">
      <c r="A1481" s="5">
        <v>1420</v>
      </c>
      <c r="B1481" s="138">
        <f>'Expenditures 15-22'!K238</f>
        <v>21558</v>
      </c>
      <c r="C1481" s="2" t="s">
        <v>594</v>
      </c>
      <c r="D1481" s="2" t="str">
        <f t="shared" si="22"/>
        <v>Error?</v>
      </c>
    </row>
    <row r="1482" spans="1:4" x14ac:dyDescent="0.2">
      <c r="A1482" s="5">
        <v>1421</v>
      </c>
      <c r="B1482" s="138">
        <f>'Expenditures 15-22'!K240</f>
        <v>324</v>
      </c>
      <c r="C1482" s="2" t="s">
        <v>594</v>
      </c>
      <c r="D1482" s="2" t="str">
        <f t="shared" si="22"/>
        <v>Error?</v>
      </c>
    </row>
    <row r="1483" spans="1:4" x14ac:dyDescent="0.2">
      <c r="A1483" s="5">
        <v>1422</v>
      </c>
      <c r="B1483" s="138">
        <f>'Expenditures 15-22'!K241</f>
        <v>6321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6645</v>
      </c>
      <c r="C1485" s="2" t="s">
        <v>594</v>
      </c>
      <c r="D1485" s="2" t="str">
        <f t="shared" si="22"/>
        <v>Error?</v>
      </c>
    </row>
    <row r="1486" spans="1:4" x14ac:dyDescent="0.2">
      <c r="A1486" s="5">
        <v>1425</v>
      </c>
      <c r="B1486" s="138">
        <f>'Expenditures 15-22'!K245</f>
        <v>1151</v>
      </c>
      <c r="C1486" s="2" t="s">
        <v>594</v>
      </c>
      <c r="D1486" s="2" t="str">
        <f t="shared" si="22"/>
        <v>Error?</v>
      </c>
    </row>
    <row r="1487" spans="1:4" x14ac:dyDescent="0.2">
      <c r="A1487" s="5">
        <v>1426</v>
      </c>
      <c r="B1487" s="138">
        <f>'Expenditures 15-22'!K246</f>
        <v>9468</v>
      </c>
      <c r="C1487" s="2" t="s">
        <v>594</v>
      </c>
      <c r="D1487" s="2" t="str">
        <f t="shared" si="22"/>
        <v>Error?</v>
      </c>
    </row>
    <row r="1488" spans="1:4" x14ac:dyDescent="0.2">
      <c r="A1488" s="5">
        <v>1427</v>
      </c>
      <c r="B1488" s="138">
        <f>'Expenditures 15-22'!K257</f>
        <v>14352</v>
      </c>
      <c r="C1488" s="2" t="s">
        <v>594</v>
      </c>
      <c r="D1488" s="2" t="str">
        <f t="shared" si="22"/>
        <v>Error?</v>
      </c>
    </row>
    <row r="1489" spans="1:4" x14ac:dyDescent="0.2">
      <c r="A1489" s="5">
        <v>1428</v>
      </c>
      <c r="B1489" s="138">
        <f>'Expenditures 15-22'!K259</f>
        <v>17324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17324</v>
      </c>
      <c r="C1491" s="2" t="s">
        <v>594</v>
      </c>
      <c r="D1491" s="2" t="str">
        <f t="shared" si="22"/>
        <v>Error?</v>
      </c>
    </row>
    <row r="1492" spans="1:4" x14ac:dyDescent="0.2">
      <c r="A1492" s="5">
        <v>1431</v>
      </c>
      <c r="B1492" s="138">
        <f>'Expenditures 15-22'!K263</f>
        <v>11043</v>
      </c>
      <c r="C1492" s="2" t="s">
        <v>594</v>
      </c>
      <c r="D1492" s="2" t="str">
        <f t="shared" si="22"/>
        <v>Error?</v>
      </c>
    </row>
    <row r="1493" spans="1:4" x14ac:dyDescent="0.2">
      <c r="A1493" s="5">
        <v>1432</v>
      </c>
      <c r="B1493" s="138">
        <f>'Expenditures 15-22'!K264</f>
        <v>4494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47393</v>
      </c>
      <c r="C1495" s="2" t="s">
        <v>594</v>
      </c>
      <c r="D1495" s="2" t="str">
        <f t="shared" si="22"/>
        <v>Error?</v>
      </c>
    </row>
    <row r="1496" spans="1:4" x14ac:dyDescent="0.2">
      <c r="A1496" s="5">
        <v>1435</v>
      </c>
      <c r="B1496" s="138">
        <f>'Expenditures 15-22'!K267</f>
        <v>38814</v>
      </c>
      <c r="C1496" s="2" t="s">
        <v>594</v>
      </c>
      <c r="D1496" s="2" t="str">
        <f t="shared" si="22"/>
        <v>Error?</v>
      </c>
    </row>
    <row r="1497" spans="1:4" x14ac:dyDescent="0.2">
      <c r="A1497" s="5">
        <v>1436</v>
      </c>
      <c r="B1497" s="138">
        <f>'Expenditures 15-22'!K268</f>
        <v>21025</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122769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9087</v>
      </c>
      <c r="C1503" s="2" t="s">
        <v>594</v>
      </c>
      <c r="D1503" s="2" t="str">
        <f t="shared" si="22"/>
        <v>Error?</v>
      </c>
    </row>
    <row r="1504" spans="1:4" x14ac:dyDescent="0.2">
      <c r="A1504" s="5">
        <v>1443</v>
      </c>
      <c r="B1504" s="138">
        <f>'Expenditures 15-22'!K275</f>
        <v>36</v>
      </c>
      <c r="C1504" s="2" t="s">
        <v>594</v>
      </c>
      <c r="D1504" s="2" t="str">
        <f t="shared" si="22"/>
        <v>Error?</v>
      </c>
    </row>
    <row r="1505" spans="1:4" x14ac:dyDescent="0.2">
      <c r="A1505" s="10">
        <v>1444</v>
      </c>
      <c r="D1505" s="2" t="str">
        <f t="shared" si="22"/>
        <v>OK</v>
      </c>
    </row>
    <row r="1506" spans="1:4" x14ac:dyDescent="0.2">
      <c r="A1506" s="5">
        <v>1445</v>
      </c>
      <c r="B1506" s="138">
        <f>'Expenditures 15-22'!K276</f>
        <v>12179</v>
      </c>
      <c r="C1506" s="2" t="s">
        <v>594</v>
      </c>
      <c r="D1506" s="2" t="str">
        <f t="shared" si="22"/>
        <v>Error?</v>
      </c>
    </row>
    <row r="1507" spans="1:4" x14ac:dyDescent="0.2">
      <c r="A1507" s="10">
        <v>1446</v>
      </c>
      <c r="D1507" s="2" t="str">
        <f t="shared" si="22"/>
        <v>OK</v>
      </c>
    </row>
    <row r="1508" spans="1:4" x14ac:dyDescent="0.2">
      <c r="A1508" s="5">
        <v>1447</v>
      </c>
      <c r="B1508" s="138">
        <f>'Expenditures 15-22'!K277</f>
        <v>21302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203950</v>
      </c>
      <c r="C1510" s="2" t="s">
        <v>594</v>
      </c>
      <c r="D1510" s="2" t="str">
        <f t="shared" si="22"/>
        <v>Error?</v>
      </c>
    </row>
    <row r="1511" spans="1:4" x14ac:dyDescent="0.2">
      <c r="A1511" s="5">
        <v>1450</v>
      </c>
      <c r="B1511" s="138">
        <f>'Expenditures 15-22'!K280</f>
        <v>2764</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302942</v>
      </c>
      <c r="C1517" s="2" t="s">
        <v>594</v>
      </c>
      <c r="D1517" s="2" t="str">
        <f t="shared" si="22"/>
        <v>Error?</v>
      </c>
    </row>
    <row r="1518" spans="1:4" x14ac:dyDescent="0.2">
      <c r="A1518" s="5">
        <v>1457</v>
      </c>
      <c r="B1518" s="138">
        <f>'Expenditures 15-22'!K296</f>
        <v>33524</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107129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107129</v>
      </c>
      <c r="C1535" s="2" t="s">
        <v>594</v>
      </c>
      <c r="D1535" s="2" t="str">
        <f t="shared" ref="D1535:D1598" si="23">IF(ISBLANK(B1535),"OK",IF(A1535-B1535=0,"OK","Error?"))</f>
        <v>Error?</v>
      </c>
    </row>
    <row r="1536" spans="1:4" x14ac:dyDescent="0.2">
      <c r="A1536" s="5">
        <v>1475</v>
      </c>
      <c r="B1536" s="138">
        <f>'Expenditures 15-22'!E312</f>
        <v>107129</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107571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107571</v>
      </c>
      <c r="C1547" s="2" t="s">
        <v>594</v>
      </c>
      <c r="D1547" s="2" t="str">
        <f t="shared" si="23"/>
        <v>Error?</v>
      </c>
    </row>
    <row r="1548" spans="1:4" x14ac:dyDescent="0.2">
      <c r="A1548" s="5">
        <v>1487</v>
      </c>
      <c r="B1548" s="138">
        <f>'Expenditures 15-22'!G312</f>
        <v>107571</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214700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214700</v>
      </c>
      <c r="C1559" s="2" t="s">
        <v>594</v>
      </c>
      <c r="D1559" s="2" t="str">
        <f t="shared" si="23"/>
        <v>Error?</v>
      </c>
    </row>
    <row r="1560" spans="1:4" x14ac:dyDescent="0.2">
      <c r="A1560" s="5">
        <v>1499</v>
      </c>
      <c r="B1560" s="138">
        <f>'Expenditures 15-22'!K312</f>
        <v>214700</v>
      </c>
      <c r="C1560" s="2" t="s">
        <v>594</v>
      </c>
      <c r="D1560" s="2" t="str">
        <f t="shared" si="23"/>
        <v>Error?</v>
      </c>
    </row>
    <row r="1561" spans="1:4" x14ac:dyDescent="0.2">
      <c r="A1561" s="5">
        <v>1500</v>
      </c>
      <c r="B1561" s="138">
        <f>'Expenditures 15-22'!K313</f>
        <v>-206463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5926447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7116033</v>
      </c>
      <c r="C1630" s="2" t="s">
        <v>594</v>
      </c>
      <c r="D1630" s="2" t="str">
        <f t="shared" si="24"/>
        <v>Error?</v>
      </c>
    </row>
    <row r="1631" spans="1:4" x14ac:dyDescent="0.2">
      <c r="A1631" s="5">
        <v>1570</v>
      </c>
      <c r="B1631" s="138">
        <f>'Acct Summary 7-8'!D79</f>
        <v>948711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1097229</v>
      </c>
      <c r="C1644" s="2" t="s">
        <v>594</v>
      </c>
      <c r="D1644" s="2" t="str">
        <f t="shared" si="24"/>
        <v>Error?</v>
      </c>
    </row>
    <row r="1645" spans="1:4" x14ac:dyDescent="0.2">
      <c r="A1645" s="5">
        <v>1584</v>
      </c>
      <c r="B1645" s="138">
        <f>'Acct Summary 7-8'!E79</f>
        <v>117133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118129</v>
      </c>
      <c r="C1658" s="2" t="s">
        <v>594</v>
      </c>
      <c r="D1658" s="2" t="str">
        <f t="shared" si="24"/>
        <v>Error?</v>
      </c>
    </row>
    <row r="1659" spans="1:4" x14ac:dyDescent="0.2">
      <c r="A1659" s="5">
        <v>1598</v>
      </c>
      <c r="B1659" s="138">
        <f>'Acct Summary 7-8'!F79</f>
        <v>751013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829791</v>
      </c>
      <c r="C1672" s="2" t="s">
        <v>594</v>
      </c>
      <c r="D1672" s="2" t="str">
        <f t="shared" si="25"/>
        <v>Error?</v>
      </c>
    </row>
    <row r="1673" spans="1:4" x14ac:dyDescent="0.2">
      <c r="A1673" s="5">
        <v>1612</v>
      </c>
      <c r="B1673" s="138">
        <f>'Acct Summary 7-8'!G79</f>
        <v>260692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294216</v>
      </c>
      <c r="C1686" s="2" t="s">
        <v>594</v>
      </c>
      <c r="D1686" s="2" t="str">
        <f t="shared" si="25"/>
        <v>Error?</v>
      </c>
    </row>
    <row r="1687" spans="1:4" x14ac:dyDescent="0.2">
      <c r="A1687" s="5">
        <v>1626</v>
      </c>
      <c r="B1687" s="138">
        <f>'Acct Summary 7-8'!H79</f>
        <v>224114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17651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5566770</v>
      </c>
      <c r="C1744" s="2" t="s">
        <v>594</v>
      </c>
      <c r="D1744" s="2" t="str">
        <f t="shared" si="26"/>
        <v>Error?</v>
      </c>
    </row>
    <row r="1745" spans="1:5" x14ac:dyDescent="0.2">
      <c r="A1745" s="5">
        <v>1684</v>
      </c>
      <c r="B1745" s="138">
        <f>'Tax Sched 23'!B5</f>
        <v>732853</v>
      </c>
      <c r="C1745" s="2" t="s">
        <v>594</v>
      </c>
      <c r="D1745" s="2" t="str">
        <f t="shared" si="26"/>
        <v>Error?</v>
      </c>
    </row>
    <row r="1746" spans="1:5" x14ac:dyDescent="0.2">
      <c r="A1746" s="5">
        <v>1685</v>
      </c>
      <c r="B1746" s="138">
        <f>'Tax Sched 23'!B6</f>
        <v>205319</v>
      </c>
      <c r="C1746" s="2" t="s">
        <v>594</v>
      </c>
      <c r="D1746" s="2" t="str">
        <f t="shared" si="26"/>
        <v>Error?</v>
      </c>
    </row>
    <row r="1747" spans="1:5" x14ac:dyDescent="0.2">
      <c r="A1747" s="5">
        <v>1686</v>
      </c>
      <c r="B1747" s="138">
        <f>'Tax Sched 23'!B7</f>
        <v>222099</v>
      </c>
      <c r="C1747" s="2" t="s">
        <v>594</v>
      </c>
      <c r="D1747" s="2" t="str">
        <f t="shared" si="26"/>
        <v>Error?</v>
      </c>
    </row>
    <row r="1748" spans="1:5" x14ac:dyDescent="0.2">
      <c r="A1748" s="5">
        <v>1687</v>
      </c>
      <c r="B1748" s="138">
        <f>'Tax Sched 23'!B8</f>
        <v>96124</v>
      </c>
      <c r="C1748" s="2" t="s">
        <v>594</v>
      </c>
      <c r="D1748" s="2" t="str">
        <f t="shared" si="26"/>
        <v>Error?</v>
      </c>
    </row>
    <row r="1749" spans="1:5" x14ac:dyDescent="0.2">
      <c r="A1749" s="5">
        <v>1688</v>
      </c>
      <c r="B1749" s="138">
        <f>'Tax Sched 23'!B10</f>
        <v>9839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57364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7069593</v>
      </c>
      <c r="C1759" s="2" t="s">
        <v>594</v>
      </c>
      <c r="D1759" s="2" t="str">
        <f t="shared" si="26"/>
        <v>Error?</v>
      </c>
    </row>
    <row r="1760" spans="1:5" x14ac:dyDescent="0.2">
      <c r="A1760" s="5">
        <v>1699</v>
      </c>
      <c r="B1760" s="138">
        <f>'Tax Sched 23'!D4</f>
        <v>2537857</v>
      </c>
      <c r="C1760" s="2" t="s">
        <v>594</v>
      </c>
      <c r="D1760" s="2" t="str">
        <f t="shared" si="26"/>
        <v>Error?</v>
      </c>
    </row>
    <row r="1761" spans="1:5" x14ac:dyDescent="0.2">
      <c r="A1761" s="5">
        <v>1700</v>
      </c>
      <c r="B1761" s="138">
        <f>'Tax Sched 23'!D5</f>
        <v>334353</v>
      </c>
      <c r="C1761" s="2" t="s">
        <v>594</v>
      </c>
      <c r="D1761" s="2" t="str">
        <f t="shared" si="26"/>
        <v>Error?</v>
      </c>
    </row>
    <row r="1762" spans="1:5" s="8" customFormat="1" x14ac:dyDescent="0.2">
      <c r="A1762" s="5">
        <v>1701</v>
      </c>
      <c r="B1762" s="138">
        <f>'Tax Sched 23'!D6</f>
        <v>94464</v>
      </c>
      <c r="C1762" s="2" t="s">
        <v>594</v>
      </c>
      <c r="D1762" s="2" t="str">
        <f t="shared" si="26"/>
        <v>Error?</v>
      </c>
      <c r="E1762" s="9"/>
    </row>
    <row r="1763" spans="1:5" x14ac:dyDescent="0.2">
      <c r="A1763" s="5">
        <v>1702</v>
      </c>
      <c r="B1763" s="138">
        <f>'Tax Sched 23'!D7</f>
        <v>103220</v>
      </c>
      <c r="C1763" s="2" t="s">
        <v>594</v>
      </c>
      <c r="D1763" s="2" t="str">
        <f t="shared" si="26"/>
        <v>Error?</v>
      </c>
    </row>
    <row r="1764" spans="1:5" x14ac:dyDescent="0.2">
      <c r="A1764" s="5">
        <v>1703</v>
      </c>
      <c r="B1764" s="138">
        <f>'Tax Sched 23'!D8</f>
        <v>43854</v>
      </c>
      <c r="C1764" s="2" t="s">
        <v>594</v>
      </c>
      <c r="D1764" s="2" t="str">
        <f t="shared" si="26"/>
        <v>Error?</v>
      </c>
    </row>
    <row r="1765" spans="1:5" x14ac:dyDescent="0.2">
      <c r="A1765" s="5">
        <v>1704</v>
      </c>
      <c r="B1765" s="138">
        <f>'Tax Sched 23'!D10</f>
        <v>4540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26173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3226230</v>
      </c>
      <c r="C1775" s="2" t="s">
        <v>594</v>
      </c>
      <c r="D1775" s="2" t="str">
        <f t="shared" si="26"/>
        <v>Error?</v>
      </c>
    </row>
    <row r="1776" spans="1:5" x14ac:dyDescent="0.2">
      <c r="A1776" s="5">
        <v>1715</v>
      </c>
      <c r="B1776" s="138">
        <f>'Tax Sched 23'!C4</f>
        <v>3028913</v>
      </c>
      <c r="D1776" s="2" t="str">
        <f t="shared" si="26"/>
        <v>Error?</v>
      </c>
    </row>
    <row r="1777" spans="1:4" x14ac:dyDescent="0.2">
      <c r="A1777" s="5">
        <v>1716</v>
      </c>
      <c r="B1777" s="138">
        <f>'Tax Sched 23'!C5</f>
        <v>398500</v>
      </c>
      <c r="D1777" s="2" t="str">
        <f t="shared" si="26"/>
        <v>Error?</v>
      </c>
    </row>
    <row r="1778" spans="1:4" x14ac:dyDescent="0.2">
      <c r="A1778" s="5">
        <v>1717</v>
      </c>
      <c r="B1778" s="138">
        <f>'Tax Sched 23'!C6</f>
        <v>110855</v>
      </c>
      <c r="D1778" s="2" t="str">
        <f t="shared" si="26"/>
        <v>Error?</v>
      </c>
    </row>
    <row r="1779" spans="1:4" x14ac:dyDescent="0.2">
      <c r="A1779" s="5">
        <v>1718</v>
      </c>
      <c r="B1779" s="138">
        <f>'Tax Sched 23'!C7</f>
        <v>118879</v>
      </c>
      <c r="D1779" s="2" t="str">
        <f t="shared" si="26"/>
        <v>Error?</v>
      </c>
    </row>
    <row r="1780" spans="1:4" x14ac:dyDescent="0.2">
      <c r="A1780" s="5">
        <v>1719</v>
      </c>
      <c r="B1780" s="138">
        <f>'Tax Sched 23'!C8</f>
        <v>52270</v>
      </c>
      <c r="D1780" s="2" t="str">
        <f t="shared" si="26"/>
        <v>Error?</v>
      </c>
    </row>
    <row r="1781" spans="1:4" x14ac:dyDescent="0.2">
      <c r="A1781" s="5">
        <v>1720</v>
      </c>
      <c r="B1781" s="138">
        <f>'Tax Sched 23'!C10</f>
        <v>5299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31191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3843363</v>
      </c>
      <c r="C1791" s="2" t="s">
        <v>594</v>
      </c>
      <c r="D1791" s="2" t="str">
        <f t="shared" ref="D1791:D1854" si="27">IF(ISBLANK(B1791),"OK",IF(A1791-B1791=0,"OK","Error?"))</f>
        <v>Error?</v>
      </c>
    </row>
    <row r="1792" spans="1:4" x14ac:dyDescent="0.2">
      <c r="A1792" s="5">
        <v>1731</v>
      </c>
      <c r="B1792" s="138">
        <f>'Tax Sched 23'!F4</f>
        <v>2578431</v>
      </c>
      <c r="C1792" s="2" t="s">
        <v>594</v>
      </c>
      <c r="D1792" s="2" t="str">
        <f t="shared" si="27"/>
        <v>Error?</v>
      </c>
    </row>
    <row r="1793" spans="1:4" x14ac:dyDescent="0.2">
      <c r="A1793" s="5">
        <v>1732</v>
      </c>
      <c r="B1793" s="138">
        <f>'Tax Sched 23'!F5</f>
        <v>339232</v>
      </c>
      <c r="C1793" s="2" t="s">
        <v>594</v>
      </c>
      <c r="D1793" s="2" t="str">
        <f t="shared" si="27"/>
        <v>Error?</v>
      </c>
    </row>
    <row r="1794" spans="1:4" x14ac:dyDescent="0.2">
      <c r="A1794" s="5">
        <v>1733</v>
      </c>
      <c r="B1794" s="138">
        <f>'Tax Sched 23'!F6</f>
        <v>94369</v>
      </c>
      <c r="C1794" s="2" t="s">
        <v>594</v>
      </c>
      <c r="D1794" s="2" t="str">
        <f t="shared" si="27"/>
        <v>Error?</v>
      </c>
    </row>
    <row r="1795" spans="1:4" x14ac:dyDescent="0.2">
      <c r="A1795" s="5">
        <v>1734</v>
      </c>
      <c r="B1795" s="138">
        <f>'Tax Sched 23'!F7</f>
        <v>101197</v>
      </c>
      <c r="C1795" s="2" t="s">
        <v>594</v>
      </c>
      <c r="D1795" s="2" t="str">
        <f t="shared" si="27"/>
        <v>Error?</v>
      </c>
    </row>
    <row r="1796" spans="1:4" x14ac:dyDescent="0.2">
      <c r="A1796" s="5">
        <v>1735</v>
      </c>
      <c r="B1796" s="138">
        <f>'Tax Sched 23'!F8</f>
        <v>44495</v>
      </c>
      <c r="C1796" s="2" t="s">
        <v>594</v>
      </c>
      <c r="D1796" s="2" t="str">
        <f t="shared" si="27"/>
        <v>Error?</v>
      </c>
    </row>
    <row r="1797" spans="1:4" x14ac:dyDescent="0.2">
      <c r="A1797" s="5">
        <v>1736</v>
      </c>
      <c r="B1797" s="138">
        <f>'Tax Sched 23'!F10</f>
        <v>4511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26553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3271750</v>
      </c>
      <c r="C1807" s="2" t="s">
        <v>594</v>
      </c>
      <c r="D1807" s="2" t="str">
        <f t="shared" si="27"/>
        <v>Error?</v>
      </c>
    </row>
    <row r="1808" spans="1:4" x14ac:dyDescent="0.2">
      <c r="A1808" s="5">
        <v>1747</v>
      </c>
      <c r="B1808" s="138">
        <f>'Tax Sched 23'!E4</f>
        <v>5607344</v>
      </c>
      <c r="D1808" s="2" t="str">
        <f t="shared" si="27"/>
        <v>Error?</v>
      </c>
    </row>
    <row r="1809" spans="1:4" x14ac:dyDescent="0.2">
      <c r="A1809" s="5">
        <v>1748</v>
      </c>
      <c r="B1809" s="138">
        <f>'Tax Sched 23'!E5</f>
        <v>737732</v>
      </c>
      <c r="D1809" s="2" t="str">
        <f t="shared" si="27"/>
        <v>Error?</v>
      </c>
    </row>
    <row r="1810" spans="1:4" x14ac:dyDescent="0.2">
      <c r="A1810" s="5">
        <v>1749</v>
      </c>
      <c r="B1810" s="138">
        <f>'Tax Sched 23'!E6</f>
        <v>205224</v>
      </c>
      <c r="D1810" s="2" t="str">
        <f t="shared" si="27"/>
        <v>Error?</v>
      </c>
    </row>
    <row r="1811" spans="1:4" x14ac:dyDescent="0.2">
      <c r="A1811" s="5">
        <v>1750</v>
      </c>
      <c r="B1811" s="138">
        <f>'Tax Sched 23'!E7</f>
        <v>220076</v>
      </c>
      <c r="D1811" s="2" t="str">
        <f t="shared" si="27"/>
        <v>Error?</v>
      </c>
    </row>
    <row r="1812" spans="1:4" x14ac:dyDescent="0.2">
      <c r="A1812" s="5">
        <v>1751</v>
      </c>
      <c r="B1812" s="138">
        <f>'Tax Sched 23'!E8</f>
        <v>96765</v>
      </c>
      <c r="D1812" s="2" t="str">
        <f t="shared" si="27"/>
        <v>Error?</v>
      </c>
    </row>
    <row r="1813" spans="1:4" x14ac:dyDescent="0.2">
      <c r="A1813" s="5">
        <v>1752</v>
      </c>
      <c r="B1813" s="138">
        <f>'Tax Sched 23'!E10</f>
        <v>9810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57744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7115113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2900000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57364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57364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57364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59496</v>
      </c>
      <c r="D2008" s="2" t="str">
        <f t="shared" si="30"/>
        <v>Error?</v>
      </c>
    </row>
    <row r="2009" spans="1:4" x14ac:dyDescent="0.2">
      <c r="A2009" s="5">
        <v>1948</v>
      </c>
      <c r="B2009" s="138">
        <f>'Cap Outlay Deprec 26'!C8</f>
        <v>6079288</v>
      </c>
      <c r="D2009" s="2" t="str">
        <f t="shared" si="30"/>
        <v>Error?</v>
      </c>
    </row>
    <row r="2010" spans="1:4" x14ac:dyDescent="0.2">
      <c r="A2010" s="5">
        <v>1949</v>
      </c>
      <c r="B2010" s="138">
        <f>'Cap Outlay Deprec 26'!C10</f>
        <v>476009</v>
      </c>
      <c r="D2010" s="2" t="str">
        <f t="shared" si="30"/>
        <v>Error?</v>
      </c>
    </row>
    <row r="2011" spans="1:4" x14ac:dyDescent="0.2">
      <c r="A2011" s="5">
        <v>1950</v>
      </c>
      <c r="B2011" s="138">
        <f>'Cap Outlay Deprec 26'!C12</f>
        <v>1139360</v>
      </c>
      <c r="D2011" s="2" t="str">
        <f t="shared" si="30"/>
        <v>Error?</v>
      </c>
    </row>
    <row r="2012" spans="1:4" x14ac:dyDescent="0.2">
      <c r="A2012" s="5">
        <v>1951</v>
      </c>
      <c r="B2012" s="138">
        <f>'Cap Outlay Deprec 26'!C13</f>
        <v>1209901</v>
      </c>
      <c r="D2012" s="2" t="str">
        <f t="shared" si="30"/>
        <v>Error?</v>
      </c>
    </row>
    <row r="2013" spans="1:4" x14ac:dyDescent="0.2">
      <c r="A2013" s="5">
        <v>1952</v>
      </c>
      <c r="B2013" s="138">
        <f>'Cap Outlay Deprec 26'!C16</f>
        <v>8964054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94967</v>
      </c>
      <c r="D2015" s="2" t="str">
        <f t="shared" si="30"/>
        <v>Error?</v>
      </c>
    </row>
    <row r="2016" spans="1:4" x14ac:dyDescent="0.2">
      <c r="A2016" s="5">
        <v>1955</v>
      </c>
      <c r="B2016" s="138">
        <f>'Cap Outlay Deprec 26'!D10</f>
        <v>19765</v>
      </c>
      <c r="D2016" s="2" t="str">
        <f t="shared" si="30"/>
        <v>Error?</v>
      </c>
    </row>
    <row r="2017" spans="1:4" x14ac:dyDescent="0.2">
      <c r="A2017" s="5">
        <v>1956</v>
      </c>
      <c r="B2017" s="138">
        <f>'Cap Outlay Deprec 26'!D12</f>
        <v>171484</v>
      </c>
      <c r="D2017" s="2" t="str">
        <f t="shared" si="30"/>
        <v>Error?</v>
      </c>
    </row>
    <row r="2018" spans="1:4" x14ac:dyDescent="0.2">
      <c r="A2018" s="5">
        <v>1957</v>
      </c>
      <c r="B2018" s="138">
        <f>'Cap Outlay Deprec 26'!D13</f>
        <v>99728</v>
      </c>
      <c r="D2018" s="2" t="str">
        <f t="shared" si="30"/>
        <v>Error?</v>
      </c>
    </row>
    <row r="2019" spans="1:4" x14ac:dyDescent="0.2">
      <c r="A2019" s="5">
        <v>1958</v>
      </c>
      <c r="B2019" s="138">
        <f>'Cap Outlay Deprec 26'!D16</f>
        <v>385944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1284220</v>
      </c>
      <c r="D2021" s="2" t="str">
        <f t="shared" si="30"/>
        <v>Error?</v>
      </c>
    </row>
    <row r="2022" spans="1:4" x14ac:dyDescent="0.2">
      <c r="A2022" s="5">
        <v>1961</v>
      </c>
      <c r="B2022" s="138">
        <f>'Cap Outlay Deprec 26'!E10</f>
        <v>11526</v>
      </c>
      <c r="D2022" s="2" t="str">
        <f t="shared" si="30"/>
        <v>Error?</v>
      </c>
    </row>
    <row r="2023" spans="1:4" x14ac:dyDescent="0.2">
      <c r="A2023" s="5">
        <v>1962</v>
      </c>
      <c r="B2023" s="138">
        <f>'Cap Outlay Deprec 26'!E12</f>
        <v>3698</v>
      </c>
      <c r="D2023" s="2" t="str">
        <f t="shared" si="30"/>
        <v>Error?</v>
      </c>
    </row>
    <row r="2024" spans="1:4" x14ac:dyDescent="0.2">
      <c r="A2024" s="5">
        <v>1963</v>
      </c>
      <c r="B2024" s="138">
        <f>'Cap Outlay Deprec 26'!E13</f>
        <v>58928</v>
      </c>
      <c r="D2024" s="2" t="str">
        <f t="shared" si="30"/>
        <v>Error?</v>
      </c>
    </row>
    <row r="2025" spans="1:4" x14ac:dyDescent="0.2">
      <c r="A2025" s="5">
        <v>1964</v>
      </c>
      <c r="B2025" s="138">
        <f>'Cap Outlay Deprec 26'!E16</f>
        <v>1358372</v>
      </c>
      <c r="C2025" s="2" t="s">
        <v>594</v>
      </c>
      <c r="D2025" s="2" t="str">
        <f t="shared" si="30"/>
        <v>Error?</v>
      </c>
    </row>
    <row r="2026" spans="1:4" x14ac:dyDescent="0.2">
      <c r="A2026" s="5">
        <v>1965</v>
      </c>
      <c r="B2026" s="138">
        <f>'Cap Outlay Deprec 26'!F5</f>
        <v>59496</v>
      </c>
      <c r="C2026" s="2" t="s">
        <v>594</v>
      </c>
      <c r="D2026" s="2" t="str">
        <f t="shared" si="30"/>
        <v>Error?</v>
      </c>
    </row>
    <row r="2027" spans="1:4" x14ac:dyDescent="0.2">
      <c r="A2027" s="5">
        <v>1966</v>
      </c>
      <c r="B2027" s="138">
        <f>'Cap Outlay Deprec 26'!F8</f>
        <v>4890035</v>
      </c>
      <c r="C2027" s="2" t="s">
        <v>594</v>
      </c>
      <c r="D2027" s="2" t="str">
        <f t="shared" si="30"/>
        <v>Error?</v>
      </c>
    </row>
    <row r="2028" spans="1:4" x14ac:dyDescent="0.2">
      <c r="A2028" s="5">
        <v>1967</v>
      </c>
      <c r="B2028" s="138">
        <f>'Cap Outlay Deprec 26'!F10</f>
        <v>484248</v>
      </c>
      <c r="C2028" s="2" t="s">
        <v>594</v>
      </c>
      <c r="D2028" s="2" t="str">
        <f t="shared" si="30"/>
        <v>Error?</v>
      </c>
    </row>
    <row r="2029" spans="1:4" x14ac:dyDescent="0.2">
      <c r="A2029" s="5">
        <v>1968</v>
      </c>
      <c r="B2029" s="138">
        <f>'Cap Outlay Deprec 26'!F12</f>
        <v>1307146</v>
      </c>
      <c r="C2029" s="2" t="s">
        <v>594</v>
      </c>
      <c r="D2029" s="2" t="str">
        <f t="shared" si="30"/>
        <v>Error?</v>
      </c>
    </row>
    <row r="2030" spans="1:4" x14ac:dyDescent="0.2">
      <c r="A2030" s="5">
        <v>1969</v>
      </c>
      <c r="B2030" s="138">
        <f>'Cap Outlay Deprec 26'!F13</f>
        <v>1250701</v>
      </c>
      <c r="C2030" s="2" t="s">
        <v>594</v>
      </c>
      <c r="D2030" s="2" t="str">
        <f t="shared" si="30"/>
        <v>Error?</v>
      </c>
    </row>
    <row r="2031" spans="1:4" x14ac:dyDescent="0.2">
      <c r="A2031" s="5">
        <v>1970</v>
      </c>
      <c r="B2031" s="138">
        <f>'Cap Outlay Deprec 26'!F16</f>
        <v>7991626</v>
      </c>
      <c r="C2031" s="2" t="s">
        <v>594</v>
      </c>
      <c r="D2031" s="2" t="str">
        <f t="shared" si="30"/>
        <v>Error?</v>
      </c>
    </row>
    <row r="2032" spans="1:4" x14ac:dyDescent="0.2">
      <c r="A2032" s="10">
        <v>1971</v>
      </c>
      <c r="D2032" s="2" t="str">
        <f t="shared" si="30"/>
        <v>OK</v>
      </c>
    </row>
    <row r="2033" spans="1:4" x14ac:dyDescent="0.2">
      <c r="A2033" s="5">
        <v>1972</v>
      </c>
      <c r="B2033" s="138">
        <f>'Cap Outlay Deprec 26'!H8</f>
        <v>3352784</v>
      </c>
      <c r="D2033" s="2" t="str">
        <f t="shared" si="30"/>
        <v>Error?</v>
      </c>
    </row>
    <row r="2034" spans="1:4" x14ac:dyDescent="0.2">
      <c r="A2034" s="5">
        <v>1973</v>
      </c>
      <c r="B2034" s="138">
        <f>'Cap Outlay Deprec 26'!H10</f>
        <v>115635</v>
      </c>
      <c r="D2034" s="2" t="str">
        <f t="shared" si="30"/>
        <v>Error?</v>
      </c>
    </row>
    <row r="2035" spans="1:4" x14ac:dyDescent="0.2">
      <c r="A2035" s="5">
        <v>1974</v>
      </c>
      <c r="B2035" s="138">
        <f>'Cap Outlay Deprec 26'!H12</f>
        <v>904468</v>
      </c>
      <c r="D2035" s="2" t="str">
        <f t="shared" si="30"/>
        <v>Error?</v>
      </c>
    </row>
    <row r="2036" spans="1:4" x14ac:dyDescent="0.2">
      <c r="A2036" s="5">
        <v>1975</v>
      </c>
      <c r="B2036" s="138">
        <f>'Cap Outlay Deprec 26'!H13</f>
        <v>1077874</v>
      </c>
      <c r="D2036" s="2" t="str">
        <f t="shared" si="30"/>
        <v>Error?</v>
      </c>
    </row>
    <row r="2037" spans="1:4" x14ac:dyDescent="0.2">
      <c r="A2037" s="5">
        <v>1976</v>
      </c>
      <c r="B2037" s="138">
        <f>'Cap Outlay Deprec 26'!H16</f>
        <v>5450761</v>
      </c>
      <c r="C2037" s="2" t="s">
        <v>594</v>
      </c>
      <c r="D2037" s="2" t="str">
        <f t="shared" si="30"/>
        <v>Error?</v>
      </c>
    </row>
    <row r="2038" spans="1:4" x14ac:dyDescent="0.2">
      <c r="A2038" s="10">
        <v>1977</v>
      </c>
      <c r="D2038" s="2" t="str">
        <f t="shared" si="30"/>
        <v>OK</v>
      </c>
    </row>
    <row r="2039" spans="1:4" x14ac:dyDescent="0.2">
      <c r="A2039" s="5">
        <v>1978</v>
      </c>
      <c r="B2039" s="138">
        <f>'Cap Outlay Deprec 26'!I8</f>
        <v>123485</v>
      </c>
      <c r="D2039" s="2" t="str">
        <f t="shared" si="30"/>
        <v>Error?</v>
      </c>
    </row>
    <row r="2040" spans="1:4" x14ac:dyDescent="0.2">
      <c r="A2040" s="5">
        <v>1979</v>
      </c>
      <c r="B2040" s="138">
        <f>'Cap Outlay Deprec 26'!I10</f>
        <v>21764</v>
      </c>
      <c r="D2040" s="2" t="str">
        <f t="shared" si="30"/>
        <v>Error?</v>
      </c>
    </row>
    <row r="2041" spans="1:4" x14ac:dyDescent="0.2">
      <c r="A2041" s="5">
        <v>1980</v>
      </c>
      <c r="B2041" s="138">
        <f>'Cap Outlay Deprec 26'!I12</f>
        <v>74684</v>
      </c>
      <c r="D2041" s="2" t="str">
        <f t="shared" si="30"/>
        <v>Error?</v>
      </c>
    </row>
    <row r="2042" spans="1:4" x14ac:dyDescent="0.2">
      <c r="A2042" s="5">
        <v>1981</v>
      </c>
      <c r="B2042" s="138">
        <f>'Cap Outlay Deprec 26'!I13</f>
        <v>75968</v>
      </c>
      <c r="D2042" s="2" t="str">
        <f t="shared" si="30"/>
        <v>Error?</v>
      </c>
    </row>
    <row r="2043" spans="1:4" x14ac:dyDescent="0.2">
      <c r="A2043" s="5">
        <v>1982</v>
      </c>
      <c r="B2043" s="138">
        <f>'Cap Outlay Deprec 26'!I16</f>
        <v>295901</v>
      </c>
      <c r="C2043" s="2" t="s">
        <v>594</v>
      </c>
      <c r="D2043" s="2" t="str">
        <f t="shared" si="30"/>
        <v>Error?</v>
      </c>
    </row>
    <row r="2044" spans="1:4" x14ac:dyDescent="0.2">
      <c r="A2044" s="10">
        <v>1983</v>
      </c>
      <c r="D2044" s="2" t="str">
        <f t="shared" si="30"/>
        <v>OK</v>
      </c>
    </row>
    <row r="2045" spans="1:4" x14ac:dyDescent="0.2">
      <c r="A2045" s="5">
        <v>1984</v>
      </c>
      <c r="B2045" s="138">
        <f>'Cap Outlay Deprec 26'!J8</f>
        <v>1215220</v>
      </c>
      <c r="D2045" s="2" t="str">
        <f t="shared" si="30"/>
        <v>Error?</v>
      </c>
    </row>
    <row r="2046" spans="1:4" x14ac:dyDescent="0.2">
      <c r="A2046" s="5">
        <v>1985</v>
      </c>
      <c r="B2046" s="138">
        <f>'Cap Outlay Deprec 26'!J10</f>
        <v>11526</v>
      </c>
      <c r="D2046" s="2" t="str">
        <f t="shared" si="30"/>
        <v>Error?</v>
      </c>
    </row>
    <row r="2047" spans="1:4" x14ac:dyDescent="0.2">
      <c r="A2047" s="5">
        <v>1986</v>
      </c>
      <c r="B2047" s="138">
        <f>'Cap Outlay Deprec 26'!J12</f>
        <v>3698</v>
      </c>
      <c r="D2047" s="2" t="str">
        <f t="shared" ref="D2047:D2110" si="31">IF(ISBLANK(B2047),"OK",IF(A2047-B2047=0,"OK","Error?"))</f>
        <v>Error?</v>
      </c>
    </row>
    <row r="2048" spans="1:4" x14ac:dyDescent="0.2">
      <c r="A2048" s="5">
        <v>1987</v>
      </c>
      <c r="B2048" s="138">
        <f>'Cap Outlay Deprec 26'!J13</f>
        <v>52071</v>
      </c>
      <c r="D2048" s="2" t="str">
        <f t="shared" si="31"/>
        <v>Error?</v>
      </c>
    </row>
    <row r="2049" spans="1:4" x14ac:dyDescent="0.2">
      <c r="A2049" s="5">
        <v>1988</v>
      </c>
      <c r="B2049" s="138">
        <f>'Cap Outlay Deprec 26'!J16</f>
        <v>1282515</v>
      </c>
      <c r="C2049" s="2" t="s">
        <v>594</v>
      </c>
      <c r="D2049" s="2" t="str">
        <f t="shared" si="31"/>
        <v>Error?</v>
      </c>
    </row>
    <row r="2050" spans="1:4" x14ac:dyDescent="0.2">
      <c r="A2050" s="10">
        <v>1989</v>
      </c>
      <c r="D2050" s="2" t="str">
        <f t="shared" si="31"/>
        <v>OK</v>
      </c>
    </row>
    <row r="2051" spans="1:4" x14ac:dyDescent="0.2">
      <c r="A2051" s="5">
        <v>1990</v>
      </c>
      <c r="B2051" s="138">
        <f>'Cap Outlay Deprec 26'!K8</f>
        <v>2261049</v>
      </c>
      <c r="C2051" s="2" t="s">
        <v>594</v>
      </c>
      <c r="D2051" s="2" t="str">
        <f t="shared" si="31"/>
        <v>Error?</v>
      </c>
    </row>
    <row r="2052" spans="1:4" x14ac:dyDescent="0.2">
      <c r="A2052" s="5">
        <v>1991</v>
      </c>
      <c r="B2052" s="138">
        <f>'Cap Outlay Deprec 26'!K10</f>
        <v>125873</v>
      </c>
      <c r="C2052" s="2" t="s">
        <v>594</v>
      </c>
      <c r="D2052" s="2" t="str">
        <f t="shared" si="31"/>
        <v>Error?</v>
      </c>
    </row>
    <row r="2053" spans="1:4" x14ac:dyDescent="0.2">
      <c r="A2053" s="5">
        <v>1992</v>
      </c>
      <c r="B2053" s="138">
        <f>'Cap Outlay Deprec 26'!K12</f>
        <v>975454</v>
      </c>
      <c r="C2053" s="2" t="s">
        <v>594</v>
      </c>
      <c r="D2053" s="2" t="str">
        <f t="shared" si="31"/>
        <v>Error?</v>
      </c>
    </row>
    <row r="2054" spans="1:4" x14ac:dyDescent="0.2">
      <c r="A2054" s="5">
        <v>1993</v>
      </c>
      <c r="B2054" s="138">
        <f>'Cap Outlay Deprec 26'!K13</f>
        <v>1101771</v>
      </c>
      <c r="C2054" s="2" t="s">
        <v>594</v>
      </c>
      <c r="D2054" s="2" t="str">
        <f t="shared" si="31"/>
        <v>Error?</v>
      </c>
    </row>
    <row r="2055" spans="1:4" x14ac:dyDescent="0.2">
      <c r="A2055" s="5">
        <v>1994</v>
      </c>
      <c r="B2055" s="138">
        <f>'Cap Outlay Deprec 26'!K16</f>
        <v>4464147</v>
      </c>
      <c r="C2055" s="2" t="s">
        <v>594</v>
      </c>
      <c r="D2055" s="2" t="str">
        <f t="shared" si="31"/>
        <v>Error?</v>
      </c>
    </row>
    <row r="2056" spans="1:4" x14ac:dyDescent="0.2">
      <c r="A2056" s="5">
        <v>1995</v>
      </c>
      <c r="B2056" s="138">
        <f>'Cap Outlay Deprec 26'!L5</f>
        <v>59496</v>
      </c>
      <c r="C2056" s="2" t="s">
        <v>594</v>
      </c>
      <c r="D2056" s="2" t="str">
        <f t="shared" si="31"/>
        <v>Error?</v>
      </c>
    </row>
    <row r="2057" spans="1:4" x14ac:dyDescent="0.2">
      <c r="A2057" s="5">
        <v>1996</v>
      </c>
      <c r="B2057" s="138">
        <f>'Cap Outlay Deprec 26'!L8</f>
        <v>2628986</v>
      </c>
      <c r="C2057" s="2" t="s">
        <v>594</v>
      </c>
      <c r="D2057" s="2" t="str">
        <f t="shared" si="31"/>
        <v>Error?</v>
      </c>
    </row>
    <row r="2058" spans="1:4" x14ac:dyDescent="0.2">
      <c r="A2058" s="5">
        <v>1997</v>
      </c>
      <c r="B2058" s="138">
        <f>'Cap Outlay Deprec 26'!L10</f>
        <v>358375</v>
      </c>
      <c r="C2058" s="2" t="s">
        <v>594</v>
      </c>
      <c r="D2058" s="2" t="str">
        <f t="shared" si="31"/>
        <v>Error?</v>
      </c>
    </row>
    <row r="2059" spans="1:4" x14ac:dyDescent="0.2">
      <c r="A2059" s="5">
        <v>1998</v>
      </c>
      <c r="B2059" s="138">
        <f>'Cap Outlay Deprec 26'!L12</f>
        <v>331692</v>
      </c>
      <c r="C2059" s="2" t="s">
        <v>594</v>
      </c>
      <c r="D2059" s="2" t="str">
        <f t="shared" si="31"/>
        <v>Error?</v>
      </c>
    </row>
    <row r="2060" spans="1:4" x14ac:dyDescent="0.2">
      <c r="A2060" s="5">
        <v>1999</v>
      </c>
      <c r="B2060" s="138">
        <f>'Cap Outlay Deprec 26'!L13</f>
        <v>148930</v>
      </c>
      <c r="C2060" s="2" t="s">
        <v>594</v>
      </c>
      <c r="D2060" s="2" t="str">
        <f t="shared" si="31"/>
        <v>Error?</v>
      </c>
    </row>
    <row r="2061" spans="1:4" x14ac:dyDescent="0.2">
      <c r="A2061" s="5">
        <v>2000</v>
      </c>
      <c r="B2061" s="138">
        <f>'Cap Outlay Deprec 26'!L16</f>
        <v>3527479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5341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8327</v>
      </c>
      <c r="C2088" s="2" t="s">
        <v>594</v>
      </c>
      <c r="D2088" s="2" t="str">
        <f t="shared" si="31"/>
        <v>Error?</v>
      </c>
    </row>
    <row r="2089" spans="1:4" x14ac:dyDescent="0.2">
      <c r="A2089" s="5">
        <v>2028</v>
      </c>
      <c r="B2089" s="138">
        <f>'Expenditures 15-22'!K92</f>
        <v>177560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3684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6338129</v>
      </c>
      <c r="C2551" s="2" t="s">
        <v>594</v>
      </c>
      <c r="D2551" s="2" t="str">
        <f t="shared" si="38"/>
        <v>Error?</v>
      </c>
    </row>
    <row r="2552" spans="1:4" x14ac:dyDescent="0.2">
      <c r="A2552" s="10">
        <v>2491</v>
      </c>
      <c r="D2552" s="2" t="str">
        <f t="shared" si="38"/>
        <v>OK</v>
      </c>
    </row>
    <row r="2553" spans="1:4" x14ac:dyDescent="0.2">
      <c r="A2553" s="5">
        <v>2492</v>
      </c>
      <c r="B2553" s="138">
        <f>'Acct Summary 7-8'!C6</f>
        <v>1933596</v>
      </c>
      <c r="C2553" s="2" t="s">
        <v>594</v>
      </c>
      <c r="D2553" s="2" t="str">
        <f t="shared" si="38"/>
        <v>Error?</v>
      </c>
    </row>
    <row r="2554" spans="1:4" x14ac:dyDescent="0.2">
      <c r="A2554" s="5">
        <v>2493</v>
      </c>
      <c r="B2554" s="138">
        <f>'Acct Summary 7-8'!C7</f>
        <v>761684</v>
      </c>
      <c r="C2554" s="2" t="s">
        <v>594</v>
      </c>
      <c r="D2554" s="2" t="str">
        <f t="shared" si="38"/>
        <v>Error?</v>
      </c>
    </row>
    <row r="2555" spans="1:4" x14ac:dyDescent="0.2">
      <c r="A2555" s="5">
        <v>2494</v>
      </c>
      <c r="B2555" s="138">
        <f>'Acct Summary 7-8'!C8</f>
        <v>9033409</v>
      </c>
      <c r="C2555" s="2" t="s">
        <v>594</v>
      </c>
      <c r="D2555" s="2" t="str">
        <f t="shared" si="38"/>
        <v>Error?</v>
      </c>
    </row>
    <row r="2556" spans="1:4" x14ac:dyDescent="0.2">
      <c r="A2556" s="5">
        <v>2495</v>
      </c>
      <c r="B2556" s="138">
        <f>'Acct Summary 7-8'!C12</f>
        <v>4758977</v>
      </c>
      <c r="C2556" s="2" t="s">
        <v>594</v>
      </c>
      <c r="D2556" s="2" t="str">
        <f t="shared" si="38"/>
        <v>Error?</v>
      </c>
    </row>
    <row r="2557" spans="1:4" x14ac:dyDescent="0.2">
      <c r="A2557" s="5">
        <v>2496</v>
      </c>
      <c r="B2557" s="138">
        <f>'Acct Summary 7-8'!C13</f>
        <v>2854489</v>
      </c>
      <c r="C2557" s="2" t="s">
        <v>594</v>
      </c>
      <c r="D2557" s="2" t="str">
        <f t="shared" si="38"/>
        <v>Error?</v>
      </c>
    </row>
    <row r="2558" spans="1:4" x14ac:dyDescent="0.2">
      <c r="A2558" s="5">
        <v>2497</v>
      </c>
      <c r="B2558" s="138">
        <f>'Acct Summary 7-8'!C14</f>
        <v>44470</v>
      </c>
      <c r="C2558" s="2" t="s">
        <v>594</v>
      </c>
      <c r="D2558" s="2" t="str">
        <f t="shared" si="38"/>
        <v>Error?</v>
      </c>
    </row>
    <row r="2559" spans="1:4" x14ac:dyDescent="0.2">
      <c r="A2559" s="5">
        <v>2498</v>
      </c>
      <c r="B2559" s="138">
        <f>'Acct Summary 7-8'!C15</f>
        <v>185887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7843823</v>
      </c>
      <c r="C2561" s="2" t="s">
        <v>594</v>
      </c>
      <c r="D2561" s="2" t="str">
        <f t="shared" si="39"/>
        <v>Error?</v>
      </c>
    </row>
    <row r="2562" spans="1:4" x14ac:dyDescent="0.2">
      <c r="A2562" s="5">
        <v>2501</v>
      </c>
      <c r="B2562" s="138">
        <f>'Acct Summary 7-8'!C20</f>
        <v>1189586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995917</v>
      </c>
      <c r="C2564" s="2" t="s">
        <v>594</v>
      </c>
      <c r="D2564" s="2" t="str">
        <f t="shared" si="39"/>
        <v>Error?</v>
      </c>
    </row>
    <row r="2565" spans="1:4" x14ac:dyDescent="0.2">
      <c r="A2565" s="10">
        <v>2504</v>
      </c>
      <c r="D2565" s="2" t="str">
        <f t="shared" si="39"/>
        <v>OK</v>
      </c>
    </row>
    <row r="2566" spans="1:4" x14ac:dyDescent="0.2">
      <c r="A2566" s="5">
        <v>2505</v>
      </c>
      <c r="B2566" s="138">
        <f>'Acct Summary 7-8'!D6</f>
        <v>271213</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1267130</v>
      </c>
      <c r="C2568" s="2" t="s">
        <v>594</v>
      </c>
      <c r="D2568" s="2" t="str">
        <f t="shared" si="39"/>
        <v>Error?</v>
      </c>
    </row>
    <row r="2569" spans="1:4" x14ac:dyDescent="0.2">
      <c r="A2569" s="5">
        <v>2508</v>
      </c>
      <c r="B2569" s="138">
        <f>'Acct Summary 7-8'!D13</f>
        <v>1219994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1219994</v>
      </c>
      <c r="C2573" s="2" t="s">
        <v>594</v>
      </c>
      <c r="D2573" s="2" t="str">
        <f t="shared" si="39"/>
        <v>Error?</v>
      </c>
    </row>
    <row r="2574" spans="1:4" x14ac:dyDescent="0.2">
      <c r="A2574" s="5">
        <v>2513</v>
      </c>
      <c r="B2574" s="138">
        <f>'Acct Summary 7-8'!D20</f>
        <v>47136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236914</v>
      </c>
      <c r="C2591" s="2" t="s">
        <v>594</v>
      </c>
      <c r="D2591" s="2" t="str">
        <f t="shared" si="39"/>
        <v>Error?</v>
      </c>
    </row>
    <row r="2592" spans="1:4" x14ac:dyDescent="0.2">
      <c r="A2592" s="10">
        <v>2531</v>
      </c>
      <c r="D2592" s="2" t="str">
        <f t="shared" si="39"/>
        <v>OK</v>
      </c>
    </row>
    <row r="2593" spans="1:4" x14ac:dyDescent="0.2">
      <c r="A2593" s="5">
        <v>2532</v>
      </c>
      <c r="B2593" s="138">
        <f>'Acct Summary 7-8'!F6</f>
        <v>432329</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669243</v>
      </c>
      <c r="C2595" s="2" t="s">
        <v>594</v>
      </c>
      <c r="D2595" s="2" t="str">
        <f t="shared" si="39"/>
        <v>Error?</v>
      </c>
    </row>
    <row r="2596" spans="1:4" x14ac:dyDescent="0.2">
      <c r="A2596" s="5">
        <v>2535</v>
      </c>
      <c r="B2596" s="138">
        <f>'Acct Summary 7-8'!F13</f>
        <v>590465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590465</v>
      </c>
      <c r="C2600" s="2" t="s">
        <v>594</v>
      </c>
      <c r="D2600" s="2" t="str">
        <f t="shared" si="39"/>
        <v>Error?</v>
      </c>
    </row>
    <row r="2601" spans="1:4" x14ac:dyDescent="0.2">
      <c r="A2601" s="5">
        <v>2540</v>
      </c>
      <c r="B2601" s="138">
        <f>'Acct Summary 7-8'!F20</f>
        <v>78778</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306466</v>
      </c>
      <c r="C2603" s="2" t="s">
        <v>594</v>
      </c>
      <c r="D2603" s="2" t="str">
        <f t="shared" si="39"/>
        <v>Error?</v>
      </c>
    </row>
    <row r="2604" spans="1:4" x14ac:dyDescent="0.2">
      <c r="A2604" s="5">
        <v>2543</v>
      </c>
      <c r="B2604" s="138">
        <f>'Acct Summary 7-8'!G6</f>
        <v>30000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336466</v>
      </c>
      <c r="C2606" s="2" t="s">
        <v>594</v>
      </c>
      <c r="D2606" s="2" t="str">
        <f t="shared" si="39"/>
        <v>Error?</v>
      </c>
    </row>
    <row r="2607" spans="1:4" x14ac:dyDescent="0.2">
      <c r="A2607" s="5">
        <v>2546</v>
      </c>
      <c r="B2607" s="138">
        <f>'Acct Summary 7-8'!G12</f>
        <v>96228</v>
      </c>
      <c r="C2607" s="2" t="s">
        <v>594</v>
      </c>
      <c r="D2607" s="2" t="str">
        <f t="shared" si="39"/>
        <v>Error?</v>
      </c>
    </row>
    <row r="2608" spans="1:4" x14ac:dyDescent="0.2">
      <c r="A2608" s="5">
        <v>2547</v>
      </c>
      <c r="B2608" s="138">
        <f>'Acct Summary 7-8'!G13</f>
        <v>203950</v>
      </c>
      <c r="C2608" s="2" t="s">
        <v>594</v>
      </c>
      <c r="D2608" s="2" t="str">
        <f t="shared" si="39"/>
        <v>Error?</v>
      </c>
    </row>
    <row r="2609" spans="1:4" x14ac:dyDescent="0.2">
      <c r="A2609" s="5">
        <v>2548</v>
      </c>
      <c r="B2609" s="138">
        <f>'Acct Summary 7-8'!G14</f>
        <v>2764</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302942</v>
      </c>
      <c r="C2612" s="2" t="s">
        <v>594</v>
      </c>
      <c r="D2612" s="2" t="str">
        <f t="shared" si="39"/>
        <v>Error?</v>
      </c>
    </row>
    <row r="2613" spans="1:4" x14ac:dyDescent="0.2">
      <c r="A2613" s="5">
        <v>2552</v>
      </c>
      <c r="B2613" s="138">
        <f>'Acct Summary 7-8'!G20</f>
        <v>33524</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205496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205496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204500</v>
      </c>
      <c r="C2634" s="2" t="s">
        <v>594</v>
      </c>
      <c r="D2634" s="2" t="str">
        <f t="shared" si="40"/>
        <v>Error?</v>
      </c>
    </row>
    <row r="2635" spans="1:4" x14ac:dyDescent="0.2">
      <c r="A2635" s="5">
        <v>2574</v>
      </c>
      <c r="B2635" s="138">
        <f>'Acct Summary 7-8'!E17</f>
        <v>204500</v>
      </c>
      <c r="C2635" s="2" t="s">
        <v>594</v>
      </c>
      <c r="D2635" s="2" t="str">
        <f t="shared" si="40"/>
        <v>Error?</v>
      </c>
    </row>
    <row r="2636" spans="1:4" x14ac:dyDescent="0.2">
      <c r="A2636" s="5">
        <v>2575</v>
      </c>
      <c r="B2636" s="138">
        <f>'Acct Summary 7-8'!E20</f>
        <v>996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8237</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8237</v>
      </c>
      <c r="C2658" s="2" t="s">
        <v>594</v>
      </c>
      <c r="D2658" s="2" t="str">
        <f t="shared" si="40"/>
        <v>Error?</v>
      </c>
    </row>
    <row r="2659" spans="1:4" x14ac:dyDescent="0.2">
      <c r="A2659" s="5">
        <v>2598</v>
      </c>
      <c r="B2659" s="138">
        <f>'Acct Summary 7-8'!H13</f>
        <v>214700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214700</v>
      </c>
      <c r="C2661" s="2" t="s">
        <v>594</v>
      </c>
      <c r="D2661" s="2" t="str">
        <f t="shared" si="40"/>
        <v>Error?</v>
      </c>
    </row>
    <row r="2662" spans="1:4" x14ac:dyDescent="0.2">
      <c r="A2662" s="5">
        <v>2601</v>
      </c>
      <c r="B2662" s="138">
        <f>'Acct Summary 7-8'!H20</f>
        <v>-206463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87613</v>
      </c>
      <c r="D2718" s="2" t="str">
        <f t="shared" si="41"/>
        <v>Error?</v>
      </c>
    </row>
    <row r="2719" spans="1:4" x14ac:dyDescent="0.2">
      <c r="A2719" s="5">
        <v>2658</v>
      </c>
      <c r="B2719" s="138">
        <f>'Expenditures 15-22'!D51</f>
        <v>8960</v>
      </c>
      <c r="D2719" s="2" t="str">
        <f t="shared" si="41"/>
        <v>Error?</v>
      </c>
    </row>
    <row r="2720" spans="1:4" x14ac:dyDescent="0.2">
      <c r="A2720" s="5">
        <v>2659</v>
      </c>
      <c r="B2720" s="138">
        <f>'Expenditures 15-22'!E51</f>
        <v>2838</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2018</v>
      </c>
      <c r="D2723" s="2" t="str">
        <f t="shared" si="41"/>
        <v>Error?</v>
      </c>
    </row>
    <row r="2724" spans="1:4" x14ac:dyDescent="0.2">
      <c r="A2724" s="5">
        <v>2663</v>
      </c>
      <c r="B2724" s="138">
        <f>'Expenditures 15-22'!K51</f>
        <v>101429</v>
      </c>
      <c r="C2724" s="2" t="s">
        <v>594</v>
      </c>
      <c r="D2724" s="2" t="str">
        <f t="shared" si="41"/>
        <v>Error?</v>
      </c>
    </row>
    <row r="2725" spans="1:4" x14ac:dyDescent="0.2">
      <c r="A2725" s="5">
        <v>2664</v>
      </c>
      <c r="B2725" s="138">
        <f>'Expenditures 15-22'!D247</f>
        <v>3733</v>
      </c>
      <c r="D2725" s="2" t="str">
        <f t="shared" si="41"/>
        <v>Error?</v>
      </c>
    </row>
    <row r="2726" spans="1:4" x14ac:dyDescent="0.2">
      <c r="A2726" s="5">
        <v>2665</v>
      </c>
      <c r="B2726" s="138">
        <f>'Expenditures 15-22'!K247</f>
        <v>3733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2986</v>
      </c>
      <c r="C2789" s="2" t="s">
        <v>594</v>
      </c>
      <c r="D2789" s="2" t="str">
        <f t="shared" si="42"/>
        <v>Error?</v>
      </c>
    </row>
    <row r="2790" spans="1:4" x14ac:dyDescent="0.2">
      <c r="A2790" s="5">
        <v>2729</v>
      </c>
      <c r="B2790" s="138">
        <f>'Expenditures 15-22'!E102</f>
        <v>2986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15630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47376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15630</v>
      </c>
      <c r="D2912" s="2" t="str">
        <f t="shared" si="44"/>
        <v>Error?</v>
      </c>
    </row>
    <row r="2913" spans="1:4" x14ac:dyDescent="0.2">
      <c r="A2913" s="5">
        <v>2852</v>
      </c>
      <c r="B2913" s="138">
        <f>'Assets-Liab 5-6'!I41</f>
        <v>15630</v>
      </c>
      <c r="C2913" s="2" t="s">
        <v>594</v>
      </c>
      <c r="D2913" s="2" t="str">
        <f t="shared" si="44"/>
        <v>Error?</v>
      </c>
    </row>
    <row r="2914" spans="1:4" x14ac:dyDescent="0.2">
      <c r="A2914" s="5">
        <v>2853</v>
      </c>
      <c r="B2914" s="138">
        <f>'Assets-Liab 5-6'!L33</f>
        <v>47376</v>
      </c>
      <c r="D2914" s="2" t="str">
        <f t="shared" si="44"/>
        <v>Error?</v>
      </c>
    </row>
    <row r="2915" spans="1:4" x14ac:dyDescent="0.2">
      <c r="A2915" s="10">
        <v>2854</v>
      </c>
      <c r="D2915" s="2" t="str">
        <f t="shared" si="44"/>
        <v>OK</v>
      </c>
    </row>
    <row r="2916" spans="1:4" x14ac:dyDescent="0.2">
      <c r="A2916" s="5">
        <v>2855</v>
      </c>
      <c r="B2916" s="138">
        <f>'Assets-Liab 5-6'!L34</f>
        <v>47376</v>
      </c>
      <c r="C2916" s="2" t="s">
        <v>594</v>
      </c>
      <c r="D2916" s="2" t="str">
        <f t="shared" si="44"/>
        <v>Error?</v>
      </c>
    </row>
    <row r="2917" spans="1:4" x14ac:dyDescent="0.2">
      <c r="A2917" s="5">
        <v>2856</v>
      </c>
      <c r="B2917" s="138">
        <f>'Assets-Liab 5-6'!L41</f>
        <v>47376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2986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5341</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2986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5341</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9889</v>
      </c>
      <c r="C3225" s="2" t="s">
        <v>594</v>
      </c>
      <c r="D3225" s="2" t="str">
        <f t="shared" si="49"/>
        <v>Error?</v>
      </c>
    </row>
    <row r="3226" spans="1:4" x14ac:dyDescent="0.2">
      <c r="A3226" s="5">
        <v>3165</v>
      </c>
      <c r="B3226" s="138">
        <f>'Acct Summary 7-8'!I8</f>
        <v>9889</v>
      </c>
      <c r="C3226" s="2" t="s">
        <v>594</v>
      </c>
      <c r="D3226" s="2" t="str">
        <f t="shared" si="49"/>
        <v>Error?</v>
      </c>
    </row>
    <row r="3227" spans="1:4" x14ac:dyDescent="0.2">
      <c r="A3227" s="5">
        <v>3166</v>
      </c>
      <c r="B3227" s="138">
        <f>'Acct Summary 7-8'!I20</f>
        <v>9889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1189586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101382</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101382</v>
      </c>
      <c r="C3238" s="2" t="s">
        <v>594</v>
      </c>
      <c r="D3238" s="2" t="str">
        <f t="shared" si="49"/>
        <v>Error?</v>
      </c>
    </row>
    <row r="3239" spans="1:4" x14ac:dyDescent="0.2">
      <c r="A3239" s="5">
        <v>3178</v>
      </c>
      <c r="B3239" s="138">
        <f>'Acct Summary 7-8'!D78</f>
        <v>148518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78778</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33524</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996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-206463</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9889</v>
      </c>
      <c r="C3320" s="2" t="s">
        <v>594</v>
      </c>
      <c r="D3320" s="2" t="str">
        <f t="shared" si="50"/>
        <v>Error?</v>
      </c>
    </row>
    <row r="3321" spans="1:4" x14ac:dyDescent="0.2">
      <c r="A3321" s="5">
        <v>3260</v>
      </c>
      <c r="B3321" s="138">
        <f>'Acct Summary 7-8'!I79</f>
        <v>5741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15630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630962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126154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20206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777962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48759</v>
      </c>
      <c r="D3387" s="2" t="str">
        <f t="shared" si="51"/>
        <v>Error?</v>
      </c>
    </row>
    <row r="3388" spans="1:4" x14ac:dyDescent="0.2">
      <c r="A3388" s="5">
        <v>3327</v>
      </c>
      <c r="B3388" s="138">
        <f>'Expenditures 15-22'!D217</f>
        <v>36551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48759</v>
      </c>
      <c r="C3390" s="2" t="s">
        <v>594</v>
      </c>
      <c r="D3390" s="2" t="str">
        <f t="shared" si="51"/>
        <v>Error?</v>
      </c>
    </row>
    <row r="3391" spans="1:4" x14ac:dyDescent="0.2">
      <c r="A3391" s="5">
        <v>3330</v>
      </c>
      <c r="B3391" s="138">
        <f>'Expenditures 15-22'!K217</f>
        <v>36551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2855836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1097229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118129</v>
      </c>
      <c r="D3417" s="2" t="str">
        <f t="shared" si="52"/>
        <v>Error?</v>
      </c>
    </row>
    <row r="3418" spans="1:4" x14ac:dyDescent="0.2">
      <c r="A3418" s="10">
        <v>3357</v>
      </c>
      <c r="D3418" s="2" t="str">
        <f t="shared" si="52"/>
        <v>OK</v>
      </c>
    </row>
    <row r="3419" spans="1:4" x14ac:dyDescent="0.2">
      <c r="A3419" s="5">
        <v>3358</v>
      </c>
      <c r="B3419" s="138">
        <f>'Assets-Liab 5-6'!F4</f>
        <v>829791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294216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17651</v>
      </c>
      <c r="D3425" s="2" t="str">
        <f t="shared" si="52"/>
        <v>Error?</v>
      </c>
    </row>
    <row r="3426" spans="1:4" x14ac:dyDescent="0.2">
      <c r="A3426" s="10">
        <v>3365</v>
      </c>
      <c r="D3426" s="2" t="str">
        <f t="shared" si="52"/>
        <v>OK</v>
      </c>
    </row>
    <row r="3427" spans="1:4" x14ac:dyDescent="0.2">
      <c r="A3427" s="5">
        <v>3366</v>
      </c>
      <c r="B3427" s="138">
        <f>'Assets-Liab 5-6'!I4</f>
        <v>15630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47376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179225</v>
      </c>
      <c r="C3446" s="2" t="s">
        <v>594</v>
      </c>
      <c r="D3446" s="2" t="str">
        <f t="shared" si="52"/>
        <v>Error?</v>
      </c>
    </row>
    <row r="3447" spans="1:4" x14ac:dyDescent="0.2">
      <c r="A3447" s="5">
        <v>3386</v>
      </c>
      <c r="B3447" s="138">
        <f>'Tax Sched 23'!D16</f>
        <v>81769</v>
      </c>
      <c r="C3447" s="2" t="s">
        <v>594</v>
      </c>
      <c r="D3447" s="2" t="str">
        <f t="shared" si="52"/>
        <v>Error?</v>
      </c>
    </row>
    <row r="3448" spans="1:4" x14ac:dyDescent="0.2">
      <c r="A3448" s="5">
        <v>3387</v>
      </c>
      <c r="B3448" s="138">
        <f>'Tax Sched 23'!C16</f>
        <v>97456</v>
      </c>
      <c r="D3448" s="2" t="str">
        <f t="shared" si="52"/>
        <v>Error?</v>
      </c>
    </row>
    <row r="3449" spans="1:4" x14ac:dyDescent="0.2">
      <c r="A3449" s="5">
        <v>3388</v>
      </c>
      <c r="B3449" s="138">
        <f>'Tax Sched 23'!F16</f>
        <v>82962</v>
      </c>
      <c r="C3449" s="2" t="s">
        <v>594</v>
      </c>
      <c r="D3449" s="2" t="str">
        <f t="shared" si="52"/>
        <v>Error?</v>
      </c>
    </row>
    <row r="3450" spans="1:4" x14ac:dyDescent="0.2">
      <c r="A3450" s="5">
        <v>3389</v>
      </c>
      <c r="B3450" s="138">
        <f>'Tax Sched 23'!E16</f>
        <v>180418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101382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175428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3230953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12264362</v>
      </c>
      <c r="C4122" s="2" t="s">
        <v>594</v>
      </c>
      <c r="D4122" s="2" t="str">
        <f t="shared" si="63"/>
        <v>Error?</v>
      </c>
    </row>
    <row r="4123" spans="1:4" x14ac:dyDescent="0.2">
      <c r="A4123" s="5">
        <v>4062</v>
      </c>
      <c r="B4123" s="138">
        <f>'Acct Summary 7-8'!D10</f>
        <v>1267130</v>
      </c>
      <c r="C4123" s="2" t="s">
        <v>594</v>
      </c>
      <c r="D4123" s="2" t="str">
        <f t="shared" si="63"/>
        <v>Error?</v>
      </c>
    </row>
    <row r="4124" spans="1:4" x14ac:dyDescent="0.2">
      <c r="A4124" s="5">
        <v>4063</v>
      </c>
      <c r="B4124" s="138">
        <f>'Acct Summary 7-8'!E10</f>
        <v>205496</v>
      </c>
      <c r="C4124" s="2" t="s">
        <v>594</v>
      </c>
      <c r="D4124" s="2" t="str">
        <f t="shared" si="63"/>
        <v>Error?</v>
      </c>
    </row>
    <row r="4125" spans="1:4" x14ac:dyDescent="0.2">
      <c r="A4125" s="5">
        <v>4064</v>
      </c>
      <c r="B4125" s="138">
        <f>'Acct Summary 7-8'!F10</f>
        <v>669243</v>
      </c>
      <c r="C4125" s="2" t="s">
        <v>594</v>
      </c>
      <c r="D4125" s="2" t="str">
        <f t="shared" si="63"/>
        <v>Error?</v>
      </c>
    </row>
    <row r="4126" spans="1:4" x14ac:dyDescent="0.2">
      <c r="A4126" s="5">
        <v>4065</v>
      </c>
      <c r="B4126" s="138">
        <f>'Acct Summary 7-8'!G10</f>
        <v>336466</v>
      </c>
      <c r="C4126" s="2" t="s">
        <v>594</v>
      </c>
      <c r="D4126" s="2" t="str">
        <f t="shared" si="63"/>
        <v>Error?</v>
      </c>
    </row>
    <row r="4127" spans="1:4" x14ac:dyDescent="0.2">
      <c r="A4127" s="5">
        <v>4066</v>
      </c>
      <c r="B4127" s="138">
        <f>'Acct Summary 7-8'!H10</f>
        <v>8237</v>
      </c>
      <c r="C4127" s="2" t="s">
        <v>594</v>
      </c>
      <c r="D4127" s="2" t="str">
        <f t="shared" si="63"/>
        <v>Error?</v>
      </c>
    </row>
    <row r="4128" spans="1:4" x14ac:dyDescent="0.2">
      <c r="A4128" s="5">
        <v>4067</v>
      </c>
      <c r="B4128" s="138">
        <f>'Acct Summary 7-8'!I10</f>
        <v>9889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3230953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11074776</v>
      </c>
      <c r="C4136" s="2" t="s">
        <v>594</v>
      </c>
      <c r="D4136" s="2" t="str">
        <f t="shared" si="63"/>
        <v>Error?</v>
      </c>
    </row>
    <row r="4137" spans="1:4" x14ac:dyDescent="0.2">
      <c r="A4137" s="5">
        <v>4076</v>
      </c>
      <c r="B4137" s="138">
        <f>'Acct Summary 7-8'!D19</f>
        <v>1219994</v>
      </c>
      <c r="C4137" s="2" t="s">
        <v>594</v>
      </c>
      <c r="D4137" s="2" t="str">
        <f t="shared" si="63"/>
        <v>Error?</v>
      </c>
    </row>
    <row r="4138" spans="1:4" x14ac:dyDescent="0.2">
      <c r="A4138" s="5">
        <v>4077</v>
      </c>
      <c r="B4138" s="138">
        <f>'Acct Summary 7-8'!E19</f>
        <v>204500</v>
      </c>
      <c r="C4138" s="2" t="s">
        <v>594</v>
      </c>
      <c r="D4138" s="2" t="str">
        <f t="shared" si="63"/>
        <v>Error?</v>
      </c>
    </row>
    <row r="4139" spans="1:4" x14ac:dyDescent="0.2">
      <c r="A4139" s="5">
        <v>4078</v>
      </c>
      <c r="B4139" s="138">
        <f>'Acct Summary 7-8'!F19</f>
        <v>590465</v>
      </c>
      <c r="C4139" s="2" t="s">
        <v>594</v>
      </c>
      <c r="D4139" s="2" t="str">
        <f t="shared" si="63"/>
        <v>Error?</v>
      </c>
    </row>
    <row r="4140" spans="1:4" x14ac:dyDescent="0.2">
      <c r="A4140" s="5">
        <v>4079</v>
      </c>
      <c r="B4140" s="138">
        <f>'Acct Summary 7-8'!G19</f>
        <v>302942</v>
      </c>
      <c r="C4140" s="2" t="s">
        <v>594</v>
      </c>
      <c r="D4140" s="2" t="str">
        <f t="shared" si="63"/>
        <v>Error?</v>
      </c>
    </row>
    <row r="4141" spans="1:4" x14ac:dyDescent="0.2">
      <c r="A4141" s="5">
        <v>4080</v>
      </c>
      <c r="B4141" s="138">
        <f>'Acct Summary 7-8'!H19</f>
        <v>214700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2810000</v>
      </c>
      <c r="C4171" s="2" t="s">
        <v>594</v>
      </c>
      <c r="D4171" s="2" t="str">
        <f t="shared" si="64"/>
        <v>Error?</v>
      </c>
    </row>
    <row r="4172" spans="1:4" x14ac:dyDescent="0.2">
      <c r="A4172" s="5">
        <v>4111</v>
      </c>
      <c r="B4172" s="138">
        <f>'Short-Term Long-Term Debt 24'!J49</f>
        <v>2691871</v>
      </c>
      <c r="C4172" s="2" t="s">
        <v>594</v>
      </c>
      <c r="D4172" s="2" t="str">
        <f t="shared" si="64"/>
        <v>Error?</v>
      </c>
    </row>
    <row r="4173" spans="1:4" x14ac:dyDescent="0.2">
      <c r="A4173" s="5">
        <v>4112</v>
      </c>
      <c r="B4173" s="138">
        <f>'Short-Term Long-Term Debt 24'!H49</f>
        <v>90000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2532.8000000000002</v>
      </c>
      <c r="C4265" s="2" t="s">
        <v>594</v>
      </c>
      <c r="D4265" s="2" t="str">
        <f t="shared" si="65"/>
        <v>Error?</v>
      </c>
      <c r="E4265" s="128"/>
    </row>
    <row r="4266" spans="1:5" x14ac:dyDescent="0.2">
      <c r="A4266" s="12">
        <v>4205</v>
      </c>
      <c r="B4266" s="138">
        <f>('FP Info 3'!F10)*100000</f>
        <v>333.2</v>
      </c>
      <c r="C4266" s="2" t="s">
        <v>594</v>
      </c>
      <c r="D4266" s="2" t="str">
        <f t="shared" si="65"/>
        <v>Error?</v>
      </c>
      <c r="E4266" s="128"/>
    </row>
    <row r="4267" spans="1:5" x14ac:dyDescent="0.2">
      <c r="A4267" s="12">
        <v>4206</v>
      </c>
      <c r="B4267" s="138">
        <f>('FP Info 3'!H10)*100000</f>
        <v>99.4</v>
      </c>
      <c r="C4267" s="2" t="s">
        <v>594</v>
      </c>
      <c r="D4267" s="2" t="str">
        <f t="shared" si="65"/>
        <v>Error?</v>
      </c>
      <c r="E4267" s="128"/>
    </row>
    <row r="4268" spans="1:5" x14ac:dyDescent="0.2">
      <c r="A4268" s="12">
        <v>4207</v>
      </c>
      <c r="B4268" s="138">
        <f>('FP Info 3'!J10)*100000</f>
        <v>2965</v>
      </c>
      <c r="C4268" s="2" t="s">
        <v>594</v>
      </c>
      <c r="D4268" s="2" t="str">
        <f t="shared" si="65"/>
        <v>Error?</v>
      </c>
    </row>
    <row r="4269" spans="1:5" x14ac:dyDescent="0.2">
      <c r="A4269" s="12">
        <v>4208</v>
      </c>
      <c r="B4269" s="138">
        <f>'FP Info 3'!J16</f>
        <v>9058683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20213</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23408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52090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8299</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33690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4.3999999999999995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4700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221384941</v>
      </c>
      <c r="D4995" s="2" t="str">
        <f t="shared" si="77"/>
        <v>Error?</v>
      </c>
    </row>
    <row r="4996" spans="1:4" x14ac:dyDescent="0.2">
      <c r="A4996" s="12">
        <v>4935</v>
      </c>
      <c r="B4996" s="138">
        <f>'FP Info 3'!H31</f>
        <v>15275560.929000001</v>
      </c>
      <c r="D4996" s="2" t="str">
        <f t="shared" si="77"/>
        <v>Error?</v>
      </c>
    </row>
    <row r="4997" spans="1:4" x14ac:dyDescent="0.2">
      <c r="A4997" s="12">
        <v>4936</v>
      </c>
      <c r="B4997" s="138">
        <f>'FP Info 3'!H37</f>
        <v>2810000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5566770</v>
      </c>
      <c r="D5061" s="2" t="str">
        <f t="shared" si="78"/>
        <v>Error?</v>
      </c>
    </row>
    <row r="5062" spans="1:4" x14ac:dyDescent="0.2">
      <c r="A5062" s="10">
        <v>5001</v>
      </c>
      <c r="D5062" s="2" t="str">
        <f t="shared" si="78"/>
        <v>OK</v>
      </c>
    </row>
    <row r="5063" spans="1:4" x14ac:dyDescent="0.2">
      <c r="A5063" s="5">
        <v>5002</v>
      </c>
      <c r="B5063" s="138">
        <f>'Revenues 9-14'!C7</f>
        <v>57364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5624134</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269217</v>
      </c>
      <c r="D5069" s="2" t="str">
        <f t="shared" si="78"/>
        <v>Error?</v>
      </c>
    </row>
    <row r="5070" spans="1:4" x14ac:dyDescent="0.2">
      <c r="A5070" s="5">
        <v>5009</v>
      </c>
      <c r="B5070" s="138">
        <f>'Revenues 9-14'!C17</f>
        <v>1299</v>
      </c>
      <c r="D5070" s="2" t="str">
        <f t="shared" si="78"/>
        <v>Error?</v>
      </c>
    </row>
    <row r="5071" spans="1:4" x14ac:dyDescent="0.2">
      <c r="A5071" s="5">
        <v>5010</v>
      </c>
      <c r="B5071" s="138">
        <f>'Revenues 9-14'!C18</f>
        <v>270516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106822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106822</v>
      </c>
      <c r="C5087" s="2" t="s">
        <v>594</v>
      </c>
      <c r="D5087" s="2" t="str">
        <f t="shared" si="78"/>
        <v>Error?</v>
      </c>
    </row>
    <row r="5088" spans="1:4" x14ac:dyDescent="0.2">
      <c r="A5088" s="5">
        <v>5027</v>
      </c>
      <c r="B5088" s="138">
        <f>'Revenues 9-14'!C65</f>
        <v>26105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26105</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4105</v>
      </c>
      <c r="D5093" s="2" t="str">
        <f t="shared" si="78"/>
        <v>Error?</v>
      </c>
    </row>
    <row r="5094" spans="1:4" x14ac:dyDescent="0.2">
      <c r="A5094" s="5">
        <v>5033</v>
      </c>
      <c r="B5094" s="138">
        <f>'Revenues 9-14'!C73</f>
        <v>6286</v>
      </c>
      <c r="D5094" s="2" t="str">
        <f t="shared" si="78"/>
        <v>Error?</v>
      </c>
    </row>
    <row r="5095" spans="1:4" x14ac:dyDescent="0.2">
      <c r="A5095" s="5">
        <v>5034</v>
      </c>
      <c r="B5095" s="138">
        <f>'Revenues 9-14'!C74</f>
        <v>3340</v>
      </c>
      <c r="D5095" s="2" t="str">
        <f t="shared" si="78"/>
        <v>Error?</v>
      </c>
    </row>
    <row r="5096" spans="1:4" x14ac:dyDescent="0.2">
      <c r="A5096" s="5">
        <v>5035</v>
      </c>
      <c r="B5096" s="138">
        <f>'Revenues 9-14'!C75</f>
        <v>148759</v>
      </c>
      <c r="C5096" s="2" t="s">
        <v>594</v>
      </c>
      <c r="D5096" s="2" t="str">
        <f t="shared" si="78"/>
        <v>Error?</v>
      </c>
    </row>
    <row r="5097" spans="1:4" x14ac:dyDescent="0.2">
      <c r="A5097" s="5">
        <v>5036</v>
      </c>
      <c r="B5097" s="138">
        <f>'Revenues 9-14'!C77</f>
        <v>3120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39078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676</v>
      </c>
      <c r="D5101" s="2" t="str">
        <f t="shared" si="78"/>
        <v>Error?</v>
      </c>
    </row>
    <row r="5102" spans="1:4" x14ac:dyDescent="0.2">
      <c r="A5102" s="5">
        <v>5041</v>
      </c>
      <c r="B5102" s="138">
        <f>'Revenues 9-14'!C82</f>
        <v>42874</v>
      </c>
      <c r="C5102" s="2" t="s">
        <v>594</v>
      </c>
      <c r="D5102" s="2" t="str">
        <f t="shared" si="78"/>
        <v>Error?</v>
      </c>
    </row>
    <row r="5103" spans="1:4" x14ac:dyDescent="0.2">
      <c r="A5103" s="5">
        <v>5042</v>
      </c>
      <c r="B5103" s="138">
        <f>'Revenues 9-14'!C84</f>
        <v>72158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72158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27085</v>
      </c>
      <c r="D5114" s="2" t="str">
        <f t="shared" si="78"/>
        <v>Error?</v>
      </c>
    </row>
    <row r="5115" spans="1:4" x14ac:dyDescent="0.2">
      <c r="A5115" s="5">
        <v>5054</v>
      </c>
      <c r="B5115" s="138">
        <f>'Revenues 9-14'!C98</f>
        <v>16580</v>
      </c>
      <c r="D5115" s="2" t="str">
        <f t="shared" si="78"/>
        <v>Error?</v>
      </c>
    </row>
    <row r="5116" spans="1:4" x14ac:dyDescent="0.2">
      <c r="A5116" s="5">
        <v>5055</v>
      </c>
      <c r="B5116" s="138">
        <f>'Revenues 9-14'!C99</f>
        <v>3022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74</v>
      </c>
      <c r="D5119" s="2" t="str">
        <f t="shared" ref="D5119:D5182" si="79">IF(ISBLANK(B5119),"OK",IF(A5119-B5119=0,"OK","Error?"))</f>
        <v>Error?</v>
      </c>
    </row>
    <row r="5120" spans="1:4" x14ac:dyDescent="0.2">
      <c r="A5120" s="5">
        <v>5059</v>
      </c>
      <c r="B5120" s="138">
        <f>'Revenues 9-14'!C108</f>
        <v>46761</v>
      </c>
      <c r="C5120" s="2" t="s">
        <v>594</v>
      </c>
      <c r="D5120" s="2" t="str">
        <f t="shared" si="79"/>
        <v>Error?</v>
      </c>
    </row>
    <row r="5121" spans="1:4" x14ac:dyDescent="0.2">
      <c r="A5121" s="5">
        <v>5060</v>
      </c>
      <c r="B5121" s="138">
        <f>'Revenues 9-14'!C109</f>
        <v>6338129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1407213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1407213</v>
      </c>
      <c r="C5132" s="2" t="s">
        <v>594</v>
      </c>
      <c r="D5132" s="2" t="str">
        <f t="shared" si="79"/>
        <v>Error?</v>
      </c>
    </row>
    <row r="5133" spans="1:4" x14ac:dyDescent="0.2">
      <c r="A5133" s="5">
        <v>5072</v>
      </c>
      <c r="B5133" s="138">
        <f>'Revenues 9-14'!C124</f>
        <v>55488</v>
      </c>
      <c r="D5133" s="2" t="str">
        <f t="shared" si="79"/>
        <v>Error?</v>
      </c>
    </row>
    <row r="5134" spans="1:4" x14ac:dyDescent="0.2">
      <c r="A5134" s="5">
        <v>5073</v>
      </c>
      <c r="B5134" s="138">
        <f>'Revenues 9-14'!C125</f>
        <v>67270</v>
      </c>
      <c r="D5134" s="2" t="str">
        <f t="shared" si="79"/>
        <v>Error?</v>
      </c>
    </row>
    <row r="5135" spans="1:4" x14ac:dyDescent="0.2">
      <c r="A5135" s="5">
        <v>5074</v>
      </c>
      <c r="B5135" s="138">
        <f>'Revenues 9-14'!C126</f>
        <v>95859</v>
      </c>
      <c r="D5135" s="2" t="str">
        <f t="shared" si="79"/>
        <v>Error?</v>
      </c>
    </row>
    <row r="5136" spans="1:4" x14ac:dyDescent="0.2">
      <c r="A5136" s="10">
        <v>5075</v>
      </c>
      <c r="D5136" s="2" t="str">
        <f t="shared" si="79"/>
        <v>OK</v>
      </c>
    </row>
    <row r="5137" spans="1:4" x14ac:dyDescent="0.2">
      <c r="A5137" s="5">
        <v>5076</v>
      </c>
      <c r="B5137" s="138">
        <f>'Revenues 9-14'!C127</f>
        <v>45447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1431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265495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37020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37020</v>
      </c>
      <c r="C5165" s="2" t="s">
        <v>594</v>
      </c>
      <c r="D5165" s="2" t="str">
        <f t="shared" si="79"/>
        <v>Error?</v>
      </c>
    </row>
    <row r="5166" spans="1:4" x14ac:dyDescent="0.2">
      <c r="A5166" s="10">
        <v>5105</v>
      </c>
      <c r="D5166" s="2" t="str">
        <f t="shared" si="79"/>
        <v>OK</v>
      </c>
    </row>
    <row r="5167" spans="1:4" x14ac:dyDescent="0.2">
      <c r="A5167" s="5">
        <v>5106</v>
      </c>
      <c r="B5167" s="138">
        <f>'Revenues 9-14'!C145</f>
        <v>3368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215800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526383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1933596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209445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38396</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247841</v>
      </c>
      <c r="C5246" s="2" t="s">
        <v>594</v>
      </c>
      <c r="D5246" s="2" t="str">
        <f t="shared" si="80"/>
        <v>Error?</v>
      </c>
    </row>
    <row r="5247" spans="1:4" x14ac:dyDescent="0.2">
      <c r="A5247" s="5">
        <v>5186</v>
      </c>
      <c r="B5247" s="138">
        <f>'Revenues 9-14'!C203</f>
        <v>117446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117446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13917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251053</v>
      </c>
      <c r="D5278" s="2" t="str">
        <f t="shared" si="81"/>
        <v>Error?</v>
      </c>
    </row>
    <row r="5279" spans="1:4" x14ac:dyDescent="0.2">
      <c r="A5279" s="5">
        <v>5218</v>
      </c>
      <c r="B5279" s="138">
        <f>'Revenues 9-14'!C221</f>
        <v>3940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268910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761684</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761684</v>
      </c>
      <c r="C5326" s="2" t="s">
        <v>594</v>
      </c>
      <c r="D5326" s="2" t="str">
        <f t="shared" si="82"/>
        <v>Error?</v>
      </c>
    </row>
    <row r="5327" spans="1:4" x14ac:dyDescent="0.2">
      <c r="A5327" s="5">
        <v>5266</v>
      </c>
      <c r="B5327" s="138">
        <f>'Revenues 9-14'!C275</f>
        <v>9033409</v>
      </c>
      <c r="C5327" s="2" t="s">
        <v>594</v>
      </c>
      <c r="D5327" s="2" t="str">
        <f t="shared" si="82"/>
        <v>Error?</v>
      </c>
    </row>
    <row r="5328" spans="1:4" x14ac:dyDescent="0.2">
      <c r="A5328" s="5">
        <v>5267</v>
      </c>
      <c r="B5328" s="138">
        <f>'Revenues 9-14'!D5</f>
        <v>732853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732853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243000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243000</v>
      </c>
      <c r="C5339" s="2" t="s">
        <v>594</v>
      </c>
      <c r="D5339" s="2" t="str">
        <f t="shared" si="82"/>
        <v>Error?</v>
      </c>
    </row>
    <row r="5340" spans="1:4" x14ac:dyDescent="0.2">
      <c r="A5340" s="5">
        <v>5279</v>
      </c>
      <c r="B5340" s="138">
        <f>'Revenues 9-14'!D65</f>
        <v>4808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4808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3775</v>
      </c>
      <c r="D5349" s="2" t="str">
        <f t="shared" si="82"/>
        <v>Error?</v>
      </c>
    </row>
    <row r="5350" spans="1:4" x14ac:dyDescent="0.2">
      <c r="A5350" s="5">
        <v>5289</v>
      </c>
      <c r="B5350" s="138">
        <f>'Revenues 9-14'!D96</f>
        <v>10000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1481</v>
      </c>
      <c r="D5354" s="2" t="str">
        <f t="shared" si="82"/>
        <v>Error?</v>
      </c>
    </row>
    <row r="5355" spans="1:4" x14ac:dyDescent="0.2">
      <c r="A5355" s="5">
        <v>5294</v>
      </c>
      <c r="B5355" s="138">
        <f>'Revenues 9-14'!D108</f>
        <v>15256</v>
      </c>
      <c r="C5355" s="2" t="s">
        <v>594</v>
      </c>
      <c r="D5355" s="2" t="str">
        <f t="shared" si="82"/>
        <v>Error?</v>
      </c>
    </row>
    <row r="5356" spans="1:4" x14ac:dyDescent="0.2">
      <c r="A5356" s="5">
        <v>5295</v>
      </c>
      <c r="B5356" s="138">
        <f>'Revenues 9-14'!D109</f>
        <v>995917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251000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251000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20213</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271213</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1267130</v>
      </c>
      <c r="C5508" s="2" t="s">
        <v>594</v>
      </c>
      <c r="D5508" s="2" t="str">
        <f t="shared" si="85"/>
        <v>Error?</v>
      </c>
    </row>
    <row r="5509" spans="1:4" x14ac:dyDescent="0.2">
      <c r="A5509" s="5">
        <v>5448</v>
      </c>
      <c r="B5509" s="138">
        <f>'Revenues 9-14'!E5</f>
        <v>205319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205319</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177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205496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205496</v>
      </c>
      <c r="C5552" s="2" t="s">
        <v>594</v>
      </c>
      <c r="D5552" s="2" t="str">
        <f t="shared" si="85"/>
        <v>Error?</v>
      </c>
    </row>
    <row r="5553" spans="1:4" x14ac:dyDescent="0.2">
      <c r="A5553" s="5">
        <v>5492</v>
      </c>
      <c r="B5553" s="138">
        <f>'Revenues 9-14'!F5</f>
        <v>222099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222099</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3547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3547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4236</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7032</v>
      </c>
      <c r="D5586" s="2" t="str">
        <f t="shared" si="86"/>
        <v>Error?</v>
      </c>
    </row>
    <row r="5587" spans="1:4" x14ac:dyDescent="0.2">
      <c r="A5587" s="5">
        <v>5526</v>
      </c>
      <c r="B5587" s="138">
        <f>'Revenues 9-14'!F108</f>
        <v>11268</v>
      </c>
      <c r="C5587" s="2" t="s">
        <v>594</v>
      </c>
      <c r="D5587" s="2" t="str">
        <f t="shared" si="86"/>
        <v>Error?</v>
      </c>
    </row>
    <row r="5588" spans="1:4" x14ac:dyDescent="0.2">
      <c r="A5588" s="5">
        <v>5527</v>
      </c>
      <c r="B5588" s="138">
        <f>'Revenues 9-14'!F109</f>
        <v>236914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59507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59507</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137956</v>
      </c>
      <c r="D5615" s="2" t="str">
        <f t="shared" si="86"/>
        <v>Error?</v>
      </c>
    </row>
    <row r="5616" spans="1:4" x14ac:dyDescent="0.2">
      <c r="A5616" s="10">
        <v>5555</v>
      </c>
      <c r="D5616" s="2" t="str">
        <f t="shared" si="86"/>
        <v>OK</v>
      </c>
    </row>
    <row r="5617" spans="1:4" x14ac:dyDescent="0.2">
      <c r="A5617" s="5">
        <v>5556</v>
      </c>
      <c r="B5617" s="138">
        <f>'Revenues 9-14'!F152</f>
        <v>219866</v>
      </c>
      <c r="D5617" s="2" t="str">
        <f t="shared" si="86"/>
        <v>Error?</v>
      </c>
    </row>
    <row r="5618" spans="1:4" x14ac:dyDescent="0.2">
      <c r="A5618" s="5">
        <v>5557</v>
      </c>
      <c r="B5618" s="138">
        <f>'Revenues 9-14'!F154</f>
        <v>357822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15000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372822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432329</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669243</v>
      </c>
      <c r="C5720" s="2" t="s">
        <v>594</v>
      </c>
      <c r="D5720" s="2" t="str">
        <f t="shared" si="88"/>
        <v>Error?</v>
      </c>
    </row>
    <row r="5721" spans="1:4" x14ac:dyDescent="0.2">
      <c r="A5721" s="5">
        <v>5660</v>
      </c>
      <c r="B5721" s="138">
        <f>'Revenues 9-14'!G5</f>
        <v>96124</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179225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275349</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30000</v>
      </c>
      <c r="C5730" s="2" t="s">
        <v>594</v>
      </c>
      <c r="D5730" s="2" t="str">
        <f t="shared" si="88"/>
        <v>Error?</v>
      </c>
    </row>
    <row r="5731" spans="1:4" x14ac:dyDescent="0.2">
      <c r="A5731" s="5">
        <v>5670</v>
      </c>
      <c r="B5731" s="138">
        <f>'Revenues 9-14'!G65</f>
        <v>1117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1117</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30000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30000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30000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336466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1331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1331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6906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8237</v>
      </c>
      <c r="C5915" s="2" t="s">
        <v>594</v>
      </c>
      <c r="D5915" s="2" t="str">
        <f t="shared" si="91"/>
        <v>Error?</v>
      </c>
    </row>
    <row r="5916" spans="1:4" x14ac:dyDescent="0.2">
      <c r="A5916" s="5">
        <v>5855</v>
      </c>
      <c r="B5916" s="138">
        <f>'Revenues 9-14'!I5</f>
        <v>9839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9839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9889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306466</v>
      </c>
      <c r="C6024" s="2" t="s">
        <v>594</v>
      </c>
      <c r="D6024" s="2" t="str">
        <f t="shared" si="93"/>
        <v>Error?</v>
      </c>
    </row>
    <row r="6025" spans="1:5" x14ac:dyDescent="0.2">
      <c r="A6025" s="5">
        <v>5964</v>
      </c>
      <c r="B6025" s="138">
        <f>'Revenues 9-14'!H109</f>
        <v>8237</v>
      </c>
      <c r="C6025" s="2" t="s">
        <v>594</v>
      </c>
      <c r="D6025" s="2" t="str">
        <f t="shared" si="93"/>
        <v>Error?</v>
      </c>
    </row>
    <row r="6026" spans="1:5" x14ac:dyDescent="0.2">
      <c r="A6026" s="5">
        <v>5965</v>
      </c>
      <c r="B6026" s="138">
        <f>'Revenues 9-14'!I109</f>
        <v>9889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135028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37425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944.23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1189586</v>
      </c>
      <c r="D6267" s="2" t="str">
        <f t="shared" si="96"/>
        <v>Error?</v>
      </c>
      <c r="E6267" s="2" t="s">
        <v>199</v>
      </c>
    </row>
    <row r="6268" spans="1:5" x14ac:dyDescent="0.2">
      <c r="A6268">
        <v>6207</v>
      </c>
      <c r="B6268" s="138">
        <f>'Acct Summary 7-8'!D82</f>
        <v>148518</v>
      </c>
      <c r="D6268" s="2" t="str">
        <f t="shared" si="96"/>
        <v>Error?</v>
      </c>
      <c r="E6268" s="2" t="s">
        <v>199</v>
      </c>
    </row>
    <row r="6269" spans="1:5" x14ac:dyDescent="0.2">
      <c r="A6269">
        <v>6208</v>
      </c>
      <c r="B6269" s="138">
        <f>'Acct Summary 7-8'!E82</f>
        <v>996</v>
      </c>
      <c r="D6269" s="2" t="str">
        <f t="shared" si="96"/>
        <v>Error?</v>
      </c>
      <c r="E6269" s="2" t="s">
        <v>199</v>
      </c>
    </row>
    <row r="6270" spans="1:5" x14ac:dyDescent="0.2">
      <c r="A6270">
        <v>6209</v>
      </c>
      <c r="B6270" s="138">
        <f>'Acct Summary 7-8'!F82</f>
        <v>78778</v>
      </c>
      <c r="D6270" s="2" t="str">
        <f t="shared" si="96"/>
        <v>Error?</v>
      </c>
      <c r="E6270" s="2" t="s">
        <v>199</v>
      </c>
    </row>
    <row r="6271" spans="1:5" x14ac:dyDescent="0.2">
      <c r="A6271">
        <v>6210</v>
      </c>
      <c r="B6271" s="138">
        <f>'Acct Summary 7-8'!G82</f>
        <v>33524</v>
      </c>
      <c r="D6271" s="2" t="str">
        <f t="shared" ref="D6271:D6334" si="97">IF(ISBLANK(B6271),"OK",IF(A6271-B6271=0,"OK","Error?"))</f>
        <v>Error?</v>
      </c>
      <c r="E6271" s="2" t="s">
        <v>199</v>
      </c>
    </row>
    <row r="6272" spans="1:5" x14ac:dyDescent="0.2">
      <c r="A6272">
        <v>6211</v>
      </c>
      <c r="B6272" s="138">
        <f>'Acct Summary 7-8'!H82</f>
        <v>-206463</v>
      </c>
      <c r="D6272" s="2" t="str">
        <f t="shared" si="97"/>
        <v>Error?</v>
      </c>
      <c r="E6272" s="2" t="s">
        <v>199</v>
      </c>
    </row>
    <row r="6273" spans="1:5" x14ac:dyDescent="0.2">
      <c r="A6273">
        <v>6212</v>
      </c>
      <c r="B6273" s="138">
        <f>'Acct Summary 7-8'!I82</f>
        <v>9889</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0.16716982622199755</v>
      </c>
      <c r="D6276" s="2" t="str">
        <f t="shared" si="97"/>
        <v>Error?</v>
      </c>
      <c r="E6276" s="2" t="s">
        <v>199</v>
      </c>
    </row>
    <row r="6277" spans="1:5" x14ac:dyDescent="0.2">
      <c r="A6277">
        <v>6216</v>
      </c>
      <c r="B6277" s="138">
        <f>'Acct Summary 7-8'!D83</f>
        <v>0.13535734108376646</v>
      </c>
      <c r="D6277" s="2" t="str">
        <f t="shared" si="97"/>
        <v>Error?</v>
      </c>
      <c r="E6277" s="2" t="s">
        <v>199</v>
      </c>
    </row>
    <row r="6278" spans="1:5" x14ac:dyDescent="0.2">
      <c r="A6278">
        <v>6217</v>
      </c>
      <c r="B6278" s="138">
        <f>'Acct Summary 7-8'!E83</f>
        <v>8.4314605219717436E-3</v>
      </c>
      <c r="D6278" s="2" t="str">
        <f t="shared" si="97"/>
        <v>Error?</v>
      </c>
      <c r="E6278" s="2" t="s">
        <v>199</v>
      </c>
    </row>
    <row r="6279" spans="1:5" x14ac:dyDescent="0.2">
      <c r="A6279">
        <v>6218</v>
      </c>
      <c r="B6279" s="138">
        <f>'Acct Summary 7-8'!F83</f>
        <v>9.4937158874945624E-2</v>
      </c>
      <c r="D6279" s="2" t="str">
        <f t="shared" si="97"/>
        <v>Error?</v>
      </c>
      <c r="E6279" s="2" t="s">
        <v>199</v>
      </c>
    </row>
    <row r="6280" spans="1:5" x14ac:dyDescent="0.2">
      <c r="A6280">
        <v>6219</v>
      </c>
      <c r="B6280" s="138">
        <f>'Acct Summary 7-8'!G83</f>
        <v>0.11394349729450472</v>
      </c>
      <c r="D6280" s="2" t="str">
        <f t="shared" si="97"/>
        <v>Error?</v>
      </c>
      <c r="E6280" s="2" t="s">
        <v>199</v>
      </c>
    </row>
    <row r="6281" spans="1:5" x14ac:dyDescent="0.2">
      <c r="A6281">
        <v>6220</v>
      </c>
      <c r="B6281" s="138">
        <f>'Acct Summary 7-8'!H83</f>
        <v>-11.696957679451589</v>
      </c>
      <c r="D6281" s="2" t="str">
        <f t="shared" si="97"/>
        <v>Error?</v>
      </c>
      <c r="E6281" s="2" t="s">
        <v>199</v>
      </c>
    </row>
    <row r="6282" spans="1:5" x14ac:dyDescent="0.2">
      <c r="A6282">
        <v>6221</v>
      </c>
      <c r="B6282" s="138">
        <f>'Acct Summary 7-8'!I83</f>
        <v>0.63269353806781825</v>
      </c>
      <c r="D6282" s="2" t="str">
        <f t="shared" si="97"/>
        <v>Error?</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6906</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144344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2519</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179632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53619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194212</v>
      </c>
      <c r="D6880" s="2" t="str">
        <f t="shared" si="106"/>
        <v>Error?</v>
      </c>
    </row>
    <row r="6881" spans="1:4" x14ac:dyDescent="0.2">
      <c r="A6881">
        <v>6820</v>
      </c>
      <c r="B6881" s="138">
        <f>'Expenditures 15-22'!K22</f>
        <v>194212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2519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700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700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30818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30818</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31518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2120</v>
      </c>
      <c r="D6981" s="2" t="str">
        <f t="shared" si="108"/>
        <v>Error?</v>
      </c>
    </row>
    <row r="6982" spans="1:4" x14ac:dyDescent="0.2">
      <c r="A6982">
        <v>6921</v>
      </c>
      <c r="B6982" s="138">
        <f>'Expenditures 15-22'!K85</f>
        <v>2120</v>
      </c>
      <c r="D6982" s="2" t="str">
        <f t="shared" si="108"/>
        <v>Error?</v>
      </c>
    </row>
    <row r="6983" spans="1:4" x14ac:dyDescent="0.2">
      <c r="A6983">
        <v>6922</v>
      </c>
      <c r="B6983" s="138">
        <f>'Expenditures 15-22'!H86</f>
        <v>175440</v>
      </c>
      <c r="D6983" s="2" t="str">
        <f t="shared" si="108"/>
        <v>Error?</v>
      </c>
    </row>
    <row r="6984" spans="1:4" x14ac:dyDescent="0.2">
      <c r="A6984">
        <v>6923</v>
      </c>
      <c r="B6984" s="138">
        <f>'Expenditures 15-22'!K86</f>
        <v>175440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177560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34037</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14406</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14406</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14406</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14406</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6341</v>
      </c>
      <c r="D7073" s="2" t="str">
        <f t="shared" si="109"/>
        <v>Error?</v>
      </c>
    </row>
    <row r="7074" spans="1:4" x14ac:dyDescent="0.2">
      <c r="A7074">
        <v>7013</v>
      </c>
      <c r="B7074" s="138">
        <f>'Expenditures 15-22'!K216</f>
        <v>6341</v>
      </c>
      <c r="D7074" s="2" t="str">
        <f t="shared" si="109"/>
        <v>Error?</v>
      </c>
    </row>
    <row r="7075" spans="1:4" x14ac:dyDescent="0.2">
      <c r="A7075">
        <v>7014</v>
      </c>
      <c r="B7075" s="138">
        <f>'Expenditures 15-22'!D218</f>
        <v>1064</v>
      </c>
      <c r="D7075" s="2" t="str">
        <f t="shared" si="109"/>
        <v>Error?</v>
      </c>
    </row>
    <row r="7076" spans="1:4" x14ac:dyDescent="0.2">
      <c r="A7076">
        <v>7015</v>
      </c>
      <c r="B7076" s="138">
        <f>'Expenditures 15-22'!K218</f>
        <v>1064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29946</v>
      </c>
      <c r="D7246" s="2" t="str">
        <f t="shared" si="112"/>
        <v>Error?</v>
      </c>
    </row>
    <row r="7247" spans="1:4" x14ac:dyDescent="0.2">
      <c r="A7247">
        <f t="shared" si="113"/>
        <v>7186</v>
      </c>
      <c r="B7247" s="138">
        <f>'Expenditures 15-22'!E7</f>
        <v>2199</v>
      </c>
      <c r="D7247" s="2" t="str">
        <f t="shared" si="112"/>
        <v>Error?</v>
      </c>
    </row>
    <row r="7248" spans="1:4" x14ac:dyDescent="0.2">
      <c r="A7248">
        <f t="shared" si="113"/>
        <v>7187</v>
      </c>
      <c r="B7248" s="138">
        <f>'Expenditures 15-22'!F7</f>
        <v>3143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46335</v>
      </c>
      <c r="D7251" s="2" t="str">
        <f t="shared" si="112"/>
        <v>Error?</v>
      </c>
    </row>
    <row r="7252" spans="1:4" x14ac:dyDescent="0.2">
      <c r="A7252">
        <f t="shared" si="113"/>
        <v>7191</v>
      </c>
      <c r="B7252" s="138">
        <f>'Expenditures 15-22'!D9</f>
        <v>7284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48443</v>
      </c>
      <c r="D7624" s="2" t="str">
        <f t="shared" si="124"/>
        <v>Error?</v>
      </c>
      <c r="E7624" s="2" t="s">
        <v>19</v>
      </c>
    </row>
    <row r="7625" spans="1:5" x14ac:dyDescent="0.2">
      <c r="A7625">
        <f t="shared" si="123"/>
        <v>7564</v>
      </c>
      <c r="B7625" s="138">
        <f>'Cap Outlay Deprec 26'!I17</f>
        <v>4844.3</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300745.3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57364</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142029</v>
      </c>
      <c r="D7797" s="2" t="str">
        <f t="shared" si="127"/>
        <v>Error?</v>
      </c>
      <c r="E7797" s="4" t="s">
        <v>2017</v>
      </c>
    </row>
    <row r="7798" spans="1:5" x14ac:dyDescent="0.2">
      <c r="A7798">
        <v>7737</v>
      </c>
      <c r="B7798" s="138">
        <f>'Contracts Paid in CY 29'!F141</f>
        <v>63374</v>
      </c>
      <c r="D7798" s="2" t="str">
        <f t="shared" si="127"/>
        <v>Error?</v>
      </c>
      <c r="E7798" s="4" t="s">
        <v>2017</v>
      </c>
    </row>
    <row r="7799" spans="1:5" x14ac:dyDescent="0.2">
      <c r="A7799">
        <v>7738</v>
      </c>
      <c r="B7799" s="138">
        <f>'Contracts Paid in CY 29'!G141</f>
        <v>78655</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topLeftCell="A13" zoomScale="110" zoomScaleNormal="110" workbookViewId="0">
      <selection activeCell="L40" sqref="L40"/>
    </sheetView>
  </sheetViews>
  <sheetFormatPr defaultColWidth="9.140625" defaultRowHeight="12.75" x14ac:dyDescent="0.2"/>
  <cols>
    <col min="1" max="1" width="7.85546875" style="1181" customWidth="1"/>
    <col min="2" max="2" width="2.28515625" style="1177" customWidth="1"/>
    <col min="3" max="3" width="9.140625" style="1181"/>
    <col min="4" max="4" width="14.140625"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48" t="s">
        <v>1252</v>
      </c>
      <c r="B3" s="2448"/>
      <c r="C3" s="2448"/>
      <c r="D3" s="2448"/>
      <c r="E3" s="2448"/>
      <c r="F3" s="2448"/>
      <c r="G3" s="2448"/>
      <c r="H3" s="2448"/>
      <c r="I3" s="2448"/>
      <c r="J3" s="2448"/>
      <c r="K3" s="2448"/>
      <c r="L3" s="2448"/>
    </row>
    <row r="4" spans="1:29" ht="13.5" customHeight="1" x14ac:dyDescent="0.2">
      <c r="A4" s="2418"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36.6" customHeight="1" x14ac:dyDescent="0.2">
      <c r="A7" s="2440" t="str">
        <f>COVER!A17</f>
        <v>Marengo Union E Cons D 165</v>
      </c>
      <c r="B7" s="2441"/>
      <c r="C7" s="2441"/>
      <c r="D7" s="2442"/>
      <c r="E7" s="2443">
        <f>COVER!A13</f>
        <v>44063165003</v>
      </c>
      <c r="F7" s="2444"/>
      <c r="G7" s="2449" t="str">
        <f>COVER!T23</f>
        <v>066-005142</v>
      </c>
      <c r="H7" s="2450"/>
      <c r="I7" s="2450"/>
      <c r="J7" s="2450"/>
      <c r="K7" s="2450"/>
      <c r="L7" s="245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52"/>
      <c r="B9" s="2453"/>
      <c r="C9" s="2453"/>
      <c r="D9" s="2453"/>
      <c r="E9" s="2453"/>
      <c r="F9" s="2454"/>
      <c r="G9" s="2424" t="str">
        <f>COVER!T13</f>
        <v>EDER, CASELLA &amp; CO.</v>
      </c>
      <c r="H9" s="2455"/>
      <c r="I9" s="2455"/>
      <c r="J9" s="2455"/>
      <c r="K9" s="2455"/>
      <c r="L9" s="2456"/>
    </row>
    <row r="10" spans="1:29" ht="13.5" customHeight="1" x14ac:dyDescent="0.2">
      <c r="A10" s="2430">
        <f>COVER!A38</f>
        <v>0</v>
      </c>
      <c r="B10" s="2431"/>
      <c r="C10" s="2431"/>
      <c r="D10" s="2431"/>
      <c r="E10" s="2431"/>
      <c r="F10" s="2432"/>
      <c r="G10" s="2424" t="str">
        <f>COVER!T17</f>
        <v>5400 WEST ELM STREET, SUITE 203</v>
      </c>
      <c r="H10" s="2425"/>
      <c r="I10" s="2425"/>
      <c r="J10" s="2425"/>
      <c r="K10" s="2425"/>
      <c r="L10" s="2426"/>
    </row>
    <row r="11" spans="1:29" ht="13.5" customHeight="1" x14ac:dyDescent="0.2">
      <c r="A11" s="1185" t="s">
        <v>1599</v>
      </c>
      <c r="B11" s="1186"/>
      <c r="C11" s="1187"/>
      <c r="D11" s="1192"/>
      <c r="E11" s="1187"/>
      <c r="F11" s="1191"/>
      <c r="G11" s="1965" t="str">
        <f>COVER!T19</f>
        <v>MCHENRY</v>
      </c>
      <c r="H11" s="1966"/>
      <c r="I11" s="1966"/>
      <c r="J11" s="1966" t="s">
        <v>2131</v>
      </c>
      <c r="K11" s="1966">
        <v>60050</v>
      </c>
      <c r="L11" s="1967"/>
    </row>
    <row r="12" spans="1:29" ht="13.5" customHeight="1" x14ac:dyDescent="0.2">
      <c r="A12" s="2433" t="s">
        <v>1598</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1600</v>
      </c>
      <c r="H13" s="2420"/>
      <c r="I13" s="2436" t="str">
        <f>COVER!T25</f>
        <v>CPAS@EDERCASELLA.COM</v>
      </c>
      <c r="J13" s="2437"/>
      <c r="K13" s="2437"/>
      <c r="L13" s="2438"/>
    </row>
    <row r="14" spans="1:29" ht="13.5" customHeight="1" x14ac:dyDescent="0.2">
      <c r="A14" s="2424" t="str">
        <f>COVER!A19</f>
        <v>816 E. GRANT HIGHWAY</v>
      </c>
      <c r="B14" s="2425"/>
      <c r="C14" s="2425"/>
      <c r="D14" s="2425"/>
      <c r="E14" s="2425"/>
      <c r="F14" s="2426"/>
      <c r="G14" s="1196" t="s">
        <v>1247</v>
      </c>
      <c r="H14" s="1194"/>
      <c r="I14" s="1194"/>
      <c r="J14" s="1194"/>
      <c r="K14" s="1194"/>
      <c r="L14" s="1195"/>
    </row>
    <row r="15" spans="1:29" ht="13.5" customHeight="1" x14ac:dyDescent="0.2">
      <c r="A15" s="1964" t="str">
        <f>COVER!A21</f>
        <v>MARENGO</v>
      </c>
      <c r="B15" s="1966"/>
      <c r="C15" s="1968" t="s">
        <v>2138</v>
      </c>
      <c r="D15" s="1969">
        <v>60152</v>
      </c>
      <c r="E15" s="1966"/>
      <c r="F15" s="1967"/>
      <c r="G15" s="2421" t="str">
        <f>COVER!T15</f>
        <v>CHERYDEN JUERGENSEN</v>
      </c>
      <c r="H15" s="2422"/>
      <c r="I15" s="2422"/>
      <c r="J15" s="2422"/>
      <c r="K15" s="2422"/>
      <c r="L15" s="2423"/>
    </row>
    <row r="16" spans="1:29" ht="12.2" customHeight="1" x14ac:dyDescent="0.2">
      <c r="A16" s="1961"/>
      <c r="B16" s="1962"/>
      <c r="C16" s="1962"/>
      <c r="D16" s="1962"/>
      <c r="E16" s="1962"/>
      <c r="F16" s="1963"/>
      <c r="G16" s="2457"/>
      <c r="H16" s="2458"/>
      <c r="I16" s="2458"/>
      <c r="J16" s="2458"/>
      <c r="K16" s="2458"/>
      <c r="L16" s="2459"/>
    </row>
    <row r="17" spans="1:13" ht="12.2" customHeight="1" x14ac:dyDescent="0.2">
      <c r="A17" s="2460"/>
      <c r="B17" s="2461"/>
      <c r="C17" s="2461"/>
      <c r="D17" s="2461"/>
      <c r="E17" s="2461"/>
      <c r="F17" s="2462"/>
      <c r="G17" s="1196" t="s">
        <v>1246</v>
      </c>
      <c r="H17" s="1194"/>
      <c r="I17" s="1194"/>
      <c r="J17" s="1194"/>
      <c r="K17" s="1198" t="s">
        <v>1245</v>
      </c>
      <c r="L17" s="1191"/>
      <c r="M17" s="1184"/>
    </row>
    <row r="18" spans="1:13" ht="12.2" customHeight="1" x14ac:dyDescent="0.2">
      <c r="A18" s="2430"/>
      <c r="B18" s="2431"/>
      <c r="C18" s="2431"/>
      <c r="D18" s="2431"/>
      <c r="E18" s="2431"/>
      <c r="F18" s="2432"/>
      <c r="G18" s="2445" t="str">
        <f>COVER!T21</f>
        <v>815-344-1300</v>
      </c>
      <c r="H18" s="2446"/>
      <c r="I18" s="2446"/>
      <c r="J18" s="2446"/>
      <c r="K18" s="2445" t="str">
        <f>COVER!X21</f>
        <v>815-344-1320</v>
      </c>
      <c r="L18" s="244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2129</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2129</v>
      </c>
      <c r="C26" s="1203" t="s">
        <v>1801</v>
      </c>
    </row>
    <row r="27" spans="1:13" s="1199" customFormat="1" ht="9" customHeight="1" x14ac:dyDescent="0.2">
      <c r="B27" s="1204"/>
      <c r="C27" s="1203"/>
    </row>
    <row r="28" spans="1:13" s="1199" customFormat="1" ht="12.2" customHeight="1" x14ac:dyDescent="0.2">
      <c r="A28" s="1206"/>
      <c r="B28" s="1202" t="s">
        <v>2129</v>
      </c>
      <c r="C28" s="1203" t="s">
        <v>1802</v>
      </c>
    </row>
    <row r="29" spans="1:13" s="1199" customFormat="1" ht="9" customHeight="1" x14ac:dyDescent="0.2">
      <c r="A29" s="1206"/>
      <c r="B29" s="1204"/>
      <c r="C29" s="1203"/>
    </row>
    <row r="30" spans="1:13" s="1199" customFormat="1" ht="12.2" customHeight="1" x14ac:dyDescent="0.2">
      <c r="B30" s="1202" t="s">
        <v>2129</v>
      </c>
      <c r="C30" s="1203" t="s">
        <v>1643</v>
      </c>
      <c r="D30" s="1197"/>
      <c r="E30" s="1197"/>
    </row>
    <row r="31" spans="1:13" s="1199" customFormat="1" ht="9" customHeight="1" x14ac:dyDescent="0.2">
      <c r="B31" s="1204"/>
      <c r="C31" s="1203"/>
      <c r="D31" s="1197"/>
      <c r="E31" s="1197"/>
    </row>
    <row r="32" spans="1:13" s="1199" customFormat="1" ht="12.2" customHeight="1" x14ac:dyDescent="0.2">
      <c r="B32" s="1202" t="s">
        <v>2129</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2129</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2129</v>
      </c>
      <c r="C38" s="1203" t="s">
        <v>1647</v>
      </c>
    </row>
    <row r="39" spans="1:8" ht="9" customHeight="1" x14ac:dyDescent="0.2">
      <c r="B39" s="1204"/>
      <c r="C39" s="1207"/>
    </row>
    <row r="40" spans="1:8" s="1199" customFormat="1" ht="13.5" customHeight="1" x14ac:dyDescent="0.2">
      <c r="B40" s="1202" t="s">
        <v>2129</v>
      </c>
      <c r="C40" s="1203" t="s">
        <v>1648</v>
      </c>
    </row>
    <row r="41" spans="1:8" ht="9" customHeight="1" x14ac:dyDescent="0.2">
      <c r="A41" s="1208"/>
      <c r="B41" s="1204"/>
      <c r="C41" s="1207"/>
    </row>
    <row r="42" spans="1:8" s="1199" customFormat="1" ht="13.5" customHeight="1" x14ac:dyDescent="0.2">
      <c r="B42" s="1202" t="s">
        <v>2129</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2">
    <mergeCell ref="A18:F18"/>
    <mergeCell ref="G18:J18"/>
    <mergeCell ref="K18:L18"/>
    <mergeCell ref="A3:L3"/>
    <mergeCell ref="G7:L7"/>
    <mergeCell ref="A9:F9"/>
    <mergeCell ref="G9:L9"/>
    <mergeCell ref="G16:L16"/>
    <mergeCell ref="A17:F17"/>
    <mergeCell ref="A2:L2"/>
    <mergeCell ref="G13:H13"/>
    <mergeCell ref="G15:L15"/>
    <mergeCell ref="A13:F13"/>
    <mergeCell ref="A14:F14"/>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19" zoomScale="125" zoomScaleNormal="125" workbookViewId="0">
      <selection activeCell="D128" sqref="D12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3" t="str">
        <f>'Single Audit Cover'!A7</f>
        <v>Marengo Union E Cons D 165</v>
      </c>
      <c r="B1" s="2439"/>
      <c r="C1" s="2439"/>
      <c r="D1" s="2439"/>
    </row>
    <row r="2" spans="1:11" s="1215" customFormat="1" ht="12.75" x14ac:dyDescent="0.2">
      <c r="A2" s="2464">
        <f>'Single Audit Cover'!E7</f>
        <v>44063165003</v>
      </c>
      <c r="B2" s="2465"/>
      <c r="C2" s="2465"/>
      <c r="D2" s="2465"/>
    </row>
    <row r="3" spans="1:11" s="1215" customFormat="1" ht="12.75" x14ac:dyDescent="0.2">
      <c r="A3" s="246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t="s">
        <v>2129</v>
      </c>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2129</v>
      </c>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2129</v>
      </c>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2129</v>
      </c>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2129</v>
      </c>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2129</v>
      </c>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2129</v>
      </c>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t="s">
        <v>2129</v>
      </c>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t="s">
        <v>2129</v>
      </c>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t="s">
        <v>2139</v>
      </c>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t="s">
        <v>2139</v>
      </c>
      <c r="C42" s="1232">
        <v>11</v>
      </c>
      <c r="D42" s="1243" t="s">
        <v>1655</v>
      </c>
      <c r="E42" s="312"/>
    </row>
    <row r="43" spans="1:5" ht="3" customHeight="1" x14ac:dyDescent="0.2">
      <c r="A43" s="1222"/>
      <c r="B43" s="1239"/>
      <c r="C43" s="1240"/>
      <c r="D43" s="1221"/>
    </row>
    <row r="44" spans="1:5" x14ac:dyDescent="0.2">
      <c r="A44" s="1222"/>
      <c r="B44" s="1225" t="s">
        <v>2129</v>
      </c>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t="s">
        <v>2129</v>
      </c>
      <c r="C48" s="1226">
        <f>C44+1</f>
        <v>13</v>
      </c>
      <c r="D48" s="1237" t="s">
        <v>1656</v>
      </c>
    </row>
    <row r="49" spans="1:4" ht="3" customHeight="1" x14ac:dyDescent="0.2">
      <c r="A49" s="1222"/>
      <c r="B49" s="1229"/>
      <c r="C49" s="1226"/>
      <c r="D49" s="1237"/>
    </row>
    <row r="50" spans="1:4" x14ac:dyDescent="0.2">
      <c r="A50" s="1222"/>
      <c r="B50" s="1225" t="s">
        <v>2129</v>
      </c>
      <c r="C50" s="1226">
        <f>C48+1</f>
        <v>14</v>
      </c>
      <c r="D50" s="1237" t="s">
        <v>1274</v>
      </c>
    </row>
    <row r="51" spans="1:4" ht="3" customHeight="1" x14ac:dyDescent="0.2">
      <c r="A51" s="1222"/>
      <c r="B51" s="1229"/>
      <c r="C51" s="1226"/>
      <c r="D51" s="1237"/>
    </row>
    <row r="52" spans="1:4" x14ac:dyDescent="0.2">
      <c r="A52" s="1222"/>
      <c r="B52" s="1225" t="s">
        <v>2129</v>
      </c>
      <c r="C52" s="1226">
        <f>C50+1</f>
        <v>15</v>
      </c>
      <c r="D52" s="1237" t="s">
        <v>1273</v>
      </c>
    </row>
    <row r="53" spans="1:4" ht="3" customHeight="1" x14ac:dyDescent="0.2">
      <c r="A53" s="1222"/>
      <c r="B53" s="1229"/>
      <c r="C53" s="1226"/>
      <c r="D53" s="1237"/>
    </row>
    <row r="54" spans="1:4" x14ac:dyDescent="0.2">
      <c r="A54" s="1222"/>
      <c r="B54" s="1225" t="s">
        <v>2139</v>
      </c>
      <c r="C54" s="1226">
        <f>C52+1</f>
        <v>16</v>
      </c>
      <c r="D54" s="1237" t="s">
        <v>1272</v>
      </c>
    </row>
    <row r="55" spans="1:4" ht="3" customHeight="1" x14ac:dyDescent="0.2">
      <c r="A55" s="1222"/>
      <c r="B55" s="1229"/>
      <c r="C55" s="1226"/>
      <c r="D55" s="1237"/>
    </row>
    <row r="56" spans="1:4" x14ac:dyDescent="0.2">
      <c r="A56" s="1222"/>
      <c r="B56" s="1225" t="s">
        <v>2129</v>
      </c>
      <c r="C56" s="1226">
        <f>C54+1</f>
        <v>17</v>
      </c>
      <c r="D56" s="1221" t="s">
        <v>1811</v>
      </c>
    </row>
    <row r="57" spans="1:4" ht="10.5" customHeight="1" x14ac:dyDescent="0.2">
      <c r="A57" s="1222"/>
      <c r="D57" s="1237" t="s">
        <v>1812</v>
      </c>
    </row>
    <row r="58" spans="1:4" x14ac:dyDescent="0.2">
      <c r="A58" s="1222"/>
      <c r="C58" s="1244" t="s">
        <v>2129</v>
      </c>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t="s">
        <v>2139</v>
      </c>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t="s">
        <v>2129</v>
      </c>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t="s">
        <v>2139</v>
      </c>
      <c r="D69" s="1237" t="s">
        <v>1816</v>
      </c>
    </row>
    <row r="70" spans="1:4" x14ac:dyDescent="0.2">
      <c r="A70" s="1222"/>
      <c r="D70" s="1246" t="s">
        <v>1268</v>
      </c>
    </row>
    <row r="71" spans="1:4" ht="3" customHeight="1" x14ac:dyDescent="0.2">
      <c r="A71" s="1222"/>
      <c r="D71" s="1221"/>
    </row>
    <row r="72" spans="1:4" x14ac:dyDescent="0.2">
      <c r="A72" s="1222"/>
      <c r="B72" s="1225" t="s">
        <v>2129</v>
      </c>
      <c r="C72" s="1226">
        <f>C56+1</f>
        <v>18</v>
      </c>
      <c r="D72" s="1247" t="s">
        <v>1817</v>
      </c>
    </row>
    <row r="73" spans="1:4" ht="3" customHeight="1" x14ac:dyDescent="0.2">
      <c r="A73" s="1222"/>
      <c r="B73" s="1229"/>
      <c r="C73" s="1226"/>
      <c r="D73" s="1247"/>
    </row>
    <row r="74" spans="1:4" x14ac:dyDescent="0.2">
      <c r="A74" s="1222"/>
      <c r="B74" s="1225" t="s">
        <v>2139</v>
      </c>
      <c r="C74" s="1226">
        <f>C72+1</f>
        <v>19</v>
      </c>
      <c r="D74" s="1237" t="s">
        <v>1267</v>
      </c>
    </row>
    <row r="75" spans="1:4" ht="3" customHeight="1" x14ac:dyDescent="0.2">
      <c r="A75" s="1222"/>
      <c r="B75" s="1229"/>
      <c r="C75" s="1226"/>
      <c r="D75" s="1237"/>
    </row>
    <row r="76" spans="1:4" x14ac:dyDescent="0.2">
      <c r="A76" s="1222"/>
      <c r="B76" s="1225" t="s">
        <v>2129</v>
      </c>
      <c r="C76" s="1226">
        <f>C74+1</f>
        <v>20</v>
      </c>
      <c r="D76" s="1248" t="s">
        <v>1818</v>
      </c>
    </row>
    <row r="77" spans="1:4" ht="3" customHeight="1" x14ac:dyDescent="0.2">
      <c r="A77" s="1222"/>
      <c r="B77" s="1229"/>
      <c r="C77" s="1226"/>
      <c r="D77" s="1248"/>
    </row>
    <row r="78" spans="1:4" x14ac:dyDescent="0.2">
      <c r="A78" s="1222"/>
      <c r="B78" s="1225" t="s">
        <v>2129</v>
      </c>
      <c r="C78" s="1226">
        <f>C76+1</f>
        <v>21</v>
      </c>
      <c r="D78" s="1221" t="s">
        <v>1819</v>
      </c>
    </row>
    <row r="79" spans="1:4" ht="3" customHeight="1" x14ac:dyDescent="0.2">
      <c r="A79" s="1222"/>
      <c r="B79" s="1229"/>
      <c r="C79" s="1226"/>
      <c r="D79" s="1221"/>
    </row>
    <row r="80" spans="1:4" x14ac:dyDescent="0.2">
      <c r="A80" s="1222"/>
      <c r="B80" s="1225" t="s">
        <v>2129</v>
      </c>
      <c r="C80" s="1226">
        <f>C78+1</f>
        <v>22</v>
      </c>
      <c r="D80" s="1249" t="s">
        <v>1820</v>
      </c>
    </row>
    <row r="81" spans="1:4" ht="3" customHeight="1" x14ac:dyDescent="0.2">
      <c r="A81" s="1222"/>
      <c r="B81" s="1229"/>
      <c r="C81" s="1226"/>
      <c r="D81" s="1249"/>
    </row>
    <row r="82" spans="1:4" x14ac:dyDescent="0.2">
      <c r="A82" s="1222"/>
      <c r="B82" s="1225" t="s">
        <v>2129</v>
      </c>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t="s">
        <v>2129</v>
      </c>
      <c r="C85" s="1226">
        <f>C82+1</f>
        <v>24</v>
      </c>
      <c r="D85" s="1237" t="s">
        <v>1265</v>
      </c>
    </row>
    <row r="86" spans="1:4" ht="3" customHeight="1" x14ac:dyDescent="0.2">
      <c r="A86" s="1222"/>
      <c r="B86" s="1229"/>
      <c r="C86" s="1226"/>
      <c r="D86" s="1237"/>
    </row>
    <row r="87" spans="1:4" x14ac:dyDescent="0.2">
      <c r="A87" s="1222"/>
      <c r="B87" s="1225" t="s">
        <v>2129</v>
      </c>
      <c r="C87" s="1226">
        <f>C85+1</f>
        <v>25</v>
      </c>
      <c r="D87" s="1237" t="s">
        <v>1264</v>
      </c>
    </row>
    <row r="88" spans="1:4" ht="3" customHeight="1" x14ac:dyDescent="0.2">
      <c r="A88" s="1222"/>
      <c r="B88" s="1229"/>
      <c r="C88" s="1226"/>
      <c r="D88" s="1237"/>
    </row>
    <row r="89" spans="1:4" x14ac:dyDescent="0.2">
      <c r="A89" s="1222"/>
      <c r="B89" s="1225" t="s">
        <v>2129</v>
      </c>
      <c r="C89" s="1226">
        <f>C87+1</f>
        <v>26</v>
      </c>
      <c r="D89" s="1237" t="s">
        <v>1263</v>
      </c>
    </row>
    <row r="90" spans="1:4" ht="3" customHeight="1" x14ac:dyDescent="0.2">
      <c r="A90" s="1222"/>
      <c r="B90" s="1229"/>
      <c r="C90" s="1226"/>
      <c r="D90" s="1237"/>
    </row>
    <row r="91" spans="1:4" x14ac:dyDescent="0.2">
      <c r="A91" s="1222"/>
      <c r="B91" s="1225" t="s">
        <v>2139</v>
      </c>
      <c r="C91" s="1226">
        <f>C89+1</f>
        <v>27</v>
      </c>
      <c r="D91" s="1237" t="s">
        <v>1822</v>
      </c>
    </row>
    <row r="92" spans="1:4" x14ac:dyDescent="0.2">
      <c r="A92" s="1222"/>
      <c r="B92" s="1250"/>
      <c r="C92" s="1244" t="s">
        <v>2139</v>
      </c>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t="s">
        <v>2129</v>
      </c>
      <c r="C96" s="1226">
        <f>C91+1</f>
        <v>28</v>
      </c>
      <c r="D96" s="1237" t="s">
        <v>1823</v>
      </c>
    </row>
    <row r="97" spans="1:4" ht="3" customHeight="1" x14ac:dyDescent="0.2">
      <c r="A97" s="1222"/>
      <c r="B97" s="1229"/>
      <c r="C97" s="1226"/>
      <c r="D97" s="1237"/>
    </row>
    <row r="98" spans="1:4" x14ac:dyDescent="0.2">
      <c r="A98" s="1222"/>
      <c r="B98" s="1225" t="s">
        <v>2129</v>
      </c>
      <c r="C98" s="1226">
        <f>C96+1</f>
        <v>29</v>
      </c>
      <c r="D98" s="1251" t="s">
        <v>1824</v>
      </c>
    </row>
    <row r="99" spans="1:4" ht="3" customHeight="1" x14ac:dyDescent="0.2">
      <c r="A99" s="1222"/>
      <c r="B99" s="1229"/>
      <c r="C99" s="1226"/>
      <c r="D99" s="1251"/>
    </row>
    <row r="100" spans="1:4" x14ac:dyDescent="0.2">
      <c r="A100" s="1222"/>
      <c r="B100" s="1225" t="s">
        <v>2129</v>
      </c>
      <c r="C100" s="1226">
        <f>C98+1</f>
        <v>30</v>
      </c>
      <c r="D100" s="1237" t="s">
        <v>1825</v>
      </c>
    </row>
    <row r="101" spans="1:4" ht="3" customHeight="1" x14ac:dyDescent="0.2">
      <c r="A101" s="1222"/>
      <c r="B101" s="1229"/>
      <c r="C101" s="1226"/>
      <c r="D101" s="1252"/>
    </row>
    <row r="102" spans="1:4" x14ac:dyDescent="0.2">
      <c r="A102" s="1222"/>
      <c r="B102" s="1225" t="s">
        <v>2129</v>
      </c>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t="s">
        <v>2139</v>
      </c>
      <c r="C106" s="1226">
        <f>C102+1</f>
        <v>32</v>
      </c>
      <c r="D106" s="1221" t="s">
        <v>1661</v>
      </c>
    </row>
    <row r="107" spans="1:4" ht="3" customHeight="1" x14ac:dyDescent="0.2">
      <c r="A107" s="1222"/>
      <c r="B107" s="1229"/>
      <c r="C107" s="1226"/>
      <c r="D107" s="1221"/>
    </row>
    <row r="108" spans="1:4" x14ac:dyDescent="0.2">
      <c r="A108" s="1222"/>
      <c r="B108" s="1225" t="s">
        <v>2139</v>
      </c>
      <c r="C108" s="1226">
        <v>33</v>
      </c>
      <c r="D108" s="1221" t="s">
        <v>1826</v>
      </c>
    </row>
    <row r="109" spans="1:4" ht="3" customHeight="1" x14ac:dyDescent="0.2">
      <c r="A109" s="1222"/>
      <c r="B109" s="1229"/>
      <c r="C109" s="1226"/>
      <c r="D109" s="1221"/>
    </row>
    <row r="110" spans="1:4" x14ac:dyDescent="0.2">
      <c r="A110" s="1222"/>
      <c r="B110" s="1225" t="s">
        <v>2139</v>
      </c>
      <c r="C110" s="1226">
        <f>C108+1</f>
        <v>34</v>
      </c>
      <c r="D110" s="1221" t="s">
        <v>1260</v>
      </c>
    </row>
    <row r="111" spans="1:4" ht="3" customHeight="1" x14ac:dyDescent="0.2">
      <c r="A111" s="1222"/>
      <c r="B111" s="1229"/>
      <c r="C111" s="1226"/>
      <c r="D111" s="1221"/>
    </row>
    <row r="112" spans="1:4" x14ac:dyDescent="0.2">
      <c r="A112" s="1222"/>
      <c r="B112" s="1225" t="s">
        <v>2139</v>
      </c>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t="s">
        <v>2139</v>
      </c>
      <c r="C115" s="1226">
        <f>C112+1</f>
        <v>36</v>
      </c>
      <c r="D115" s="1237" t="s">
        <v>1257</v>
      </c>
    </row>
    <row r="116" spans="1:4" ht="3" customHeight="1" x14ac:dyDescent="0.2">
      <c r="A116" s="1222"/>
      <c r="B116" s="1229"/>
      <c r="C116" s="1226"/>
      <c r="D116" s="1237"/>
    </row>
    <row r="117" spans="1:4" x14ac:dyDescent="0.2">
      <c r="A117" s="1222"/>
      <c r="B117" s="1225" t="s">
        <v>2139</v>
      </c>
      <c r="C117" s="1226">
        <f>C115+1</f>
        <v>37</v>
      </c>
      <c r="D117" s="1237" t="s">
        <v>1827</v>
      </c>
    </row>
    <row r="118" spans="1:4" ht="3" customHeight="1" x14ac:dyDescent="0.2">
      <c r="A118" s="1222"/>
      <c r="B118" s="1229"/>
      <c r="C118" s="1226"/>
      <c r="D118" s="1237"/>
    </row>
    <row r="119" spans="1:4" x14ac:dyDescent="0.2">
      <c r="A119" s="1222"/>
      <c r="B119" s="1225" t="s">
        <v>2139</v>
      </c>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t="s">
        <v>2139</v>
      </c>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49"/>
  <sheetViews>
    <sheetView showGridLines="0" zoomScale="110" zoomScaleNormal="110" zoomScaleSheetLayoutView="100" workbookViewId="0">
      <selection activeCell="G34" sqref="G34"/>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7" t="str">
        <f>'Single Audit Cover'!A7</f>
        <v>Marengo Union E Cons D 165</v>
      </c>
      <c r="B1" s="2467"/>
      <c r="C1" s="2467"/>
      <c r="D1" s="2467"/>
      <c r="E1" s="2467"/>
    </row>
    <row r="2" spans="1:5" x14ac:dyDescent="0.2">
      <c r="A2" s="2468">
        <f>'Single Audit Cover'!E7</f>
        <v>44063165003</v>
      </c>
      <c r="B2" s="2468"/>
      <c r="C2" s="2468"/>
      <c r="D2" s="2468"/>
      <c r="E2" s="2468"/>
    </row>
    <row r="3" spans="1:5" ht="4.5" customHeight="1" x14ac:dyDescent="0.2"/>
    <row r="4" spans="1:5" x14ac:dyDescent="0.2">
      <c r="A4" s="2467" t="s">
        <v>1307</v>
      </c>
      <c r="B4" s="2467"/>
      <c r="C4" s="2467"/>
      <c r="D4" s="2467"/>
      <c r="E4" s="2467"/>
    </row>
    <row r="5" spans="1:5" x14ac:dyDescent="0.2">
      <c r="A5" s="2470" t="str">
        <f>'Single Audit Cover'!A4</f>
        <v>Year Ending June 30, 2018</v>
      </c>
      <c r="B5" s="2470"/>
      <c r="C5" s="2470"/>
      <c r="D5" s="2470"/>
      <c r="E5" s="2470"/>
    </row>
    <row r="6" spans="1:5" x14ac:dyDescent="0.2">
      <c r="A6" s="2467" t="s">
        <v>1306</v>
      </c>
      <c r="B6" s="2467"/>
      <c r="C6" s="2467"/>
      <c r="D6" s="2467"/>
      <c r="E6" s="2467"/>
    </row>
    <row r="8" spans="1:5" x14ac:dyDescent="0.2">
      <c r="A8" s="1260" t="s">
        <v>1305</v>
      </c>
    </row>
    <row r="10" spans="1:5" x14ac:dyDescent="0.2">
      <c r="A10" s="1261" t="s">
        <v>1304</v>
      </c>
      <c r="B10" s="1262" t="s">
        <v>1303</v>
      </c>
      <c r="C10" s="1262"/>
      <c r="D10" s="1263">
        <f>SUM('Acct Summary 7-8'!C7:K7)</f>
        <v>761684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37425</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-52090</v>
      </c>
    </row>
    <row r="19" spans="1:4" ht="13.5" thickBot="1" x14ac:dyDescent="0.25">
      <c r="A19" s="1265" t="s">
        <v>1297</v>
      </c>
      <c r="D19" s="1266">
        <f>SUM(D10:D17)</f>
        <v>747019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9"/>
      <c r="B24" s="2469"/>
      <c r="D24" s="1268"/>
    </row>
    <row r="25" spans="1:4" x14ac:dyDescent="0.2">
      <c r="A25" s="2466"/>
      <c r="B25" s="2466"/>
      <c r="D25" s="1268"/>
    </row>
    <row r="26" spans="1:4" x14ac:dyDescent="0.2">
      <c r="A26" s="2466"/>
      <c r="B26" s="2466"/>
      <c r="D26" s="1268"/>
    </row>
    <row r="27" spans="1:4" x14ac:dyDescent="0.2">
      <c r="A27" s="2466"/>
      <c r="B27" s="2466"/>
      <c r="D27" s="1268"/>
    </row>
    <row r="28" spans="1:4" x14ac:dyDescent="0.2">
      <c r="A28" s="2466"/>
      <c r="B28" s="2466"/>
      <c r="D28" s="1268"/>
    </row>
    <row r="29" spans="1:4" x14ac:dyDescent="0.2">
      <c r="A29" s="2466"/>
      <c r="B29" s="2466"/>
      <c r="D29" s="1268"/>
    </row>
    <row r="30" spans="1:4" x14ac:dyDescent="0.2">
      <c r="A30" s="2466"/>
      <c r="B30" s="2466"/>
      <c r="D30" s="1268"/>
    </row>
    <row r="32" spans="1:4" x14ac:dyDescent="0.2">
      <c r="A32" s="1260" t="s">
        <v>1295</v>
      </c>
      <c r="D32" s="1263">
        <f>SUM(D19:D30)</f>
        <v>747019</v>
      </c>
    </row>
    <row r="33" spans="1:4" x14ac:dyDescent="0.2">
      <c r="D33" s="1269"/>
    </row>
    <row r="34" spans="1:4" x14ac:dyDescent="0.2">
      <c r="A34" s="317" t="s">
        <v>1294</v>
      </c>
    </row>
    <row r="35" spans="1:4" x14ac:dyDescent="0.2">
      <c r="A35" s="317" t="s">
        <v>1293</v>
      </c>
      <c r="B35" s="1258" t="s">
        <v>1292</v>
      </c>
      <c r="D35" s="1270">
        <f>' SEFA (3)'!F18</f>
        <v>747995</v>
      </c>
    </row>
    <row r="37" spans="1:4" x14ac:dyDescent="0.2">
      <c r="A37" s="1260" t="s">
        <v>1291</v>
      </c>
    </row>
    <row r="39" spans="1:4" ht="13.35" customHeight="1" x14ac:dyDescent="0.2">
      <c r="A39" s="1267" t="s">
        <v>1290</v>
      </c>
    </row>
    <row r="40" spans="1:4" x14ac:dyDescent="0.2">
      <c r="A40" s="2466" t="s">
        <v>2110</v>
      </c>
      <c r="B40" s="2466"/>
      <c r="D40" s="1268">
        <v>-261</v>
      </c>
    </row>
    <row r="41" spans="1:4" x14ac:dyDescent="0.2">
      <c r="A41" s="2466" t="s">
        <v>2111</v>
      </c>
      <c r="B41" s="2466"/>
      <c r="D41" s="1271">
        <v>-715</v>
      </c>
    </row>
    <row r="42" spans="1:4" x14ac:dyDescent="0.2">
      <c r="A42" s="2466"/>
      <c r="B42" s="2466"/>
      <c r="D42" s="1271"/>
    </row>
    <row r="43" spans="1:4" x14ac:dyDescent="0.2">
      <c r="A43" s="2466"/>
      <c r="B43" s="2466"/>
      <c r="D43" s="1271"/>
    </row>
    <row r="44" spans="1:4" x14ac:dyDescent="0.2">
      <c r="A44" s="2466"/>
      <c r="B44" s="2466"/>
      <c r="D44" s="1271"/>
    </row>
    <row r="45" spans="1:4" x14ac:dyDescent="0.2">
      <c r="A45" s="2466"/>
      <c r="B45" s="2466"/>
      <c r="D45" s="1271"/>
    </row>
    <row r="47" spans="1:4" x14ac:dyDescent="0.2">
      <c r="B47" s="1272" t="s">
        <v>1289</v>
      </c>
      <c r="C47" s="1272"/>
      <c r="D47" s="1273">
        <f>SUM(D35:D45)</f>
        <v>747019</v>
      </c>
    </row>
    <row r="49" spans="2:4" x14ac:dyDescent="0.2">
      <c r="B49" s="1272" t="s">
        <v>1288</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13" zoomScale="120" zoomScaleNormal="120" workbookViewId="0">
      <selection activeCell="E39" sqref="E3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80" t="str">
        <f>'Single Audit Cover'!A7</f>
        <v>Marengo Union E Cons D 165</v>
      </c>
      <c r="B1" s="2480"/>
      <c r="C1" s="2480"/>
      <c r="D1" s="2480"/>
      <c r="E1" s="2480"/>
      <c r="F1" s="2480"/>
    </row>
    <row r="2" spans="1:7" ht="13.5" customHeight="1" x14ac:dyDescent="0.2">
      <c r="A2" s="2481">
        <f>'Single Audit Cover'!E7</f>
        <v>44063165003</v>
      </c>
      <c r="B2" s="2481"/>
      <c r="C2" s="2481"/>
      <c r="D2" s="2481"/>
      <c r="E2" s="2481"/>
      <c r="F2" s="2481"/>
      <c r="G2" s="1275"/>
    </row>
    <row r="3" spans="1:7" ht="15.75" customHeight="1" x14ac:dyDescent="0.2">
      <c r="A3" s="2482" t="s">
        <v>1333</v>
      </c>
      <c r="B3" s="2482"/>
      <c r="C3" s="2482"/>
      <c r="D3" s="2482"/>
      <c r="E3" s="2482"/>
      <c r="F3" s="2482"/>
    </row>
    <row r="4" spans="1:7" ht="13.5" customHeight="1" x14ac:dyDescent="0.2">
      <c r="A4" s="2483" t="str">
        <f>'Single Audit Cover'!A4</f>
        <v>Year Ending June 30, 2018</v>
      </c>
      <c r="B4" s="2483"/>
      <c r="C4" s="2483"/>
      <c r="D4" s="2483"/>
      <c r="E4" s="2483"/>
      <c r="F4" s="2483"/>
    </row>
    <row r="5" spans="1:7" ht="8.25" customHeight="1" x14ac:dyDescent="0.2">
      <c r="C5" s="317"/>
      <c r="D5" s="317"/>
    </row>
    <row r="6" spans="1:7" ht="13.5" customHeight="1" x14ac:dyDescent="0.2">
      <c r="A6" s="1276" t="s">
        <v>1831</v>
      </c>
      <c r="C6" s="317"/>
      <c r="D6" s="317"/>
    </row>
    <row r="7" spans="1:7" ht="60.95" customHeight="1" x14ac:dyDescent="0.2">
      <c r="A7" s="2479" t="s">
        <v>2140</v>
      </c>
      <c r="B7" s="2479"/>
      <c r="C7" s="2479"/>
      <c r="D7" s="2479"/>
      <c r="E7" s="2479"/>
      <c r="F7" s="247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2129</v>
      </c>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25.9" customHeight="1" x14ac:dyDescent="0.2">
      <c r="A13" s="2479" t="s">
        <v>2141</v>
      </c>
      <c r="B13" s="2479"/>
      <c r="C13" s="2479"/>
      <c r="D13" s="2479"/>
      <c r="E13" s="2479"/>
      <c r="F13" s="2479"/>
    </row>
    <row r="14" spans="1:7" ht="9.75" customHeight="1" x14ac:dyDescent="0.2">
      <c r="C14" s="1260"/>
      <c r="D14" s="1260"/>
    </row>
    <row r="15" spans="1:7" ht="13.5" customHeight="1" x14ac:dyDescent="0.2">
      <c r="C15" s="1871" t="s">
        <v>1332</v>
      </c>
      <c r="D15" s="2477" t="s">
        <v>1331</v>
      </c>
      <c r="E15" s="2477"/>
      <c r="F15" s="2477"/>
    </row>
    <row r="16" spans="1:7" ht="13.5" customHeight="1" x14ac:dyDescent="0.2">
      <c r="A16" s="1282"/>
      <c r="B16" s="1276" t="s">
        <v>1330</v>
      </c>
      <c r="C16" s="1871" t="s">
        <v>1329</v>
      </c>
      <c r="D16" s="2478" t="s">
        <v>1670</v>
      </c>
      <c r="E16" s="2478"/>
      <c r="F16" s="2478"/>
    </row>
    <row r="17" spans="1:6" ht="20.45" customHeight="1" x14ac:dyDescent="0.2">
      <c r="A17" s="1283"/>
      <c r="B17" s="1284" t="s">
        <v>2142</v>
      </c>
      <c r="C17" s="1285"/>
      <c r="D17" s="2472"/>
      <c r="E17" s="2472"/>
      <c r="F17" s="2472"/>
    </row>
    <row r="18" spans="1:6" ht="20.65" customHeight="1" x14ac:dyDescent="0.2">
      <c r="A18" s="1283"/>
      <c r="B18" s="1284"/>
      <c r="C18" s="1285"/>
      <c r="D18" s="2472"/>
      <c r="E18" s="2472"/>
      <c r="F18" s="2472"/>
    </row>
    <row r="19" spans="1:6" ht="20.65" customHeight="1" x14ac:dyDescent="0.2">
      <c r="A19" s="1283"/>
      <c r="B19" s="1284"/>
      <c r="C19" s="1285"/>
      <c r="D19" s="2472"/>
      <c r="E19" s="2472"/>
      <c r="F19" s="2472"/>
    </row>
    <row r="20" spans="1:6" ht="20.65" customHeight="1" x14ac:dyDescent="0.2">
      <c r="A20" s="1283"/>
      <c r="B20" s="1284"/>
      <c r="C20" s="1285"/>
      <c r="D20" s="2472"/>
      <c r="E20" s="2472"/>
      <c r="F20" s="2472"/>
    </row>
    <row r="21" spans="1:6" ht="20.65" customHeight="1" x14ac:dyDescent="0.2">
      <c r="A21" s="1283"/>
      <c r="B21" s="1284"/>
      <c r="C21" s="1285"/>
      <c r="D21" s="2472"/>
      <c r="E21" s="2472"/>
      <c r="F21" s="2472"/>
    </row>
    <row r="22" spans="1:6" ht="20.65" customHeight="1" x14ac:dyDescent="0.2">
      <c r="A22" s="1283"/>
      <c r="B22" s="1284"/>
      <c r="C22" s="1285"/>
      <c r="D22" s="2472"/>
      <c r="E22" s="2472"/>
      <c r="F22" s="2472"/>
    </row>
    <row r="23" spans="1:6" ht="20.65" customHeight="1" x14ac:dyDescent="0.2">
      <c r="A23" s="1283"/>
      <c r="B23" s="1284"/>
      <c r="C23" s="1285"/>
      <c r="D23" s="2472"/>
      <c r="E23" s="2472"/>
      <c r="F23" s="2472"/>
    </row>
    <row r="24" spans="1:6" ht="20.65" customHeight="1" x14ac:dyDescent="0.2">
      <c r="A24" s="1283"/>
      <c r="B24" s="1284"/>
      <c r="C24" s="1285"/>
      <c r="D24" s="2472"/>
      <c r="E24" s="2472"/>
      <c r="F24" s="2472"/>
    </row>
    <row r="25" spans="1:6" ht="20.65" customHeight="1" x14ac:dyDescent="0.2">
      <c r="A25" s="1283"/>
      <c r="B25" s="1284"/>
      <c r="C25" s="1285"/>
      <c r="D25" s="2472"/>
      <c r="E25" s="2472"/>
      <c r="F25" s="2472"/>
    </row>
    <row r="26" spans="1:6" ht="20.65" customHeight="1" x14ac:dyDescent="0.2">
      <c r="A26" s="1283"/>
      <c r="B26" s="1284"/>
      <c r="C26" s="1285"/>
      <c r="D26" s="2472"/>
      <c r="E26" s="2472"/>
      <c r="F26" s="2472"/>
    </row>
    <row r="27" spans="1:6" ht="20.65" customHeight="1" x14ac:dyDescent="0.2">
      <c r="A27" s="1283"/>
      <c r="B27" s="1284"/>
      <c r="C27" s="1285"/>
      <c r="D27" s="2472"/>
      <c r="E27" s="2472"/>
      <c r="F27" s="2472"/>
    </row>
    <row r="28" spans="1:6" ht="20.65" customHeight="1" x14ac:dyDescent="0.2">
      <c r="A28" s="1283"/>
      <c r="B28" s="1284"/>
      <c r="C28" s="1285"/>
      <c r="D28" s="2472"/>
      <c r="E28" s="2472"/>
      <c r="F28" s="2472"/>
    </row>
    <row r="29" spans="1:6" ht="20.65" customHeight="1" x14ac:dyDescent="0.2">
      <c r="A29" s="1283"/>
      <c r="B29" s="1284"/>
      <c r="C29" s="1285"/>
      <c r="D29" s="2472"/>
      <c r="E29" s="2472"/>
      <c r="F29" s="2472"/>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3" t="s">
        <v>2143</v>
      </c>
      <c r="B32" s="2473"/>
      <c r="C32" s="2473"/>
      <c r="D32" s="2473"/>
      <c r="E32" s="2473"/>
      <c r="F32" s="2473"/>
    </row>
    <row r="33" spans="1:6" ht="13.5" customHeight="1" x14ac:dyDescent="0.2">
      <c r="A33" s="328" t="s">
        <v>1509</v>
      </c>
      <c r="B33" s="328"/>
      <c r="C33" s="1288">
        <v>37425</v>
      </c>
      <c r="D33" s="1928"/>
      <c r="E33" s="1286"/>
    </row>
    <row r="34" spans="1:6" ht="13.5" customHeight="1" x14ac:dyDescent="0.2">
      <c r="A34" s="328" t="s">
        <v>1946</v>
      </c>
      <c r="B34" s="328"/>
      <c r="C34" s="1289">
        <v>0</v>
      </c>
      <c r="D34" s="1928" t="s">
        <v>1671</v>
      </c>
      <c r="E34" s="2474">
        <f>+C33+C34</f>
        <v>37425</v>
      </c>
      <c r="F34" s="2475"/>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t="s">
        <v>101</v>
      </c>
      <c r="D38" s="1928"/>
      <c r="E38" s="1286"/>
    </row>
    <row r="39" spans="1:6" ht="14.25" customHeight="1" x14ac:dyDescent="0.2">
      <c r="A39" s="328"/>
      <c r="B39" s="328" t="s">
        <v>1511</v>
      </c>
      <c r="C39" s="1292" t="s">
        <v>101</v>
      </c>
      <c r="D39" s="1928"/>
      <c r="E39" s="1286"/>
    </row>
    <row r="40" spans="1:6" ht="14.25" customHeight="1" x14ac:dyDescent="0.2">
      <c r="A40" s="328"/>
      <c r="B40" s="328" t="s">
        <v>1512</v>
      </c>
      <c r="C40" s="1292" t="s">
        <v>101</v>
      </c>
      <c r="D40" s="1928"/>
      <c r="E40" s="1286"/>
    </row>
    <row r="41" spans="1:6" ht="14.25" customHeight="1" x14ac:dyDescent="0.2">
      <c r="A41" s="328"/>
      <c r="B41" s="328" t="s">
        <v>1513</v>
      </c>
      <c r="C41" s="1292" t="s">
        <v>101</v>
      </c>
      <c r="D41" s="1928"/>
      <c r="E41" s="1286"/>
    </row>
    <row r="42" spans="1:6" ht="14.25" customHeight="1" x14ac:dyDescent="0.2">
      <c r="A42" s="328" t="s">
        <v>1514</v>
      </c>
      <c r="B42" s="328"/>
      <c r="C42" s="1926" t="s">
        <v>101</v>
      </c>
      <c r="D42" s="1928"/>
      <c r="E42" s="1286"/>
    </row>
    <row r="43" spans="1:6" ht="14.25" customHeight="1" x14ac:dyDescent="0.2">
      <c r="A43" s="328" t="s">
        <v>1515</v>
      </c>
      <c r="B43" s="328"/>
      <c r="C43" s="1293" t="s">
        <v>101</v>
      </c>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6" t="s">
        <v>1672</v>
      </c>
      <c r="C49" s="2476"/>
      <c r="D49" s="2476"/>
      <c r="E49" s="1399"/>
    </row>
    <row r="50" spans="1:5" s="1300" customFormat="1" ht="3.75" customHeight="1" x14ac:dyDescent="0.2">
      <c r="A50" s="1299"/>
      <c r="B50" s="1870"/>
      <c r="C50" s="1870"/>
      <c r="D50" s="1870"/>
      <c r="E50" s="1399"/>
    </row>
    <row r="51" spans="1:5" s="1300" customFormat="1" ht="20.25" customHeight="1" x14ac:dyDescent="0.2">
      <c r="A51" s="1301">
        <v>6</v>
      </c>
      <c r="B51" s="2471" t="s">
        <v>1632</v>
      </c>
      <c r="C51" s="2471"/>
      <c r="D51" s="2471"/>
    </row>
    <row r="52" spans="1:5" ht="14.25" customHeight="1" x14ac:dyDescent="0.2">
      <c r="A52" s="1301"/>
      <c r="B52" s="2471"/>
      <c r="C52" s="2471"/>
      <c r="D52" s="2471"/>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4"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zoomScaleNormal="100" workbookViewId="0">
      <selection activeCell="B15" sqref="B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8" t="str">
        <f>'Single Audit Cover'!A7</f>
        <v>Marengo Union E Cons D 165</v>
      </c>
      <c r="C1" s="2484"/>
      <c r="D1" s="2484"/>
      <c r="E1" s="2484"/>
      <c r="F1" s="2484"/>
      <c r="G1" s="2484"/>
      <c r="H1" s="2484"/>
      <c r="I1" s="2484"/>
      <c r="J1" s="2484"/>
      <c r="K1" s="2484"/>
      <c r="L1" s="2484"/>
      <c r="M1" s="2484"/>
    </row>
    <row r="2" spans="2:14" ht="15" x14ac:dyDescent="0.2">
      <c r="B2" s="2481">
        <f>'Single Audit Cover'!E7</f>
        <v>44063165003</v>
      </c>
      <c r="C2" s="2481"/>
      <c r="D2" s="2481"/>
      <c r="E2" s="2481"/>
      <c r="F2" s="2481"/>
      <c r="G2" s="2481"/>
      <c r="H2" s="2481"/>
      <c r="I2" s="2481"/>
      <c r="J2" s="2481"/>
      <c r="K2" s="2481"/>
      <c r="L2" s="2481"/>
      <c r="M2" s="2481"/>
      <c r="N2" s="1302"/>
    </row>
    <row r="3" spans="2:14" ht="15" x14ac:dyDescent="0.2">
      <c r="B3" s="2485" t="s">
        <v>1281</v>
      </c>
      <c r="C3" s="2485"/>
      <c r="D3" s="2485"/>
      <c r="E3" s="2485"/>
      <c r="F3" s="2485"/>
      <c r="G3" s="2485"/>
      <c r="H3" s="2485"/>
      <c r="I3" s="2485"/>
      <c r="J3" s="2485"/>
      <c r="K3" s="2485"/>
      <c r="L3" s="2485"/>
      <c r="M3" s="2485"/>
      <c r="N3" s="1302"/>
    </row>
    <row r="4" spans="2:14" ht="15" x14ac:dyDescent="0.2">
      <c r="B4" s="2486" t="str">
        <f>'Single Audit Cover'!A4</f>
        <v>Year Ending June 30, 2018</v>
      </c>
      <c r="C4" s="2486"/>
      <c r="D4" s="2486"/>
      <c r="E4" s="2486"/>
      <c r="F4" s="2486"/>
      <c r="G4" s="2486"/>
      <c r="H4" s="2486"/>
      <c r="I4" s="2486"/>
      <c r="J4" s="2486"/>
      <c r="K4" s="2486"/>
      <c r="L4" s="2486"/>
      <c r="M4" s="248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2121</v>
      </c>
      <c r="C11" s="1338"/>
      <c r="D11" s="1339"/>
      <c r="E11" s="1340"/>
      <c r="F11" s="1340"/>
      <c r="G11" s="1340"/>
      <c r="H11" s="1340"/>
      <c r="I11" s="1340"/>
      <c r="J11" s="1340"/>
      <c r="K11" s="1340"/>
      <c r="L11" s="1340">
        <f>+G11+I11+K11</f>
        <v>0</v>
      </c>
      <c r="M11" s="1340"/>
    </row>
    <row r="12" spans="2:14" ht="20.100000000000001" customHeight="1" x14ac:dyDescent="0.2">
      <c r="B12" s="1337" t="s">
        <v>2116</v>
      </c>
      <c r="C12" s="1341">
        <v>10.555</v>
      </c>
      <c r="D12" s="1342" t="s">
        <v>2077</v>
      </c>
      <c r="E12" s="1343"/>
      <c r="F12" s="1959">
        <v>29894</v>
      </c>
      <c r="G12" s="1343"/>
      <c r="H12" s="1343"/>
      <c r="I12" s="1959">
        <v>29894</v>
      </c>
      <c r="J12" s="1343"/>
      <c r="K12" s="1343"/>
      <c r="L12" s="1340">
        <f t="shared" ref="L12:L27" si="0">+G12+I12+K12</f>
        <v>29894</v>
      </c>
      <c r="M12" s="1343"/>
    </row>
    <row r="13" spans="2:14" ht="20.100000000000001" customHeight="1" x14ac:dyDescent="0.2">
      <c r="B13" s="1337" t="s">
        <v>2117</v>
      </c>
      <c r="C13" s="1341">
        <v>10.555</v>
      </c>
      <c r="D13" s="1342" t="s">
        <v>2078</v>
      </c>
      <c r="E13" s="1343">
        <v>180259</v>
      </c>
      <c r="F13" s="1343">
        <f>219720-180259</f>
        <v>39461</v>
      </c>
      <c r="G13" s="1343">
        <v>180259</v>
      </c>
      <c r="H13" s="1343"/>
      <c r="I13" s="1343">
        <v>39461</v>
      </c>
      <c r="J13" s="1343"/>
      <c r="K13" s="1343"/>
      <c r="L13" s="1340">
        <f t="shared" si="0"/>
        <v>219720</v>
      </c>
      <c r="M13" s="1343" t="s">
        <v>2103</v>
      </c>
    </row>
    <row r="14" spans="2:14" ht="20.100000000000001" customHeight="1" x14ac:dyDescent="0.2">
      <c r="B14" s="1337" t="s">
        <v>2118</v>
      </c>
      <c r="C14" s="1341">
        <v>10.555</v>
      </c>
      <c r="D14" s="1342" t="s">
        <v>2079</v>
      </c>
      <c r="E14" s="1343"/>
      <c r="F14" s="1343">
        <v>169983</v>
      </c>
      <c r="G14" s="1343"/>
      <c r="H14" s="1343"/>
      <c r="I14" s="1343">
        <v>169983</v>
      </c>
      <c r="J14" s="1343"/>
      <c r="K14" s="1343"/>
      <c r="L14" s="1340">
        <f t="shared" si="0"/>
        <v>169983</v>
      </c>
      <c r="M14" s="1343" t="s">
        <v>2103</v>
      </c>
    </row>
    <row r="15" spans="2:14" ht="20.100000000000001" customHeight="1" x14ac:dyDescent="0.2">
      <c r="B15" s="1337" t="s">
        <v>2119</v>
      </c>
      <c r="C15" s="1341">
        <v>10.553000000000001</v>
      </c>
      <c r="D15" s="1342" t="s">
        <v>2080</v>
      </c>
      <c r="E15" s="1343">
        <v>31301</v>
      </c>
      <c r="F15" s="1343">
        <f>37575-31301</f>
        <v>6274</v>
      </c>
      <c r="G15" s="1343">
        <v>31301</v>
      </c>
      <c r="H15" s="1343"/>
      <c r="I15" s="1343">
        <v>6274</v>
      </c>
      <c r="J15" s="1343"/>
      <c r="K15" s="1343"/>
      <c r="L15" s="1340">
        <f t="shared" si="0"/>
        <v>37575</v>
      </c>
      <c r="M15" s="1343" t="s">
        <v>2103</v>
      </c>
    </row>
    <row r="16" spans="2:14" ht="20.100000000000001" customHeight="1" x14ac:dyDescent="0.2">
      <c r="B16" s="1337" t="s">
        <v>2120</v>
      </c>
      <c r="C16" s="1341">
        <v>10.553000000000001</v>
      </c>
      <c r="D16" s="1342" t="s">
        <v>2081</v>
      </c>
      <c r="E16" s="1343"/>
      <c r="F16" s="1343">
        <v>32122</v>
      </c>
      <c r="G16" s="1343"/>
      <c r="H16" s="1343"/>
      <c r="I16" s="1343">
        <v>32122</v>
      </c>
      <c r="J16" s="1343"/>
      <c r="K16" s="1343"/>
      <c r="L16" s="1340">
        <f t="shared" si="0"/>
        <v>32122</v>
      </c>
      <c r="M16" s="1343" t="s">
        <v>2103</v>
      </c>
    </row>
    <row r="17" spans="2:14" ht="20.100000000000001" customHeight="1" x14ac:dyDescent="0.2">
      <c r="B17" s="1337"/>
      <c r="C17" s="1341"/>
      <c r="D17" s="1342"/>
      <c r="E17" s="1343"/>
      <c r="F17" s="1343"/>
      <c r="G17" s="1343"/>
      <c r="H17" s="1343"/>
      <c r="I17" s="1343"/>
      <c r="J17" s="1343"/>
      <c r="K17" s="1343"/>
      <c r="L17" s="1340"/>
      <c r="M17" s="1343"/>
    </row>
    <row r="18" spans="2:14" ht="20.100000000000001" customHeight="1" x14ac:dyDescent="0.2">
      <c r="B18" s="1337" t="s">
        <v>2074</v>
      </c>
      <c r="C18" s="1341"/>
      <c r="D18" s="1342"/>
      <c r="E18" s="1343"/>
      <c r="F18" s="1343"/>
      <c r="G18" s="1343"/>
      <c r="H18" s="1343"/>
      <c r="I18" s="1343"/>
      <c r="J18" s="1343"/>
      <c r="K18" s="1343"/>
      <c r="L18" s="1340">
        <f t="shared" si="0"/>
        <v>0</v>
      </c>
      <c r="M18" s="1343"/>
    </row>
    <row r="19" spans="2:14" ht="20.100000000000001" customHeight="1" x14ac:dyDescent="0.2">
      <c r="B19" s="1337" t="s">
        <v>2075</v>
      </c>
      <c r="C19" s="1341"/>
      <c r="D19" s="1342"/>
      <c r="E19" s="1343"/>
      <c r="F19" s="1343"/>
      <c r="G19" s="1343"/>
      <c r="H19" s="1343"/>
      <c r="I19" s="1343"/>
      <c r="J19" s="1343"/>
      <c r="K19" s="1343"/>
      <c r="L19" s="1340">
        <f t="shared" si="0"/>
        <v>0</v>
      </c>
      <c r="M19" s="1343"/>
    </row>
    <row r="20" spans="2:14" ht="20.100000000000001" customHeight="1" x14ac:dyDescent="0.2">
      <c r="B20" s="1337" t="s">
        <v>2116</v>
      </c>
      <c r="C20" s="1341">
        <v>10.555</v>
      </c>
      <c r="D20" s="1342" t="s">
        <v>2077</v>
      </c>
      <c r="E20" s="1343"/>
      <c r="F20" s="1959">
        <v>7531</v>
      </c>
      <c r="G20" s="1959"/>
      <c r="H20" s="1959"/>
      <c r="I20" s="1959">
        <v>7531</v>
      </c>
      <c r="J20" s="1343"/>
      <c r="K20" s="1343"/>
      <c r="L20" s="1340">
        <f t="shared" si="0"/>
        <v>7531</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t="s">
        <v>2076</v>
      </c>
      <c r="C22" s="1341"/>
      <c r="D22" s="1342"/>
      <c r="E22" s="1343">
        <f>SUM(E12:E21)</f>
        <v>211560</v>
      </c>
      <c r="F22" s="1343">
        <f>SUM(F12:F21)</f>
        <v>285265</v>
      </c>
      <c r="G22" s="1343">
        <f>SUM(G12:G21)</f>
        <v>211560</v>
      </c>
      <c r="H22" s="1343"/>
      <c r="I22" s="1343">
        <f>SUM(I12:I21)</f>
        <v>285265</v>
      </c>
      <c r="J22" s="1343"/>
      <c r="K22" s="1343"/>
      <c r="L22" s="1340">
        <f t="shared" si="0"/>
        <v>496825</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52"/>
  <sheetViews>
    <sheetView showGridLines="0" zoomScaleNormal="100" workbookViewId="0">
      <selection activeCell="B15" sqref="B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1:14" ht="11.85" customHeight="1" x14ac:dyDescent="0.2">
      <c r="A1" s="317" t="s">
        <v>2199</v>
      </c>
      <c r="B1" s="2448" t="str">
        <f>'Single Audit Cover'!A7</f>
        <v>Marengo Union E Cons D 165</v>
      </c>
      <c r="C1" s="2484"/>
      <c r="D1" s="2484"/>
      <c r="E1" s="2484"/>
      <c r="F1" s="2484"/>
      <c r="G1" s="2484"/>
      <c r="H1" s="2484"/>
      <c r="I1" s="2484"/>
      <c r="J1" s="2484"/>
      <c r="K1" s="2484"/>
      <c r="L1" s="2484"/>
      <c r="M1" s="2484"/>
    </row>
    <row r="2" spans="1:14" ht="15" x14ac:dyDescent="0.2">
      <c r="B2" s="2481">
        <f>'Single Audit Cover'!E7</f>
        <v>44063165003</v>
      </c>
      <c r="C2" s="2481"/>
      <c r="D2" s="2481"/>
      <c r="E2" s="2481"/>
      <c r="F2" s="2481"/>
      <c r="G2" s="2481"/>
      <c r="H2" s="2481"/>
      <c r="I2" s="2481"/>
      <c r="J2" s="2481"/>
      <c r="K2" s="2481"/>
      <c r="L2" s="2481"/>
      <c r="M2" s="2481"/>
      <c r="N2" s="1302"/>
    </row>
    <row r="3" spans="1:14" ht="15" x14ac:dyDescent="0.2">
      <c r="B3" s="2485" t="s">
        <v>1281</v>
      </c>
      <c r="C3" s="2485"/>
      <c r="D3" s="2485"/>
      <c r="E3" s="2485"/>
      <c r="F3" s="2485"/>
      <c r="G3" s="2485"/>
      <c r="H3" s="2485"/>
      <c r="I3" s="2485"/>
      <c r="J3" s="2485"/>
      <c r="K3" s="2485"/>
      <c r="L3" s="2485"/>
      <c r="M3" s="2485"/>
      <c r="N3" s="1302"/>
    </row>
    <row r="4" spans="1:14" ht="15" x14ac:dyDescent="0.2">
      <c r="B4" s="2486" t="str">
        <f>'Single Audit Cover'!A4</f>
        <v>Year Ending June 30, 2018</v>
      </c>
      <c r="C4" s="2486"/>
      <c r="D4" s="2486"/>
      <c r="E4" s="2486"/>
      <c r="F4" s="2486"/>
      <c r="G4" s="2486"/>
      <c r="H4" s="2486"/>
      <c r="I4" s="2486"/>
      <c r="J4" s="2486"/>
      <c r="K4" s="2486"/>
      <c r="L4" s="2486"/>
      <c r="M4" s="2486"/>
      <c r="N4" s="1302"/>
    </row>
    <row r="6" spans="1:14" x14ac:dyDescent="0.2">
      <c r="B6" s="1303"/>
      <c r="C6" s="1304"/>
      <c r="D6" s="1305" t="s">
        <v>1327</v>
      </c>
      <c r="E6" s="1306" t="s">
        <v>548</v>
      </c>
      <c r="F6" s="1307"/>
      <c r="G6" s="1308" t="s">
        <v>1834</v>
      </c>
      <c r="H6" s="1306"/>
      <c r="I6" s="1306"/>
      <c r="J6" s="1306"/>
      <c r="K6" s="1309"/>
      <c r="L6" s="1310"/>
      <c r="M6" s="1311"/>
    </row>
    <row r="7" spans="1:14" x14ac:dyDescent="0.2">
      <c r="B7" s="1312" t="s">
        <v>1662</v>
      </c>
      <c r="C7" s="1313"/>
      <c r="D7" s="1314"/>
      <c r="E7" s="1315"/>
      <c r="F7" s="1316"/>
      <c r="G7" s="1315"/>
      <c r="H7" s="1317" t="s">
        <v>1324</v>
      </c>
      <c r="I7" s="1315"/>
      <c r="J7" s="1318" t="s">
        <v>1324</v>
      </c>
      <c r="K7" s="1319"/>
      <c r="L7" s="1320" t="s">
        <v>1322</v>
      </c>
      <c r="M7" s="1321"/>
    </row>
    <row r="8" spans="1: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1: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1: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1:14" ht="20.100000000000001" customHeight="1" x14ac:dyDescent="0.2">
      <c r="B11" s="1337" t="s">
        <v>2107</v>
      </c>
      <c r="C11" s="1338"/>
      <c r="D11" s="1339"/>
      <c r="E11" s="1340"/>
      <c r="F11" s="1340"/>
      <c r="G11" s="1340"/>
      <c r="H11" s="1340"/>
      <c r="I11" s="1340"/>
      <c r="J11" s="1340"/>
      <c r="K11" s="1340"/>
      <c r="L11" s="1340">
        <f>+G11+I11+K11</f>
        <v>0</v>
      </c>
      <c r="M11" s="1340"/>
    </row>
    <row r="12" spans="1:14" ht="20.100000000000001" customHeight="1" x14ac:dyDescent="0.2">
      <c r="B12" s="1337" t="s">
        <v>2082</v>
      </c>
      <c r="C12" s="1341">
        <v>84.01</v>
      </c>
      <c r="D12" s="1342" t="s">
        <v>2091</v>
      </c>
      <c r="E12" s="1343">
        <v>157755</v>
      </c>
      <c r="F12" s="1959">
        <f>163659-157755</f>
        <v>5904</v>
      </c>
      <c r="G12" s="1343">
        <v>163659</v>
      </c>
      <c r="H12" s="1343"/>
      <c r="I12" s="1343">
        <v>0</v>
      </c>
      <c r="J12" s="1343"/>
      <c r="K12" s="1343"/>
      <c r="L12" s="1340">
        <f t="shared" ref="L12:L27" si="0">+G12+I12+K12</f>
        <v>163659</v>
      </c>
      <c r="M12" s="1343">
        <v>164073</v>
      </c>
    </row>
    <row r="13" spans="1:14" ht="20.100000000000001" customHeight="1" x14ac:dyDescent="0.2">
      <c r="B13" s="1337" t="s">
        <v>2082</v>
      </c>
      <c r="C13" s="1341">
        <v>84.01</v>
      </c>
      <c r="D13" s="1342" t="s">
        <v>2090</v>
      </c>
      <c r="E13" s="1343"/>
      <c r="F13" s="1959">
        <f>157283-45741</f>
        <v>111542</v>
      </c>
      <c r="G13" s="1343"/>
      <c r="H13" s="1343"/>
      <c r="I13" s="1343">
        <v>157283</v>
      </c>
      <c r="J13" s="1343"/>
      <c r="K13" s="1343"/>
      <c r="L13" s="1340">
        <f t="shared" si="0"/>
        <v>157283</v>
      </c>
      <c r="M13" s="1343">
        <v>160256</v>
      </c>
    </row>
    <row r="14" spans="1:14" ht="20.100000000000001" customHeight="1" x14ac:dyDescent="0.2">
      <c r="B14" s="1337" t="s">
        <v>2083</v>
      </c>
      <c r="C14" s="1341">
        <v>84.367000000000004</v>
      </c>
      <c r="D14" s="1342" t="s">
        <v>2092</v>
      </c>
      <c r="E14" s="1343">
        <v>26847</v>
      </c>
      <c r="F14" s="1959">
        <f>30035-26847</f>
        <v>3188</v>
      </c>
      <c r="G14" s="1343">
        <v>30035</v>
      </c>
      <c r="H14" s="1343"/>
      <c r="I14" s="1343">
        <v>0</v>
      </c>
      <c r="J14" s="1343"/>
      <c r="K14" s="1343"/>
      <c r="L14" s="1340">
        <f t="shared" si="0"/>
        <v>30035</v>
      </c>
      <c r="M14" s="1343">
        <v>30728</v>
      </c>
    </row>
    <row r="15" spans="1:14" ht="20.100000000000001" customHeight="1" x14ac:dyDescent="0.2">
      <c r="B15" s="1337" t="s">
        <v>2084</v>
      </c>
      <c r="C15" s="1341">
        <v>84.367000000000004</v>
      </c>
      <c r="D15" s="1342" t="s">
        <v>2093</v>
      </c>
      <c r="E15" s="1343"/>
      <c r="F15" s="1959">
        <f>32648-2146</f>
        <v>30502</v>
      </c>
      <c r="G15" s="1343"/>
      <c r="H15" s="1343"/>
      <c r="I15" s="1343">
        <v>32648</v>
      </c>
      <c r="J15" s="1343"/>
      <c r="K15" s="1343"/>
      <c r="L15" s="1340">
        <f t="shared" si="0"/>
        <v>32648</v>
      </c>
      <c r="M15" s="1343">
        <v>33761</v>
      </c>
    </row>
    <row r="16" spans="1:14" ht="20.100000000000001" customHeight="1" x14ac:dyDescent="0.2">
      <c r="B16" s="1337" t="s">
        <v>2085</v>
      </c>
      <c r="C16" s="1341">
        <v>84.364999999999995</v>
      </c>
      <c r="D16" s="1342" t="s">
        <v>2094</v>
      </c>
      <c r="E16" s="1343">
        <v>9471</v>
      </c>
      <c r="F16" s="1959">
        <f>11974-9471</f>
        <v>2503</v>
      </c>
      <c r="G16" s="1343">
        <v>10896</v>
      </c>
      <c r="H16" s="1343"/>
      <c r="I16" s="1343">
        <f>11974-10896</f>
        <v>1078</v>
      </c>
      <c r="J16" s="1343"/>
      <c r="K16" s="1343"/>
      <c r="L16" s="1340">
        <f t="shared" si="0"/>
        <v>11974</v>
      </c>
      <c r="M16" s="1343">
        <v>12138</v>
      </c>
    </row>
    <row r="17" spans="2:14" ht="20.100000000000001" customHeight="1" x14ac:dyDescent="0.2">
      <c r="B17" s="1337" t="s">
        <v>2086</v>
      </c>
      <c r="C17" s="1341">
        <v>84.364999999999995</v>
      </c>
      <c r="D17" s="1342" t="s">
        <v>2095</v>
      </c>
      <c r="E17" s="1343"/>
      <c r="F17" s="1959">
        <f>8989-3193</f>
        <v>5796</v>
      </c>
      <c r="G17" s="1343"/>
      <c r="H17" s="1343"/>
      <c r="I17" s="1343">
        <v>8989</v>
      </c>
      <c r="J17" s="1343"/>
      <c r="K17" s="1343"/>
      <c r="L17" s="1340">
        <f t="shared" si="0"/>
        <v>8989</v>
      </c>
      <c r="M17" s="1343">
        <v>12881</v>
      </c>
    </row>
    <row r="18" spans="2:14" ht="20.100000000000001" customHeight="1" x14ac:dyDescent="0.2">
      <c r="B18" s="1956" t="s">
        <v>2104</v>
      </c>
      <c r="C18" s="1957">
        <v>84.424000000000007</v>
      </c>
      <c r="D18" s="1958" t="s">
        <v>2105</v>
      </c>
      <c r="E18" s="1343"/>
      <c r="F18" s="1959">
        <v>10000</v>
      </c>
      <c r="G18" s="1343"/>
      <c r="H18" s="1343"/>
      <c r="I18" s="1343">
        <v>10000</v>
      </c>
      <c r="J18" s="1343"/>
      <c r="K18" s="1343"/>
      <c r="L18" s="1340">
        <f t="shared" si="0"/>
        <v>10000</v>
      </c>
      <c r="M18" s="1343">
        <v>10000</v>
      </c>
    </row>
    <row r="19" spans="2:14" ht="20.100000000000001" customHeight="1" x14ac:dyDescent="0.2">
      <c r="B19" s="1337" t="s">
        <v>2122</v>
      </c>
      <c r="C19" s="1341">
        <v>84.027000000000001</v>
      </c>
      <c r="D19" s="1342" t="s">
        <v>2106</v>
      </c>
      <c r="E19" s="1343"/>
      <c r="F19" s="1959">
        <v>3940</v>
      </c>
      <c r="G19" s="1343"/>
      <c r="H19" s="1343"/>
      <c r="I19" s="1343">
        <v>3940</v>
      </c>
      <c r="J19" s="1343"/>
      <c r="K19" s="1343"/>
      <c r="L19" s="1340">
        <f t="shared" si="0"/>
        <v>3940</v>
      </c>
      <c r="M19" s="1343" t="s">
        <v>2103</v>
      </c>
    </row>
    <row r="20" spans="2:14" ht="20.100000000000001" customHeight="1" x14ac:dyDescent="0.2">
      <c r="B20" s="1337"/>
      <c r="C20" s="1341"/>
      <c r="D20" s="1342"/>
      <c r="E20" s="1343"/>
      <c r="F20" s="1343"/>
      <c r="G20" s="1343"/>
      <c r="H20" s="1343"/>
      <c r="I20" s="1343"/>
      <c r="J20" s="1343"/>
      <c r="K20" s="1343"/>
      <c r="L20" s="1340"/>
      <c r="M20" s="1343"/>
    </row>
    <row r="21" spans="2:14" ht="20.100000000000001" customHeight="1" x14ac:dyDescent="0.2">
      <c r="B21" s="1337" t="s">
        <v>2123</v>
      </c>
      <c r="C21" s="1341"/>
      <c r="D21" s="1342"/>
      <c r="E21" s="1343"/>
      <c r="F21" s="1343"/>
      <c r="G21" s="1343"/>
      <c r="H21" s="1343"/>
      <c r="I21" s="1343"/>
      <c r="J21" s="1343"/>
      <c r="K21" s="1343"/>
      <c r="L21" s="1340">
        <f t="shared" si="0"/>
        <v>0</v>
      </c>
      <c r="M21" s="1343"/>
    </row>
    <row r="22" spans="2:14" ht="20.100000000000001" customHeight="1" x14ac:dyDescent="0.2">
      <c r="B22" s="1337" t="s">
        <v>2124</v>
      </c>
      <c r="C22" s="1341">
        <v>84.027000000000001</v>
      </c>
      <c r="D22" s="1342" t="s">
        <v>2108</v>
      </c>
      <c r="E22" s="1343">
        <v>218101</v>
      </c>
      <c r="F22" s="1959">
        <v>35742</v>
      </c>
      <c r="G22" s="1343">
        <v>253843</v>
      </c>
      <c r="H22" s="1343"/>
      <c r="I22" s="1343"/>
      <c r="J22" s="1343"/>
      <c r="K22" s="1343"/>
      <c r="L22" s="1340">
        <f t="shared" si="0"/>
        <v>253843</v>
      </c>
      <c r="M22" s="1343">
        <v>262101</v>
      </c>
    </row>
    <row r="23" spans="2:14" ht="20.100000000000001" customHeight="1" x14ac:dyDescent="0.2">
      <c r="B23" s="1337" t="s">
        <v>2124</v>
      </c>
      <c r="C23" s="1341">
        <v>84.027000000000001</v>
      </c>
      <c r="D23" s="1342" t="s">
        <v>2089</v>
      </c>
      <c r="E23" s="1343"/>
      <c r="F23" s="1959">
        <v>215312</v>
      </c>
      <c r="G23" s="1343"/>
      <c r="H23" s="1343"/>
      <c r="I23" s="1343">
        <v>261369</v>
      </c>
      <c r="J23" s="1343"/>
      <c r="K23" s="1343"/>
      <c r="L23" s="1340">
        <f t="shared" si="0"/>
        <v>261369</v>
      </c>
      <c r="M23" s="1343">
        <v>263432</v>
      </c>
    </row>
    <row r="24" spans="2:14" ht="20.100000000000001" customHeight="1" x14ac:dyDescent="0.2">
      <c r="B24" s="1337" t="s">
        <v>2124</v>
      </c>
      <c r="C24" s="1341">
        <v>84.173000000000002</v>
      </c>
      <c r="D24" s="1342" t="s">
        <v>2109</v>
      </c>
      <c r="E24" s="1343">
        <v>10562</v>
      </c>
      <c r="F24" s="1959">
        <v>2103</v>
      </c>
      <c r="G24" s="1343">
        <v>12665</v>
      </c>
      <c r="H24" s="1343"/>
      <c r="I24" s="1343"/>
      <c r="J24" s="1343"/>
      <c r="K24" s="1343"/>
      <c r="L24" s="1340">
        <f t="shared" si="0"/>
        <v>12665</v>
      </c>
      <c r="M24" s="1343">
        <v>17044</v>
      </c>
    </row>
    <row r="25" spans="2:14" ht="20.100000000000001" customHeight="1" x14ac:dyDescent="0.2">
      <c r="B25" s="1337" t="s">
        <v>2124</v>
      </c>
      <c r="C25" s="1341">
        <v>84.173000000000002</v>
      </c>
      <c r="D25" s="1342" t="s">
        <v>2088</v>
      </c>
      <c r="E25" s="1343"/>
      <c r="F25" s="1959">
        <v>11814</v>
      </c>
      <c r="G25" s="1343"/>
      <c r="H25" s="1343"/>
      <c r="I25" s="1343">
        <v>19822</v>
      </c>
      <c r="J25" s="1343"/>
      <c r="K25" s="1343"/>
      <c r="L25" s="1340">
        <f t="shared" si="0"/>
        <v>19822</v>
      </c>
      <c r="M25" s="1343">
        <v>20402</v>
      </c>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t="s">
        <v>2087</v>
      </c>
      <c r="C27" s="1341"/>
      <c r="D27" s="1342"/>
      <c r="E27" s="1343">
        <f>+E12+E13+E14+E15+E16+E17+E18+E19+E22+E23+E24+E25</f>
        <v>422736</v>
      </c>
      <c r="F27" s="1343">
        <f>SUM(F12:F26)</f>
        <v>438346</v>
      </c>
      <c r="G27" s="1343">
        <f>SUM(G12:G26)</f>
        <v>471098</v>
      </c>
      <c r="H27" s="1343"/>
      <c r="I27" s="1343">
        <f>SUM(I12:I26)</f>
        <v>495129</v>
      </c>
      <c r="J27" s="1343"/>
      <c r="K27" s="1343"/>
      <c r="L27" s="1340">
        <f t="shared" si="0"/>
        <v>966227</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152"/>
  <sheetViews>
    <sheetView showGridLines="0" zoomScaleNormal="100" workbookViewId="0">
      <selection activeCell="B15" sqref="B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48" t="str">
        <f>'Single Audit Cover'!A7</f>
        <v>Marengo Union E Cons D 165</v>
      </c>
      <c r="C1" s="2484"/>
      <c r="D1" s="2484"/>
      <c r="E1" s="2484"/>
      <c r="F1" s="2484"/>
      <c r="G1" s="2484"/>
      <c r="H1" s="2484"/>
      <c r="I1" s="2484"/>
      <c r="J1" s="2484"/>
      <c r="K1" s="2484"/>
      <c r="L1" s="2484"/>
      <c r="M1" s="2484"/>
    </row>
    <row r="2" spans="2:14" ht="15" x14ac:dyDescent="0.2">
      <c r="B2" s="2481">
        <f>'Single Audit Cover'!E7</f>
        <v>44063165003</v>
      </c>
      <c r="C2" s="2481"/>
      <c r="D2" s="2481"/>
      <c r="E2" s="2481"/>
      <c r="F2" s="2481"/>
      <c r="G2" s="2481"/>
      <c r="H2" s="2481"/>
      <c r="I2" s="2481"/>
      <c r="J2" s="2481"/>
      <c r="K2" s="2481"/>
      <c r="L2" s="2481"/>
      <c r="M2" s="2481"/>
      <c r="N2" s="1302"/>
    </row>
    <row r="3" spans="2:14" ht="15" x14ac:dyDescent="0.2">
      <c r="B3" s="2485" t="s">
        <v>1281</v>
      </c>
      <c r="C3" s="2485"/>
      <c r="D3" s="2485"/>
      <c r="E3" s="2485"/>
      <c r="F3" s="2485"/>
      <c r="G3" s="2485"/>
      <c r="H3" s="2485"/>
      <c r="I3" s="2485"/>
      <c r="J3" s="2485"/>
      <c r="K3" s="2485"/>
      <c r="L3" s="2485"/>
      <c r="M3" s="2485"/>
      <c r="N3" s="1302"/>
    </row>
    <row r="4" spans="2:14" ht="15" x14ac:dyDescent="0.2">
      <c r="B4" s="2486" t="str">
        <f>'Single Audit Cover'!A4</f>
        <v>Year Ending June 30, 2018</v>
      </c>
      <c r="C4" s="2486"/>
      <c r="D4" s="2486"/>
      <c r="E4" s="2486"/>
      <c r="F4" s="2486"/>
      <c r="G4" s="2486"/>
      <c r="H4" s="2486"/>
      <c r="I4" s="2486"/>
      <c r="J4" s="2486"/>
      <c r="K4" s="2486"/>
      <c r="L4" s="2486"/>
      <c r="M4" s="2486"/>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t="s">
        <v>2096</v>
      </c>
      <c r="C11" s="1338"/>
      <c r="D11" s="1339"/>
      <c r="E11" s="1340"/>
      <c r="F11" s="1340"/>
      <c r="G11" s="1340"/>
      <c r="H11" s="1340"/>
      <c r="I11" s="1340"/>
      <c r="J11" s="1340"/>
      <c r="K11" s="1340"/>
      <c r="L11" s="1340">
        <f>+G11+I11+K11</f>
        <v>0</v>
      </c>
      <c r="M11" s="1340"/>
    </row>
    <row r="12" spans="2:14" ht="20.100000000000001" customHeight="1" x14ac:dyDescent="0.2">
      <c r="B12" s="1337" t="s">
        <v>2097</v>
      </c>
      <c r="C12" s="1341"/>
      <c r="D12" s="1342"/>
      <c r="E12" s="1343"/>
      <c r="F12" s="1343"/>
      <c r="G12" s="1343"/>
      <c r="H12" s="1343"/>
      <c r="I12" s="1343"/>
      <c r="J12" s="1343"/>
      <c r="K12" s="1343"/>
      <c r="L12" s="1340">
        <f t="shared" ref="L12:L27" si="0">+G12+I12+K12</f>
        <v>0</v>
      </c>
      <c r="M12" s="1343"/>
    </row>
    <row r="13" spans="2:14" ht="20.100000000000001" customHeight="1" x14ac:dyDescent="0.2">
      <c r="B13" s="1337" t="s">
        <v>2098</v>
      </c>
      <c r="C13" s="1341">
        <v>93.778000000000006</v>
      </c>
      <c r="D13" s="1342" t="s">
        <v>2101</v>
      </c>
      <c r="E13" s="1343">
        <v>20613</v>
      </c>
      <c r="F13" s="1343">
        <v>6519</v>
      </c>
      <c r="G13" s="1343">
        <v>20613</v>
      </c>
      <c r="H13" s="1343"/>
      <c r="I13" s="1343">
        <v>6519</v>
      </c>
      <c r="J13" s="1343"/>
      <c r="K13" s="1343"/>
      <c r="L13" s="1340">
        <f t="shared" si="0"/>
        <v>27132</v>
      </c>
      <c r="M13" s="1343" t="s">
        <v>2103</v>
      </c>
    </row>
    <row r="14" spans="2:14" ht="20.100000000000001" customHeight="1" x14ac:dyDescent="0.2">
      <c r="B14" s="1337" t="s">
        <v>2098</v>
      </c>
      <c r="C14" s="1341">
        <v>93.778000000000006</v>
      </c>
      <c r="D14" s="1342" t="s">
        <v>2102</v>
      </c>
      <c r="E14" s="1343"/>
      <c r="F14" s="1343">
        <v>17865</v>
      </c>
      <c r="G14" s="1343"/>
      <c r="H14" s="1343"/>
      <c r="I14" s="1343">
        <v>17865</v>
      </c>
      <c r="J14" s="1343"/>
      <c r="K14" s="1343"/>
      <c r="L14" s="1340">
        <f t="shared" si="0"/>
        <v>17865</v>
      </c>
      <c r="M14" s="1343" t="s">
        <v>2103</v>
      </c>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t="s">
        <v>2099</v>
      </c>
      <c r="C16" s="1341"/>
      <c r="D16" s="1342"/>
      <c r="E16" s="1343">
        <f>SUM(E13:E15)</f>
        <v>20613</v>
      </c>
      <c r="F16" s="1343">
        <f>SUM(F13:F15)</f>
        <v>24384</v>
      </c>
      <c r="G16" s="1343">
        <v>20613</v>
      </c>
      <c r="H16" s="1343"/>
      <c r="I16" s="1343">
        <f>SUM(I13:I15)</f>
        <v>24384</v>
      </c>
      <c r="J16" s="1343"/>
      <c r="K16" s="1343"/>
      <c r="L16" s="1340">
        <f t="shared" si="0"/>
        <v>44997</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t="s">
        <v>2100</v>
      </c>
      <c r="C18" s="1341"/>
      <c r="D18" s="1342"/>
      <c r="E18" s="1343">
        <f>' SEFA'!E22+' SEFA (2)'!E27+' SEFA (3)'!E16</f>
        <v>654909</v>
      </c>
      <c r="F18" s="1343">
        <f>' SEFA'!F22+' SEFA (2)'!F27+' SEFA (3)'!F16</f>
        <v>747995</v>
      </c>
      <c r="G18" s="1343">
        <f>' SEFA'!G22+' SEFA (2)'!G27+' SEFA (3)'!G16</f>
        <v>703271</v>
      </c>
      <c r="H18" s="1343"/>
      <c r="I18" s="1343">
        <f>SUM(' SEFA'!I22+' SEFA (2)'!I27+' SEFA (3)'!I16)</f>
        <v>804778</v>
      </c>
      <c r="J18" s="1343"/>
      <c r="K18" s="1343"/>
      <c r="L18" s="1340">
        <f t="shared" si="0"/>
        <v>1508049</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960" t="s">
        <v>2112</v>
      </c>
      <c r="C21" s="1341"/>
      <c r="D21" s="1342"/>
      <c r="E21" s="1343"/>
      <c r="F21" s="1343"/>
      <c r="G21" s="1343"/>
      <c r="H21" s="1343"/>
      <c r="I21" s="1343"/>
      <c r="J21" s="1343"/>
      <c r="K21" s="1343"/>
      <c r="L21" s="1340">
        <f t="shared" si="0"/>
        <v>0</v>
      </c>
      <c r="M21" s="1343"/>
    </row>
    <row r="22" spans="2:14" ht="20.100000000000001" customHeight="1" x14ac:dyDescent="0.2">
      <c r="B22" s="1960" t="s">
        <v>2113</v>
      </c>
      <c r="C22" s="1341"/>
      <c r="D22" s="1342"/>
      <c r="E22" s="1343"/>
      <c r="F22" s="1343"/>
      <c r="G22" s="1343"/>
      <c r="H22" s="1343"/>
      <c r="I22" s="1343"/>
      <c r="J22" s="1343"/>
      <c r="K22" s="1343"/>
      <c r="L22" s="1340">
        <f t="shared" si="0"/>
        <v>0</v>
      </c>
      <c r="M22" s="1343"/>
    </row>
    <row r="23" spans="2:14" ht="20.100000000000001" customHeight="1" x14ac:dyDescent="0.2">
      <c r="B23" s="1337" t="s">
        <v>2114</v>
      </c>
      <c r="C23" s="1341"/>
      <c r="D23" s="1342"/>
      <c r="E23" s="1343"/>
      <c r="F23" s="1343"/>
      <c r="G23" s="1343"/>
      <c r="H23" s="1343"/>
      <c r="I23" s="1343"/>
      <c r="J23" s="1343"/>
      <c r="K23" s="1343"/>
      <c r="L23" s="1340">
        <f t="shared" si="0"/>
        <v>0</v>
      </c>
      <c r="M23" s="1343"/>
    </row>
    <row r="24" spans="2:14" ht="20.100000000000001" customHeight="1" x14ac:dyDescent="0.2">
      <c r="B24" s="1337" t="s">
        <v>2115</v>
      </c>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63"/>
  <sheetViews>
    <sheetView showGridLines="0" topLeftCell="A46" zoomScale="110" zoomScaleNormal="110" workbookViewId="0">
      <selection activeCell="J48" sqref="J4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8" t="str">
        <f>'Single Audit Cover'!A7</f>
        <v>Marengo Union E Cons D 165</v>
      </c>
      <c r="C1" s="2499"/>
      <c r="D1" s="2499"/>
      <c r="E1" s="2499"/>
      <c r="F1" s="2499"/>
      <c r="G1" s="2499"/>
      <c r="H1" s="2499"/>
      <c r="I1" s="2499"/>
      <c r="J1" s="1422"/>
    </row>
    <row r="2" spans="2:10" s="317" customFormat="1" ht="12.75" customHeight="1" x14ac:dyDescent="0.2">
      <c r="B2" s="2500">
        <f>'Single Audit Cover'!E7</f>
        <v>44063165003</v>
      </c>
      <c r="C2" s="2501"/>
      <c r="D2" s="2501"/>
      <c r="E2" s="2501"/>
      <c r="F2" s="2501"/>
      <c r="G2" s="2501"/>
      <c r="H2" s="2501"/>
      <c r="I2" s="2501"/>
      <c r="J2" s="1422"/>
    </row>
    <row r="3" spans="2:10" s="317" customFormat="1" ht="12.75" customHeight="1" x14ac:dyDescent="0.2">
      <c r="B3" s="2502" t="s">
        <v>1347</v>
      </c>
      <c r="C3" s="2503"/>
      <c r="D3" s="2503"/>
      <c r="E3" s="2503"/>
      <c r="F3" s="2503"/>
      <c r="G3" s="2503"/>
      <c r="H3" s="2503"/>
      <c r="I3" s="2503"/>
      <c r="J3" s="1423"/>
    </row>
    <row r="4" spans="2:10" s="317" customFormat="1" ht="12.75" customHeight="1" x14ac:dyDescent="0.2">
      <c r="B4" s="2502" t="str">
        <f>'Single Audit Cover'!A4</f>
        <v>Year Ending June 30, 2018</v>
      </c>
      <c r="C4" s="2503"/>
      <c r="D4" s="2503"/>
      <c r="E4" s="2503"/>
      <c r="F4" s="2503"/>
      <c r="G4" s="2503"/>
      <c r="H4" s="2503"/>
      <c r="I4" s="250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502" t="s">
        <v>1346</v>
      </c>
      <c r="C7" s="2503"/>
      <c r="D7" s="2503"/>
      <c r="E7" s="2503"/>
      <c r="F7" s="2503"/>
      <c r="G7" s="2503"/>
      <c r="H7" s="2503"/>
      <c r="I7" s="250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504" t="s">
        <v>2144</v>
      </c>
      <c r="D11" s="250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t="s">
        <v>2129</v>
      </c>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2129</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2129</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t="s">
        <v>2129</v>
      </c>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2129</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505" t="s">
        <v>2145</v>
      </c>
      <c r="E29" s="2505"/>
      <c r="F29" s="2505"/>
      <c r="G29" s="2505"/>
      <c r="H29" s="2505"/>
      <c r="I29" s="2505"/>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t="s">
        <v>2129</v>
      </c>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506" t="s">
        <v>1851</v>
      </c>
      <c r="D37" s="2507"/>
      <c r="E37" s="2507"/>
      <c r="F37" s="2508"/>
      <c r="G37" s="2506" t="s">
        <v>1674</v>
      </c>
      <c r="H37" s="2507"/>
      <c r="I37" s="2508"/>
    </row>
    <row r="38" spans="2:9" ht="16.5" customHeight="1" x14ac:dyDescent="0.2">
      <c r="B38" s="1444">
        <v>84.01</v>
      </c>
      <c r="C38" s="2494" t="s">
        <v>2146</v>
      </c>
      <c r="D38" s="2495"/>
      <c r="E38" s="2495"/>
      <c r="F38" s="2496"/>
      <c r="G38" s="2509">
        <v>285265</v>
      </c>
      <c r="H38" s="2510"/>
      <c r="I38" s="2511"/>
    </row>
    <row r="39" spans="2:9" ht="16.5" customHeight="1" x14ac:dyDescent="0.2">
      <c r="B39" s="1444" t="s">
        <v>2147</v>
      </c>
      <c r="C39" s="2494" t="s">
        <v>2148</v>
      </c>
      <c r="D39" s="2495"/>
      <c r="E39" s="2495"/>
      <c r="F39" s="2496"/>
      <c r="G39" s="2497">
        <v>157283</v>
      </c>
      <c r="H39" s="2497"/>
      <c r="I39" s="2497"/>
    </row>
    <row r="40" spans="2:9" ht="16.5" customHeight="1" x14ac:dyDescent="0.2">
      <c r="B40" s="1444"/>
      <c r="C40" s="2494"/>
      <c r="D40" s="2495"/>
      <c r="E40" s="2495"/>
      <c r="F40" s="2496"/>
      <c r="G40" s="2497"/>
      <c r="H40" s="2497"/>
      <c r="I40" s="2497"/>
    </row>
    <row r="41" spans="2:9" ht="16.5" customHeight="1" x14ac:dyDescent="0.2">
      <c r="B41" s="1444"/>
      <c r="C41" s="2494"/>
      <c r="D41" s="2495"/>
      <c r="E41" s="2495"/>
      <c r="F41" s="2496"/>
      <c r="G41" s="2497"/>
      <c r="H41" s="2497"/>
      <c r="I41" s="2497"/>
    </row>
    <row r="42" spans="2:9" ht="16.5" customHeight="1" x14ac:dyDescent="0.2">
      <c r="B42" s="1444"/>
      <c r="C42" s="2494"/>
      <c r="D42" s="2495"/>
      <c r="E42" s="2495"/>
      <c r="F42" s="2496"/>
      <c r="G42" s="2497"/>
      <c r="H42" s="2497"/>
      <c r="I42" s="2497"/>
    </row>
    <row r="43" spans="2:9" ht="16.5" customHeight="1" x14ac:dyDescent="0.2">
      <c r="B43" s="1444"/>
      <c r="C43" s="2487" t="s">
        <v>1675</v>
      </c>
      <c r="D43" s="2488"/>
      <c r="E43" s="2488"/>
      <c r="F43" s="2489"/>
      <c r="G43" s="2490">
        <f>SUM(G38:I42)</f>
        <v>442548</v>
      </c>
      <c r="H43" s="2490"/>
      <c r="I43" s="2490"/>
    </row>
    <row r="44" spans="2:9" ht="12.75" customHeight="1" x14ac:dyDescent="0.2"/>
    <row r="45" spans="2:9" ht="12.75" customHeight="1" x14ac:dyDescent="0.2">
      <c r="B45" s="1435" t="s">
        <v>1949</v>
      </c>
      <c r="D45" s="2491">
        <v>804778</v>
      </c>
      <c r="E45" s="2492"/>
    </row>
    <row r="46" spans="2:9" ht="5.25" customHeight="1" x14ac:dyDescent="0.2">
      <c r="B46" s="1445"/>
      <c r="D46" s="1446"/>
      <c r="E46" s="1447"/>
    </row>
    <row r="47" spans="2:9" ht="12.75" customHeight="1" x14ac:dyDescent="0.2">
      <c r="B47" s="1300" t="s">
        <v>1676</v>
      </c>
      <c r="C47" s="1300"/>
      <c r="D47" s="1448">
        <f>+G43/D45</f>
        <v>0.54990071796197215</v>
      </c>
      <c r="E47" s="1449"/>
      <c r="F47" s="1450"/>
      <c r="I47" s="1451"/>
    </row>
    <row r="48" spans="2:9" ht="9.9499999999999993" customHeight="1" x14ac:dyDescent="0.2"/>
    <row r="49" spans="1:9" x14ac:dyDescent="0.2">
      <c r="B49" s="1368" t="s">
        <v>1335</v>
      </c>
      <c r="C49" s="1282"/>
      <c r="D49" s="1282"/>
      <c r="E49" s="2493">
        <v>750000</v>
      </c>
      <c r="F49" s="2493"/>
      <c r="G49" s="2493"/>
      <c r="H49" s="322"/>
    </row>
    <row r="51" spans="1:9" ht="13.5" customHeight="1" x14ac:dyDescent="0.2">
      <c r="B51" s="1368" t="s">
        <v>1334</v>
      </c>
      <c r="C51" s="1282"/>
      <c r="E51" s="1438"/>
      <c r="F51" s="1300" t="s">
        <v>940</v>
      </c>
      <c r="G51" s="1438" t="s">
        <v>2129</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41"/>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8" t="str">
        <f>'Single Audit Cover'!A7</f>
        <v>Marengo Union E Cons D 165</v>
      </c>
      <c r="C1" s="2498"/>
      <c r="D1" s="2498"/>
      <c r="E1" s="2498"/>
      <c r="F1" s="2498"/>
      <c r="G1" s="2498"/>
      <c r="H1" s="2498"/>
      <c r="I1" s="2498"/>
      <c r="J1" s="2498"/>
      <c r="K1" s="2498"/>
      <c r="L1" s="1374"/>
      <c r="M1" s="1374"/>
    </row>
    <row r="2" spans="1:13" ht="12" customHeight="1" x14ac:dyDescent="0.2">
      <c r="B2" s="2500">
        <f>'Single Audit Cover'!E7</f>
        <v>44063165003</v>
      </c>
      <c r="C2" s="2500"/>
      <c r="D2" s="2500"/>
      <c r="E2" s="2500"/>
      <c r="F2" s="2500"/>
      <c r="G2" s="2500"/>
      <c r="H2" s="2500"/>
      <c r="I2" s="2500"/>
      <c r="J2" s="2500"/>
      <c r="K2" s="2500"/>
      <c r="L2" s="1375"/>
      <c r="M2" s="1376"/>
    </row>
    <row r="3" spans="1:13" ht="10.35" customHeight="1" x14ac:dyDescent="0.2">
      <c r="B3" s="2514" t="s">
        <v>1347</v>
      </c>
      <c r="C3" s="2514"/>
      <c r="D3" s="2514"/>
      <c r="E3" s="2514"/>
      <c r="F3" s="2514"/>
      <c r="G3" s="2514"/>
      <c r="H3" s="2514"/>
      <c r="I3" s="2514"/>
      <c r="J3" s="2514"/>
      <c r="K3" s="2514"/>
      <c r="L3" s="1377"/>
      <c r="M3" s="1377"/>
    </row>
    <row r="4" spans="1:13" ht="14.25" customHeight="1" x14ac:dyDescent="0.2">
      <c r="B4" s="2515" t="str">
        <f>'Single Audit Cover'!A4</f>
        <v>Year Ending June 30, 2018</v>
      </c>
      <c r="C4" s="2515"/>
      <c r="D4" s="2515"/>
      <c r="E4" s="2515"/>
      <c r="F4" s="2515"/>
      <c r="G4" s="2515"/>
      <c r="H4" s="2515"/>
      <c r="I4" s="2515"/>
      <c r="J4" s="2515"/>
      <c r="K4" s="251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15" t="s">
        <v>1363</v>
      </c>
      <c r="C7" s="2515"/>
      <c r="D7" s="2516"/>
      <c r="E7" s="2516"/>
      <c r="F7" s="2516"/>
      <c r="G7" s="2516"/>
      <c r="H7" s="2516"/>
      <c r="I7" s="2516"/>
      <c r="J7" s="2516"/>
      <c r="K7" s="251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t="s">
        <v>2139</v>
      </c>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13"/>
      <c r="C14" s="2513"/>
      <c r="D14" s="2513"/>
      <c r="E14" s="2513"/>
      <c r="F14" s="2513"/>
      <c r="G14" s="2513"/>
      <c r="H14" s="2513"/>
      <c r="I14" s="2513"/>
      <c r="J14" s="2513"/>
      <c r="K14" s="251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13"/>
      <c r="C17" s="2513"/>
      <c r="D17" s="2513"/>
      <c r="E17" s="2513"/>
      <c r="F17" s="2513"/>
      <c r="G17" s="2513"/>
      <c r="H17" s="2513"/>
      <c r="I17" s="2513"/>
      <c r="J17" s="2513"/>
      <c r="K17" s="2513"/>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7"/>
      <c r="C20" s="2517"/>
      <c r="D20" s="2513"/>
      <c r="E20" s="2513"/>
      <c r="F20" s="2513"/>
      <c r="G20" s="2513"/>
      <c r="H20" s="2513"/>
      <c r="I20" s="2513"/>
      <c r="J20" s="2513"/>
      <c r="K20" s="251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13"/>
      <c r="C23" s="2513"/>
      <c r="D23" s="2513"/>
      <c r="E23" s="2513"/>
      <c r="F23" s="2513"/>
      <c r="G23" s="2513"/>
      <c r="H23" s="2513"/>
      <c r="I23" s="2513"/>
      <c r="J23" s="2513"/>
      <c r="K23" s="251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13"/>
      <c r="C26" s="2513"/>
      <c r="D26" s="2513"/>
      <c r="E26" s="2513"/>
      <c r="F26" s="2513"/>
      <c r="G26" s="2513"/>
      <c r="H26" s="2513"/>
      <c r="I26" s="2513"/>
      <c r="J26" s="2513"/>
      <c r="K26" s="251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12"/>
      <c r="C29" s="2512"/>
      <c r="D29" s="2513"/>
      <c r="E29" s="2513"/>
      <c r="F29" s="2513"/>
      <c r="G29" s="2513"/>
      <c r="H29" s="2513"/>
      <c r="I29" s="2513"/>
      <c r="J29" s="2513"/>
      <c r="K29" s="251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12"/>
      <c r="C32" s="2512"/>
      <c r="D32" s="2513"/>
      <c r="E32" s="2513"/>
      <c r="F32" s="2513"/>
      <c r="G32" s="2513"/>
      <c r="H32" s="2513"/>
      <c r="I32" s="2513"/>
      <c r="J32" s="2513"/>
      <c r="K32" s="251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52"/>
  <sheetViews>
    <sheetView showGridLines="0" zoomScale="110" zoomScaleNormal="110" workbookViewId="0">
      <selection sqref="A1:XFD104857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1" t="str">
        <f>'Single Audit Cover'!A7</f>
        <v>Marengo Union E Cons D 165</v>
      </c>
      <c r="C1" s="2521"/>
      <c r="D1" s="2521"/>
      <c r="E1" s="2521"/>
      <c r="F1" s="2521"/>
      <c r="G1" s="2521"/>
      <c r="H1" s="2521"/>
      <c r="I1" s="2521"/>
      <c r="J1" s="2521"/>
      <c r="K1" s="2521"/>
      <c r="L1" s="1465"/>
    </row>
    <row r="2" spans="1:12" ht="12.75" customHeight="1" x14ac:dyDescent="0.2">
      <c r="B2" s="2522">
        <f>'Single Audit Cover'!E7</f>
        <v>44063165003</v>
      </c>
      <c r="C2" s="2522"/>
      <c r="D2" s="2522"/>
      <c r="E2" s="2522"/>
      <c r="F2" s="2522"/>
      <c r="G2" s="2522"/>
      <c r="H2" s="2522"/>
      <c r="I2" s="2522"/>
      <c r="J2" s="2522"/>
      <c r="K2" s="2522"/>
      <c r="L2" s="1466"/>
    </row>
    <row r="3" spans="1:12" ht="12.75" customHeight="1" x14ac:dyDescent="0.2">
      <c r="B3" s="2514" t="s">
        <v>1347</v>
      </c>
      <c r="C3" s="2514"/>
      <c r="D3" s="2514"/>
      <c r="E3" s="2514"/>
      <c r="F3" s="2514"/>
      <c r="G3" s="2514"/>
      <c r="H3" s="2514"/>
      <c r="I3" s="2514"/>
      <c r="J3" s="2514"/>
      <c r="K3" s="2514"/>
      <c r="L3" s="1377"/>
    </row>
    <row r="4" spans="1:12" ht="12.75" customHeight="1" x14ac:dyDescent="0.2">
      <c r="B4" s="2514" t="str">
        <f>'Single Audit Cover'!A4</f>
        <v>Year Ending June 30, 2018</v>
      </c>
      <c r="C4" s="2514"/>
      <c r="D4" s="2514"/>
      <c r="E4" s="2514"/>
      <c r="F4" s="2514"/>
      <c r="G4" s="2514"/>
      <c r="H4" s="2514"/>
      <c r="I4" s="2514"/>
      <c r="J4" s="2514"/>
      <c r="K4" s="2514"/>
      <c r="L4" s="1377"/>
    </row>
    <row r="5" spans="1:12" ht="5.25" customHeight="1" x14ac:dyDescent="0.2">
      <c r="B5" s="1260" t="s">
        <v>1231</v>
      </c>
      <c r="C5" s="1260"/>
      <c r="L5" s="322"/>
    </row>
    <row r="6" spans="1:12" ht="30.75" customHeight="1" x14ac:dyDescent="0.2">
      <c r="A6" s="322"/>
      <c r="B6" s="2523" t="s">
        <v>1375</v>
      </c>
      <c r="C6" s="2523"/>
      <c r="D6" s="2523"/>
      <c r="E6" s="2523"/>
      <c r="F6" s="2523"/>
      <c r="G6" s="2523"/>
      <c r="H6" s="2523"/>
      <c r="I6" s="2523"/>
      <c r="J6" s="2523"/>
      <c r="K6" s="2523"/>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t="s">
        <v>2139</v>
      </c>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505"/>
      <c r="G12" s="2505"/>
      <c r="H12" s="2505"/>
      <c r="I12" s="2505"/>
      <c r="J12" s="2505"/>
      <c r="K12" s="250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8"/>
      <c r="E14" s="2518"/>
      <c r="F14" s="2518"/>
      <c r="H14" s="1475" t="s">
        <v>1370</v>
      </c>
      <c r="I14" s="2519"/>
      <c r="J14" s="2519"/>
      <c r="K14" s="251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9"/>
      <c r="E16" s="2519"/>
      <c r="F16" s="2519"/>
      <c r="G16" s="2519"/>
      <c r="H16" s="2519"/>
      <c r="I16" s="2519"/>
      <c r="J16" s="2519"/>
      <c r="K16" s="2519"/>
      <c r="L16" s="322"/>
    </row>
    <row r="17" spans="2:12" ht="13.5" customHeight="1" x14ac:dyDescent="0.2">
      <c r="B17" s="1387" t="s">
        <v>1368</v>
      </c>
      <c r="C17" s="1387"/>
      <c r="D17" s="2520"/>
      <c r="E17" s="2520"/>
      <c r="F17" s="2520"/>
      <c r="G17" s="2520"/>
      <c r="H17" s="2520"/>
      <c r="I17" s="2520"/>
      <c r="J17" s="2520"/>
      <c r="K17" s="252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13"/>
      <c r="C20" s="2513"/>
      <c r="D20" s="2513"/>
      <c r="E20" s="2513"/>
      <c r="F20" s="2513"/>
      <c r="G20" s="2513"/>
      <c r="H20" s="2513"/>
      <c r="I20" s="2513"/>
      <c r="J20" s="2513"/>
      <c r="K20" s="251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37.5" customHeight="1" x14ac:dyDescent="0.2">
      <c r="B23" s="2513"/>
      <c r="C23" s="2513"/>
      <c r="D23" s="2513"/>
      <c r="E23" s="2513"/>
      <c r="F23" s="2513"/>
      <c r="G23" s="2513"/>
      <c r="H23" s="2513"/>
      <c r="I23" s="2513"/>
      <c r="J23" s="2513"/>
      <c r="K23" s="251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13"/>
      <c r="C26" s="2513"/>
      <c r="D26" s="2513"/>
      <c r="E26" s="2513"/>
      <c r="F26" s="2513"/>
      <c r="G26" s="2513"/>
      <c r="H26" s="2513"/>
      <c r="I26" s="2513"/>
      <c r="J26" s="2513"/>
      <c r="K26" s="251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37.5" customHeight="1" x14ac:dyDescent="0.2">
      <c r="B29" s="2513"/>
      <c r="C29" s="2513"/>
      <c r="D29" s="2513"/>
      <c r="E29" s="2513"/>
      <c r="F29" s="2513"/>
      <c r="G29" s="2513"/>
      <c r="H29" s="2513"/>
      <c r="I29" s="2513"/>
      <c r="J29" s="2513"/>
      <c r="K29" s="251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13"/>
      <c r="C32" s="2513"/>
      <c r="D32" s="2513"/>
      <c r="E32" s="2513"/>
      <c r="F32" s="2513"/>
      <c r="G32" s="2513"/>
      <c r="H32" s="2513"/>
      <c r="I32" s="2513"/>
      <c r="J32" s="2513"/>
      <c r="K32" s="251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13"/>
      <c r="C35" s="2513"/>
      <c r="D35" s="2513"/>
      <c r="E35" s="2513"/>
      <c r="F35" s="2513"/>
      <c r="G35" s="2513"/>
      <c r="H35" s="2513"/>
      <c r="I35" s="2513"/>
      <c r="J35" s="2513"/>
      <c r="K35" s="251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13"/>
      <c r="C38" s="2513"/>
      <c r="D38" s="2513"/>
      <c r="E38" s="2513"/>
      <c r="F38" s="2513"/>
      <c r="G38" s="2513"/>
      <c r="H38" s="2513"/>
      <c r="I38" s="2513"/>
      <c r="J38" s="2513"/>
      <c r="K38" s="251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13"/>
      <c r="C41" s="2513"/>
      <c r="D41" s="2513"/>
      <c r="E41" s="2513"/>
      <c r="F41" s="2513"/>
      <c r="G41" s="2513"/>
      <c r="H41" s="2513"/>
      <c r="I41" s="2513"/>
      <c r="J41" s="2513"/>
      <c r="K41" s="251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zoomScale="110" zoomScaleNormal="110" workbookViewId="0">
      <selection activeCell="G19" sqref="G1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8" t="str">
        <f>'Single Audit Cover'!A7</f>
        <v>Marengo Union E Cons D 165</v>
      </c>
      <c r="C1" s="2498"/>
      <c r="D1" s="2498"/>
      <c r="E1" s="1491"/>
    </row>
    <row r="2" spans="2:5" s="1282" customFormat="1" ht="12.75" customHeight="1" x14ac:dyDescent="0.2">
      <c r="B2" s="2500">
        <f>'Single Audit Cover'!E7</f>
        <v>44063165003</v>
      </c>
      <c r="C2" s="2500"/>
      <c r="D2" s="2500"/>
      <c r="E2" s="1492"/>
    </row>
    <row r="3" spans="2:5" ht="12.75" customHeight="1" x14ac:dyDescent="0.2">
      <c r="B3" s="2514" t="s">
        <v>1866</v>
      </c>
      <c r="C3" s="2514"/>
      <c r="D3" s="2514"/>
      <c r="E3" s="1274"/>
    </row>
    <row r="4" spans="2:5" s="1282" customFormat="1" ht="12.75" customHeight="1" x14ac:dyDescent="0.2">
      <c r="B4" s="2524" t="str">
        <f>'Single Audit Cover'!A4</f>
        <v>Year Ending June 30, 2018</v>
      </c>
      <c r="C4" s="2524"/>
      <c r="D4" s="2524"/>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1869</v>
      </c>
    </row>
    <row r="46" spans="2:5" ht="12.2" customHeight="1" x14ac:dyDescent="0.2">
      <c r="B46" s="1505" t="s">
        <v>1870</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schemas.microsoft.com/office/2006/metadata/properties"/>
    <ds:schemaRef ds:uri="http://purl.org/dc/elements/1.1/"/>
    <ds:schemaRef ds:uri="http://purl.org/dc/terms/"/>
    <ds:schemaRef ds:uri="http://purl.org/dc/dcmitype/"/>
    <ds:schemaRef ds:uri="http://schemas.microsoft.com/sharepoint/v3"/>
    <ds:schemaRef ds:uri="6ce3111e-7420-4802-b50a-75d4e9a0b980"/>
    <ds:schemaRef ds:uri="http://www.w3.org/XML/1998/namespace"/>
    <ds:schemaRef ds:uri="http://schemas.microsoft.com/office/2006/documentManagement/types"/>
    <ds:schemaRef ds:uri="d21dc803-237d-4c68-8692-8d731fd29118"/>
    <ds:schemaRef ds:uri="http://schemas.microsoft.com/office/infopath/2007/PartnerControls"/>
    <ds:schemaRef ds:uri="http://schemas.openxmlformats.org/package/2006/metadata/core-properties"/>
    <ds:schemaRef ds:uri="4d435f69-8686-490b-bd6d-b153bf22ab50"/>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2018-09-26T17:36:22Z</cp:lastPrinted>
  <dcterms:created xsi:type="dcterms:W3CDTF">2003-10-29T19:06:34Z</dcterms:created>
  <dcterms:modified xsi:type="dcterms:W3CDTF">2018-09-28T18:40:37Z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